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40" yWindow="65461" windowWidth="11700" windowHeight="9120" firstSheet="3" activeTab="12"/>
  </bookViews>
  <sheets>
    <sheet name="Sch1" sheetId="1" r:id="rId1"/>
    <sheet name="Sch2,p1" sheetId="2" r:id="rId2"/>
    <sheet name="Sch2,p2" sheetId="3" r:id="rId3"/>
    <sheet name="Sch3" sheetId="4" r:id="rId4"/>
    <sheet name="Sch4" sheetId="5" r:id="rId5"/>
    <sheet name="Sch5" sheetId="6" r:id="rId6"/>
    <sheet name="Sch6" sheetId="7" r:id="rId7"/>
    <sheet name="Sch7" sheetId="8" r:id="rId8"/>
    <sheet name="Sch8" sheetId="9" r:id="rId9"/>
    <sheet name="Sch9" sheetId="10" r:id="rId10"/>
    <sheet name="Sch10" sheetId="11" r:id="rId11"/>
    <sheet name="Sch11" sheetId="12" r:id="rId12"/>
    <sheet name="Sch12" sheetId="13" r:id="rId13"/>
  </sheets>
  <definedNames>
    <definedName name="_xlnm.Print_Area" localSheetId="0">'Sch1'!$A$1:$K$37</definedName>
    <definedName name="_xlnm.Print_Area" localSheetId="10">'Sch10'!$A$1:$H$47</definedName>
    <definedName name="_xlnm.Print_Area" localSheetId="11">'Sch11'!$B$1:$J$42</definedName>
    <definedName name="_xlnm.Print_Area" localSheetId="12">'Sch12'!$A$1:$G$36</definedName>
    <definedName name="_xlnm.Print_Area" localSheetId="2">'Sch2,p2'!$A$1:$I$46</definedName>
    <definedName name="_xlnm.Print_Area" localSheetId="3">'Sch3'!$B$1:$I$31</definedName>
    <definedName name="_xlnm.Print_Area" localSheetId="4">'Sch4'!$B$1:$M$31</definedName>
    <definedName name="_xlnm.Print_Area" localSheetId="5">'Sch5'!$B$1:$I$46</definedName>
    <definedName name="_xlnm.Print_Area" localSheetId="6">'Sch6'!$B$1:$O$35</definedName>
    <definedName name="_xlnm.Print_Area" localSheetId="7">'Sch7'!$D$1:$J$50</definedName>
    <definedName name="_xlnm.Print_Area" localSheetId="8">'Sch8'!$C$1:$O$41</definedName>
    <definedName name="_xlnm.Print_Area" localSheetId="9">'Sch9'!$A$2:$G$84</definedName>
  </definedNames>
  <calcPr fullCalcOnLoad="1"/>
</workbook>
</file>

<file path=xl/sharedStrings.xml><?xml version="1.0" encoding="utf-8"?>
<sst xmlns="http://schemas.openxmlformats.org/spreadsheetml/2006/main" count="725" uniqueCount="439">
  <si>
    <t>Con. Edison</t>
  </si>
  <si>
    <t>INTERIM INCREASE  BASED ON A F.M.B. COVERAGE OF 2.0 TIMES</t>
  </si>
  <si>
    <t>Share buy-back begun in 1995</t>
  </si>
  <si>
    <t>check Hawley workpapers</t>
  </si>
  <si>
    <t>0.80-&gt;0.00</t>
  </si>
  <si>
    <t>Share buy-back in 2001/stable after that at 103 Million shares</t>
  </si>
  <si>
    <t>Other*</t>
  </si>
  <si>
    <t>Other O&amp;M*</t>
  </si>
  <si>
    <t>*Other Revenues and Other O&amp;M eliminated in 1998 and 1999 for purposes of comparison.</t>
  </si>
  <si>
    <t>Schedule 10</t>
  </si>
  <si>
    <t>INCOME STATEMENT COMPARISON</t>
  </si>
  <si>
    <t>FINANCIAL PROJECTIONS</t>
  </si>
  <si>
    <t>Purchased Electricity</t>
  </si>
  <si>
    <t>Purchased Gas</t>
  </si>
  <si>
    <t xml:space="preserve">Elec. Generation Fuel </t>
  </si>
  <si>
    <t>Depr'n &amp; Amortization</t>
  </si>
  <si>
    <t>Conserv. Amortization</t>
  </si>
  <si>
    <t>Federal Income Tax</t>
  </si>
  <si>
    <t>Income Before Interest Exp.</t>
  </si>
  <si>
    <t>Total Purch.&amp;Fuel&amp;Exh. to Total Revs.</t>
  </si>
  <si>
    <t>rev less pur</t>
  </si>
  <si>
    <t>tot pur</t>
  </si>
  <si>
    <t>BREAKDOWN</t>
  </si>
  <si>
    <t>Data from Hawley workpapers, provided in response to PC-62-I.</t>
  </si>
  <si>
    <t>Schedule 11</t>
  </si>
  <si>
    <t>2001-2002</t>
  </si>
  <si>
    <t>Annual O. I. Shortfall ([3] - [4])</t>
  </si>
  <si>
    <t>[6]</t>
  </si>
  <si>
    <t>Monthly O. I. Shortfall ([5] ÷ 12)</t>
  </si>
  <si>
    <t>*Data from Company response to PC-62-I, p. 27</t>
  </si>
  <si>
    <t>Cumulative Shortfall</t>
  </si>
  <si>
    <t>Schedule 4</t>
  </si>
  <si>
    <t>AMOUNT ($000)</t>
  </si>
  <si>
    <t>Common Equity</t>
  </si>
  <si>
    <t>Preferred Stock</t>
  </si>
  <si>
    <t>Preference Stock</t>
  </si>
  <si>
    <t>Long-term Debt</t>
  </si>
  <si>
    <t>Short-term Debt</t>
  </si>
  <si>
    <t>TOTAL</t>
  </si>
  <si>
    <t>PERCENTAGE</t>
  </si>
  <si>
    <t>Schedule 5</t>
  </si>
  <si>
    <t>+60,000</t>
  </si>
  <si>
    <t>CAPITAL STRUCTURE IMPACT OF RETAINED EARNINGS</t>
  </si>
  <si>
    <t>+120,000</t>
  </si>
  <si>
    <t>+180,000</t>
  </si>
  <si>
    <t>+240,000</t>
  </si>
  <si>
    <t>Actual</t>
  </si>
  <si>
    <t>Impact</t>
  </si>
  <si>
    <t>Adjusted</t>
  </si>
  <si>
    <t>Cum.</t>
  </si>
  <si>
    <t>Actual capital balances from SEC Form 10-Ks.</t>
  </si>
  <si>
    <t>Assumption: Company retains $60 Million each year from earnings rather than paying it out in dividends, and reduces long-term debt by that same amount.</t>
  </si>
  <si>
    <t>Number of Shares</t>
  </si>
  <si>
    <t>84.56 Mill</t>
  </si>
  <si>
    <t>84.92 Mill</t>
  </si>
  <si>
    <t>Long-term Debt*</t>
  </si>
  <si>
    <t>*Includes current maturities</t>
  </si>
  <si>
    <t>Data from  S.E.C. Form 10-K and 10-Q and Puget's website (Advanced Fundamentals-Income Statement Highlights.</t>
  </si>
  <si>
    <t>Earnings per Share</t>
  </si>
  <si>
    <t>Dividends per Share</t>
  </si>
  <si>
    <t>CAPITAL STRUCTURE AND DIVIDEND PAYOUT</t>
  </si>
  <si>
    <t>AVERAGE</t>
  </si>
  <si>
    <t>Puget Sound</t>
  </si>
  <si>
    <t>Power &amp; Light</t>
  </si>
  <si>
    <t>UE-921262</t>
  </si>
  <si>
    <t>Washington</t>
  </si>
  <si>
    <t>Natural Gas</t>
  </si>
  <si>
    <t>UE-920840</t>
  </si>
  <si>
    <t>Type of Capital</t>
  </si>
  <si>
    <t>Average</t>
  </si>
  <si>
    <t>Total</t>
  </si>
  <si>
    <t>Pref. Securities</t>
  </si>
  <si>
    <t>Schedule 6</t>
  </si>
  <si>
    <t>ELECTRIC COMPANIES</t>
  </si>
  <si>
    <t>ALLETE</t>
  </si>
  <si>
    <t>American Electric Power</t>
  </si>
  <si>
    <t>Black Hills Corp.</t>
  </si>
  <si>
    <t>Central Vermont</t>
  </si>
  <si>
    <t>Cleco Corp.</t>
  </si>
  <si>
    <t>DPL, Inc.</t>
  </si>
  <si>
    <t>DQE, Inc.</t>
  </si>
  <si>
    <t>Edison International</t>
  </si>
  <si>
    <t>El Paso Electric</t>
  </si>
  <si>
    <t>Projected</t>
  </si>
  <si>
    <t>Operating Revenues</t>
  </si>
  <si>
    <t>Electric</t>
  </si>
  <si>
    <t xml:space="preserve">Gas </t>
  </si>
  <si>
    <t>Operating Expenses</t>
  </si>
  <si>
    <t>Pur. Electricity</t>
  </si>
  <si>
    <t>Pur. Gas</t>
  </si>
  <si>
    <t xml:space="preserve">Elec. Gen. Fuel </t>
  </si>
  <si>
    <t>Exchange Credit</t>
  </si>
  <si>
    <t>Utility O&amp;M</t>
  </si>
  <si>
    <t>Other O&amp;M</t>
  </si>
  <si>
    <t>Depr'n &amp; Amort.</t>
  </si>
  <si>
    <t>Conserv. Amort.</t>
  </si>
  <si>
    <t>FAS-133</t>
  </si>
  <si>
    <t>Taxes (Other)</t>
  </si>
  <si>
    <t>Fed. Inc. Tax</t>
  </si>
  <si>
    <t>Income Bef. Int. Exp.</t>
  </si>
  <si>
    <t xml:space="preserve">Interest </t>
  </si>
  <si>
    <t>Net Income</t>
  </si>
  <si>
    <t>Ratio Analysis</t>
  </si>
  <si>
    <t>Ratio of El. Purchases to El. Revs.</t>
  </si>
  <si>
    <t>Ratio of Gas Purchases to Gas Revs.</t>
  </si>
  <si>
    <t>Ratio of El. Gen. Fuel to El. Revs.</t>
  </si>
  <si>
    <t xml:space="preserve"> </t>
  </si>
  <si>
    <t>Operating Revenues:</t>
  </si>
  <si>
    <t xml:space="preserve">         Residential</t>
  </si>
  <si>
    <t xml:space="preserve">         Commercial</t>
  </si>
  <si>
    <t xml:space="preserve">         Industrial</t>
  </si>
  <si>
    <t xml:space="preserve">         Street Lighting</t>
  </si>
  <si>
    <t xml:space="preserve">         Sales for Resale</t>
  </si>
  <si>
    <t xml:space="preserve">         Unbilled</t>
  </si>
  <si>
    <t xml:space="preserve">         Sales to Other Utilities</t>
  </si>
  <si>
    <t xml:space="preserve">         Various Other Revenue Items</t>
  </si>
  <si>
    <t xml:space="preserve">     Electric</t>
  </si>
  <si>
    <t xml:space="preserve">         Sales</t>
  </si>
  <si>
    <t xml:space="preserve">         Transportation</t>
  </si>
  <si>
    <t xml:space="preserve">         Rental Fees &amp; Other Rev</t>
  </si>
  <si>
    <t xml:space="preserve">         Change in Unbilled</t>
  </si>
  <si>
    <t xml:space="preserve">     Gas</t>
  </si>
  <si>
    <t xml:space="preserve">     Other</t>
  </si>
  <si>
    <t xml:space="preserve">     Total Operating Revenue</t>
  </si>
  <si>
    <t>PROJECTED CAPITAL STRUCTURE IMPACT OF</t>
  </si>
  <si>
    <t>EARNINGS RETENTION AND DIVIDEND REINVESTMENT</t>
  </si>
  <si>
    <t>2002*</t>
  </si>
  <si>
    <t>*Data from Company response to PC-62-I, p. 22. January 2002  capital structure with no interim rate relief.</t>
  </si>
  <si>
    <t>Company</t>
  </si>
  <si>
    <t>When?</t>
  </si>
  <si>
    <t>How much?</t>
  </si>
  <si>
    <t>No</t>
  </si>
  <si>
    <t>Yes</t>
  </si>
  <si>
    <t>2.96-&gt;1.72</t>
  </si>
  <si>
    <t>increased shares outstanding following cuts</t>
  </si>
  <si>
    <t>Cent. Vermont PS</t>
  </si>
  <si>
    <t>1.42-&gt;0.80</t>
  </si>
  <si>
    <t>Conectiv</t>
  </si>
  <si>
    <t>1.54-&gt;0.88</t>
  </si>
  <si>
    <t>% CHANGE</t>
  </si>
  <si>
    <t>Constellation Engy.</t>
  </si>
  <si>
    <t>1.68-&gt;0.48</t>
  </si>
  <si>
    <t>PROJECTED INCOME STATEMENT DATA</t>
  </si>
  <si>
    <t>WUTC</t>
  </si>
  <si>
    <t>Rating Agency</t>
  </si>
  <si>
    <t>Schedule 12</t>
  </si>
  <si>
    <t>projected increase in shares outstanding</t>
  </si>
  <si>
    <t>DQE Inc.</t>
  </si>
  <si>
    <t>1.37-&gt; 0.80</t>
  </si>
  <si>
    <t>stock buy-back undertaken following cut</t>
  </si>
  <si>
    <t>Dominion Resources</t>
  </si>
  <si>
    <t>Energy East corp.</t>
  </si>
  <si>
    <t>1.32-&gt;1.00</t>
  </si>
  <si>
    <t>1.09-&gt;0.70</t>
  </si>
  <si>
    <t>increased shares outstanding following initial cut; undertook stock buy-back following second cut</t>
  </si>
  <si>
    <t>FPL Group, Inc.</t>
  </si>
  <si>
    <t>2.47-&gt;1.76</t>
  </si>
  <si>
    <t>Green Mt. Power</t>
  </si>
  <si>
    <t>2.12-&gt;1.10</t>
  </si>
  <si>
    <t>1.10-&gt;0.55</t>
  </si>
  <si>
    <t>Niagra Mohawk</t>
  </si>
  <si>
    <t>1.76-&gt;1.00</t>
  </si>
  <si>
    <t>1.00-&gt;0</t>
  </si>
  <si>
    <t>1.67-&gt;1.00</t>
  </si>
  <si>
    <t>Potomac El Pwr</t>
  </si>
  <si>
    <t>1.66-&gt;1.00</t>
  </si>
  <si>
    <t>projected stock buy-back following cuts</t>
  </si>
  <si>
    <t>P.S. Enterprise Gp</t>
  </si>
  <si>
    <t>RGS Energy Gp</t>
  </si>
  <si>
    <t>2.20-&gt;1.50</t>
  </si>
  <si>
    <t>SCANA Corp</t>
  </si>
  <si>
    <t>1.54-&gt;1.10</t>
  </si>
  <si>
    <t>American El Pwr</t>
  </si>
  <si>
    <t>CMS Energy Corp</t>
  </si>
  <si>
    <t>n/a</t>
  </si>
  <si>
    <t>increased shares outstanding following cut</t>
  </si>
  <si>
    <t>Cinergy Corp.</t>
  </si>
  <si>
    <t>DPL Inc.</t>
  </si>
  <si>
    <t>Empire Dist El</t>
  </si>
  <si>
    <t>Entergy Corp</t>
  </si>
  <si>
    <t>1.80-&gt;1.20</t>
  </si>
  <si>
    <t>increased shares immediately/then share buy-back/then increased shares again</t>
  </si>
  <si>
    <t>FirstEnergy Corp</t>
  </si>
  <si>
    <t>Great Plains Engy</t>
  </si>
  <si>
    <t>1.18-&gt;1.05</t>
  </si>
  <si>
    <t>shares outstanding remained constant following cut</t>
  </si>
  <si>
    <t>NiSource Inc</t>
  </si>
  <si>
    <t>NorthWestern Corp</t>
  </si>
  <si>
    <t>OGE Energy</t>
  </si>
  <si>
    <t>3.08-&gt;2.03</t>
  </si>
  <si>
    <t>UtiliCorp United</t>
  </si>
  <si>
    <t>85.90 Mill</t>
  </si>
  <si>
    <t>$155.59 Million</t>
  </si>
  <si>
    <t>$156.25 Million</t>
  </si>
  <si>
    <t>$158.056 Million</t>
  </si>
  <si>
    <t>Data From Value Line.</t>
  </si>
  <si>
    <t>Total Dividends Paid</t>
  </si>
  <si>
    <t>Per Share Dividend Paid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</si>
  <si>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</si>
  <si>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</si>
  <si>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</si>
  <si>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</si>
  <si>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</si>
  <si>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</si>
  <si>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</si>
  <si>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</si>
  <si>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</si>
  <si>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</si>
  <si>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</si>
  <si>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</si>
  <si>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</si>
  <si>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</si>
  <si>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</si>
  <si>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</si>
  <si>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Caa/CCC</t>
  </si>
  <si>
    <t>1 yr</t>
  </si>
  <si>
    <t>2 yr</t>
  </si>
  <si>
    <t>3 yr</t>
  </si>
  <si>
    <t>5 yr</t>
  </si>
  <si>
    <t>7 yr</t>
  </si>
  <si>
    <t>10 yr</t>
  </si>
  <si>
    <t>30 yr</t>
  </si>
  <si>
    <t>Exhibit__(SGH-1)</t>
  </si>
  <si>
    <t>Schedule 1</t>
  </si>
  <si>
    <t>PUGET SOUND ENERGY, INC.</t>
  </si>
  <si>
    <t>CURRENT BOND YIELD SPREADS ABOVE TREASURY SECURITIES</t>
  </si>
  <si>
    <t>Data from Bridge Information Systems, Corporate Spreads for Utilities, BondsOnline.com, 1/15/02</t>
  </si>
  <si>
    <t>Difference</t>
  </si>
  <si>
    <t>Bond Rating</t>
  </si>
  <si>
    <t>(1 Basis Points = 0.01%)</t>
  </si>
  <si>
    <t>WEEKLY STOCK PRICE</t>
  </si>
  <si>
    <t>December 1999 through January 2002</t>
  </si>
  <si>
    <t>Schedule 2</t>
  </si>
  <si>
    <t>Page 2 of 2</t>
  </si>
  <si>
    <t>Moody's/S&amp;P</t>
  </si>
  <si>
    <t>* Average yield differential across all maturities.</t>
  </si>
  <si>
    <t>Operations</t>
  </si>
  <si>
    <t xml:space="preserve">Funds From </t>
  </si>
  <si>
    <t>Operations to</t>
  </si>
  <si>
    <t>Total Debt</t>
  </si>
  <si>
    <t>Funds From</t>
  </si>
  <si>
    <t>Interest Coverage</t>
  </si>
  <si>
    <t>Pre-Tax</t>
  </si>
  <si>
    <t>Interest</t>
  </si>
  <si>
    <t>Coverage</t>
  </si>
  <si>
    <t>to</t>
  </si>
  <si>
    <t>Total Capital</t>
  </si>
  <si>
    <t>2.7x</t>
  </si>
  <si>
    <t>2.4x</t>
  </si>
  <si>
    <t>2.5x</t>
  </si>
  <si>
    <t>2000*</t>
  </si>
  <si>
    <t>1999*</t>
  </si>
  <si>
    <t>1998*</t>
  </si>
  <si>
    <t>* Data from Company rating agency presentations in 1999, 2000 and 2001.</t>
  </si>
  <si>
    <t>Exhibit_(SGH-1)</t>
  </si>
  <si>
    <t>Schedule 3</t>
  </si>
  <si>
    <t>BOND RATING BENCHMARKS AND PUGET HISTORICAL PERFORMANCE</t>
  </si>
  <si>
    <t>Puget Results</t>
  </si>
  <si>
    <t>30.5% to 24.5%</t>
  </si>
  <si>
    <t>4.5x to 3.8x</t>
  </si>
  <si>
    <t>4.0x to 3.3x</t>
  </si>
  <si>
    <t>43.0% to 49.5%</t>
  </si>
  <si>
    <t>S&amp;P "A" Rating Benchmarks†</t>
  </si>
  <si>
    <t>† "A" Rating benchmarks for business positgion of "4." S&amp;P Utilites Perspectives, June 1999.</t>
  </si>
  <si>
    <t>No Interim Relief††</t>
  </si>
  <si>
    <t>†† Data from Hawley Exhibit__(RLH-3).</t>
  </si>
  <si>
    <t>Avg. Yield</t>
  </si>
  <si>
    <t>Between</t>
  </si>
  <si>
    <t>Categories*</t>
  </si>
  <si>
    <t>Yield</t>
  </si>
  <si>
    <t>30 yr Bond</t>
  </si>
  <si>
    <t>Yield Spreads in Basis Points</t>
  </si>
  <si>
    <t>[$000]</t>
  </si>
  <si>
    <t>[1]</t>
  </si>
  <si>
    <t>Projected FMB Interest*</t>
  </si>
  <si>
    <t>[2]</t>
  </si>
  <si>
    <t>Necessary Total Inc. ([1] x 2.0)</t>
  </si>
  <si>
    <t>[3]</t>
  </si>
  <si>
    <t>Necessary Op. Inc. ([2] x 0.9)</t>
  </si>
  <si>
    <t>[4]</t>
  </si>
  <si>
    <t>Projected Operating Income*</t>
  </si>
  <si>
    <t>[5]</t>
  </si>
  <si>
    <t>Vectren</t>
  </si>
  <si>
    <t>2.04-&gt;1.90</t>
  </si>
  <si>
    <t>2.14-&gt;1.20</t>
  </si>
  <si>
    <t>shares projected to remain relatively constant following cuts</t>
  </si>
  <si>
    <t>1.56-&gt;0.80</t>
  </si>
  <si>
    <t>share buy-back in 2001 and 2002/projected to increase through 2004-06</t>
  </si>
  <si>
    <t>1.24-&gt;0.48</t>
  </si>
  <si>
    <t>Share buy-back in 1999, increase thereafter</t>
  </si>
  <si>
    <t>Black Hills Corp</t>
  </si>
  <si>
    <t>1.42-&gt;1.00</t>
  </si>
  <si>
    <t>1.11-&gt;0.00</t>
  </si>
  <si>
    <t>Data from Puget 2001 bond rating agency presentation, WUTC-43-I, pp. 14, 15.</t>
  </si>
  <si>
    <t>Hawaii Electric</t>
  </si>
  <si>
    <t>IDACORP Inc</t>
  </si>
  <si>
    <t>PROJECTED OPERATING EXPENSES</t>
  </si>
  <si>
    <t>Data from Hawley workpapers, provided in response to PC-62-I, and WUTC-43-I, 2001 presentation, p. 64.</t>
  </si>
  <si>
    <t>PG&amp;E Corp</t>
  </si>
  <si>
    <t>1.92-&gt;1.4</t>
  </si>
  <si>
    <t>1.96-&gt;1.20</t>
  </si>
  <si>
    <t>1.20-&gt;0.00</t>
  </si>
  <si>
    <t>Pinnacle West</t>
  </si>
  <si>
    <t>3.20-&gt;0.00</t>
  </si>
  <si>
    <t>share buy-back in 1997 following restoration of dividend in 1993</t>
  </si>
  <si>
    <t>PS New Mexico</t>
  </si>
  <si>
    <t>2.92-&gt;0.00</t>
  </si>
  <si>
    <t>shares constant until restoration of dividend, then shares outstanding reduced</t>
  </si>
  <si>
    <t>Puget</t>
  </si>
  <si>
    <t>Sempra Energy</t>
  </si>
  <si>
    <t>1.56-&gt;1.00</t>
  </si>
  <si>
    <t>shares projected to increase following share buy-back in 2000</t>
  </si>
  <si>
    <t>Sierra Pacific Res</t>
  </si>
  <si>
    <t>1.60-&gt;1.00</t>
  </si>
  <si>
    <t>1.00-&gt;0.40</t>
  </si>
  <si>
    <t>raised substantial amount of equity following dividend cut ($340 MM)</t>
  </si>
  <si>
    <t>UniSource Engy</t>
  </si>
  <si>
    <t>19.50-&gt;0.00</t>
  </si>
  <si>
    <t>shares outstanding increased substantially following elimination of dividend (conversion of preferred)</t>
  </si>
  <si>
    <t>Xcel Energy</t>
  </si>
  <si>
    <t>Cut?</t>
  </si>
  <si>
    <t>Dividend</t>
  </si>
  <si>
    <t>88&amp;94</t>
  </si>
  <si>
    <t>97&amp;98</t>
  </si>
  <si>
    <t>89&amp;96</t>
  </si>
  <si>
    <t>96&amp;97</t>
  </si>
  <si>
    <t>92&amp;00</t>
  </si>
  <si>
    <t>94&amp;01</t>
  </si>
  <si>
    <t>88,97,01</t>
  </si>
  <si>
    <t>88&amp;89</t>
  </si>
  <si>
    <t>98&amp;01</t>
  </si>
  <si>
    <t>First Cut</t>
  </si>
  <si>
    <t>How Much?</t>
  </si>
  <si>
    <t>Second Cut</t>
  </si>
  <si>
    <t>increased</t>
  </si>
  <si>
    <t>1.20-&gt;0</t>
  </si>
  <si>
    <t>1.12-&gt;0</t>
  </si>
  <si>
    <t xml:space="preserve">No. of Shares </t>
  </si>
  <si>
    <t>After Cut</t>
  </si>
  <si>
    <t>Increased</t>
  </si>
  <si>
    <t>Proj. Incr.</t>
  </si>
  <si>
    <t>Reduced</t>
  </si>
  <si>
    <t>Constant</t>
  </si>
  <si>
    <t>WEST</t>
  </si>
  <si>
    <t>CENTRAL</t>
  </si>
  <si>
    <t>EAST</t>
  </si>
  <si>
    <t>Notes on Shares Outstanding</t>
  </si>
  <si>
    <t>Dividend Cuts</t>
  </si>
  <si>
    <t>Initial Dividend</t>
  </si>
  <si>
    <t>1st Cut</t>
  </si>
  <si>
    <t>% Cut</t>
  </si>
  <si>
    <t xml:space="preserve">Initial Dividend </t>
  </si>
  <si>
    <t>$1.75/share</t>
  </si>
  <si>
    <t>$1.13/share</t>
  </si>
  <si>
    <t>29  out of 65 Companies Reduced Dividends = 44.62%</t>
  </si>
  <si>
    <t>*Initial dividend reduction calculated for 32 companies that reduced but did not eliminate dividends.</t>
  </si>
  <si>
    <t>Percent Reduction*</t>
  </si>
  <si>
    <t>All data from Value Line Ratings and Reports, November 16, December 7, 2001, January 4, 2002.</t>
  </si>
  <si>
    <t>Empire District Electric</t>
  </si>
  <si>
    <t>FirstEnergy Corp.</t>
  </si>
  <si>
    <t>FPL Group</t>
  </si>
  <si>
    <t>Green Mountain Power</t>
  </si>
  <si>
    <t>Hawaiian Electric</t>
  </si>
  <si>
    <t>IDACORP, Inc.</t>
  </si>
  <si>
    <t>Great Plains Energy</t>
  </si>
  <si>
    <t>Maine Public Service</t>
  </si>
  <si>
    <t>OGE Energy Corp.</t>
  </si>
  <si>
    <t>Otter Tail Power</t>
  </si>
  <si>
    <t>Pinnacle West Capital Corp.</t>
  </si>
  <si>
    <t>Potomac Electric</t>
  </si>
  <si>
    <t>Southern Company</t>
  </si>
  <si>
    <t>UIL Holdings</t>
  </si>
  <si>
    <t>UniSource Energy</t>
  </si>
  <si>
    <t>Western Resources</t>
  </si>
  <si>
    <t>COMBINATION ELECTRIC &amp; GAS COMPANIES</t>
  </si>
  <si>
    <t>AES Corp.</t>
  </si>
  <si>
    <t>Allegheny Energy</t>
  </si>
  <si>
    <t>Alliant Energy</t>
  </si>
  <si>
    <t>Ameren Corp.</t>
  </si>
  <si>
    <t>Avista Corp.</t>
  </si>
  <si>
    <t>CH Energy Group</t>
  </si>
  <si>
    <t>CINergy Corp.</t>
  </si>
  <si>
    <t>Connectiv</t>
  </si>
  <si>
    <t>Consolidated Edison</t>
  </si>
  <si>
    <t>Constellation Energy</t>
  </si>
  <si>
    <t>Dominion</t>
  </si>
  <si>
    <t>DTE Energy</t>
  </si>
  <si>
    <t>Duke Energy</t>
  </si>
  <si>
    <t>Dynegy</t>
  </si>
  <si>
    <t>Entergy Corp.</t>
  </si>
  <si>
    <t>Energy East Corp.</t>
  </si>
  <si>
    <t>Exelon Corp.</t>
  </si>
  <si>
    <t>Florida Public Util. Co.</t>
  </si>
  <si>
    <t>Madison Gas &amp; Electric</t>
  </si>
  <si>
    <t>MDU Resources</t>
  </si>
  <si>
    <t>Montana Power</t>
  </si>
  <si>
    <t>Niagra Mohawk Holdings</t>
  </si>
  <si>
    <t>NiSource Inc.</t>
  </si>
  <si>
    <t>Northeast Utilities</t>
  </si>
  <si>
    <t>Northwestern Corp.</t>
  </si>
  <si>
    <t>NSTAR</t>
  </si>
  <si>
    <t>PG&amp;E Corp.</t>
  </si>
  <si>
    <t>PPL Corp.</t>
  </si>
  <si>
    <t>Progress Energy</t>
  </si>
  <si>
    <t>P. S. of New Mexico</t>
  </si>
  <si>
    <t>P. S. Enterprise Group</t>
  </si>
  <si>
    <t>Puget Energy</t>
  </si>
  <si>
    <t>Reliant Energy</t>
  </si>
  <si>
    <t>RGS Energy Group</t>
  </si>
  <si>
    <t>SCANA Corp.</t>
  </si>
  <si>
    <t>SEMPRA energy</t>
  </si>
  <si>
    <t>Sierra Pacific Resources</t>
  </si>
  <si>
    <t>TECO Energy</t>
  </si>
  <si>
    <t>TXU Corp.</t>
  </si>
  <si>
    <t>Unitil Corp.</t>
  </si>
  <si>
    <t>Vectren Corp.</t>
  </si>
  <si>
    <t>Wisconsin Energy</t>
  </si>
  <si>
    <t>WPS Resources</t>
  </si>
  <si>
    <t>Xcel Energy Inc.</t>
  </si>
  <si>
    <t>DIVIDEND PAYOUT RATIO</t>
  </si>
  <si>
    <t>NMF</t>
  </si>
  <si>
    <t>CMS Energy Corp.</t>
  </si>
  <si>
    <t>UtiliCorp United Inc.</t>
  </si>
  <si>
    <t>0&lt;Average&lt;100</t>
  </si>
  <si>
    <t>0 &lt; AVERAGE &lt; 100</t>
  </si>
  <si>
    <t>Data from C.A. Turner's Utility Reports, January 2002.</t>
  </si>
  <si>
    <t>Schedule 7</t>
  </si>
  <si>
    <t>ELECTRIC INDUSTRY DIVIDEND PAYOUT RATIOS</t>
  </si>
  <si>
    <t>Common Stock</t>
  </si>
  <si>
    <t>Preferred Securities</t>
  </si>
  <si>
    <t>Schedule 8</t>
  </si>
  <si>
    <t>WUTC FORECAST - NOVEMBER 2001</t>
  </si>
  <si>
    <t>BOND RATING AGENCY FORECAST - APRIL 2001</t>
  </si>
  <si>
    <t>Residential</t>
  </si>
  <si>
    <t>Commercial</t>
  </si>
  <si>
    <t>Industrial</t>
  </si>
  <si>
    <t>INCOME STATEMENT [$000]</t>
  </si>
  <si>
    <t>Electric Sales [GWh]</t>
  </si>
  <si>
    <t>Gas Sales [Therms x 1000]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</si>
</sst>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"/>
    <numFmt numFmtId="166" formatCode="dd\-mmm\-yy"/>
    <numFmt numFmtId="167" formatCode="mmmm\ d\,\ yyyy"/>
    <numFmt numFmtId="168" formatCode="#,##0.000_);\(#,##0.000\)"/>
    <numFmt numFmtId="169" formatCode="0.000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sz val="10"/>
      <name val="Courier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9"/>
      <name val="Geneva"/>
      <family val="0"/>
    </font>
    <font>
      <sz val="10"/>
      <color indexed="10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22" applyFont="1">
      <alignment/>
      <protection/>
    </xf>
    <xf numFmtId="15" fontId="6" fillId="0" borderId="0" xfId="22" applyNumberFormat="1" applyFont="1">
      <alignment/>
      <protection/>
    </xf>
    <xf numFmtId="165" fontId="6" fillId="0" borderId="0" xfId="22" applyNumberFormat="1" applyFont="1">
      <alignment/>
      <protection/>
    </xf>
    <xf numFmtId="15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3" fontId="6" fillId="0" borderId="0" xfId="21" applyNumberFormat="1" applyFont="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17" fontId="8" fillId="0" borderId="0" xfId="21" applyNumberFormat="1" applyFont="1" applyAlignment="1">
      <alignment horizontal="center"/>
      <protection/>
    </xf>
    <xf numFmtId="166" fontId="6" fillId="0" borderId="0" xfId="21" applyNumberFormat="1" applyFont="1">
      <alignment/>
      <protection/>
    </xf>
    <xf numFmtId="15" fontId="6" fillId="0" borderId="0" xfId="21" applyNumberFormat="1" applyFont="1">
      <alignment/>
      <protection/>
    </xf>
    <xf numFmtId="3" fontId="8" fillId="0" borderId="0" xfId="21" applyNumberFormat="1" applyFont="1">
      <alignment/>
      <protection/>
    </xf>
    <xf numFmtId="10" fontId="6" fillId="0" borderId="0" xfId="21" applyNumberFormat="1" applyFont="1">
      <alignment/>
      <protection/>
    </xf>
    <xf numFmtId="10" fontId="8" fillId="0" borderId="0" xfId="21" applyNumberFormat="1" applyFont="1">
      <alignment/>
      <protection/>
    </xf>
    <xf numFmtId="166" fontId="6" fillId="0" borderId="0" xfId="21" applyNumberFormat="1" applyFont="1" applyAlignment="1">
      <alignment horizontal="center"/>
      <protection/>
    </xf>
    <xf numFmtId="3" fontId="6" fillId="0" borderId="0" xfId="2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1" fontId="6" fillId="0" borderId="3" xfId="21" applyNumberFormat="1" applyFont="1" applyBorder="1" applyAlignment="1">
      <alignment horizontal="center"/>
      <protection/>
    </xf>
    <xf numFmtId="1" fontId="6" fillId="0" borderId="4" xfId="21" applyNumberFormat="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3" fontId="6" fillId="0" borderId="0" xfId="21" applyNumberFormat="1" applyFont="1" applyBorder="1" applyAlignment="1" quotePrefix="1">
      <alignment horizontal="center"/>
      <protection/>
    </xf>
    <xf numFmtId="3" fontId="6" fillId="0" borderId="5" xfId="21" applyNumberFormat="1" applyFont="1" applyBorder="1">
      <alignment/>
      <protection/>
    </xf>
    <xf numFmtId="3" fontId="6" fillId="0" borderId="0" xfId="21" applyNumberFormat="1" applyFont="1" applyBorder="1" applyAlignment="1">
      <alignment horizontal="center"/>
      <protection/>
    </xf>
    <xf numFmtId="3" fontId="8" fillId="0" borderId="0" xfId="21" applyNumberFormat="1" applyFont="1" applyBorder="1" applyAlignment="1">
      <alignment horizontal="center"/>
      <protection/>
    </xf>
    <xf numFmtId="3" fontId="8" fillId="0" borderId="5" xfId="21" applyNumberFormat="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10" fontId="6" fillId="0" borderId="0" xfId="21" applyNumberFormat="1" applyFont="1" applyBorder="1" applyAlignment="1">
      <alignment horizontal="center"/>
      <protection/>
    </xf>
    <xf numFmtId="10" fontId="6" fillId="0" borderId="5" xfId="21" applyNumberFormat="1" applyFont="1" applyBorder="1">
      <alignment/>
      <protection/>
    </xf>
    <xf numFmtId="10" fontId="8" fillId="0" borderId="0" xfId="21" applyNumberFormat="1" applyFont="1" applyBorder="1" applyAlignment="1">
      <alignment horizontal="center"/>
      <protection/>
    </xf>
    <xf numFmtId="10" fontId="8" fillId="0" borderId="5" xfId="21" applyNumberFormat="1" applyFont="1" applyBorder="1">
      <alignment/>
      <protection/>
    </xf>
    <xf numFmtId="10" fontId="6" fillId="0" borderId="6" xfId="21" applyNumberFormat="1" applyFont="1" applyBorder="1" applyAlignment="1">
      <alignment horizontal="center"/>
      <protection/>
    </xf>
    <xf numFmtId="10" fontId="6" fillId="0" borderId="7" xfId="21" applyNumberFormat="1" applyFont="1" applyBorder="1">
      <alignment/>
      <protection/>
    </xf>
    <xf numFmtId="15" fontId="6" fillId="0" borderId="3" xfId="21" applyNumberFormat="1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6" fillId="0" borderId="0" xfId="21" applyNumberFormat="1" applyFont="1" applyBorder="1" quotePrefix="1">
      <alignment/>
      <protection/>
    </xf>
    <xf numFmtId="3" fontId="6" fillId="0" borderId="0" xfId="21" applyNumberFormat="1" applyFont="1" applyBorder="1">
      <alignment/>
      <protection/>
    </xf>
    <xf numFmtId="3" fontId="8" fillId="0" borderId="0" xfId="21" applyNumberFormat="1" applyFont="1" applyBorder="1">
      <alignment/>
      <protection/>
    </xf>
    <xf numFmtId="0" fontId="6" fillId="0" borderId="0" xfId="21" applyFont="1" applyBorder="1">
      <alignment/>
      <protection/>
    </xf>
    <xf numFmtId="10" fontId="6" fillId="0" borderId="0" xfId="21" applyNumberFormat="1" applyFont="1" applyBorder="1">
      <alignment/>
      <protection/>
    </xf>
    <xf numFmtId="10" fontId="8" fillId="0" borderId="0" xfId="21" applyNumberFormat="1" applyFont="1" applyBorder="1">
      <alignment/>
      <protection/>
    </xf>
    <xf numFmtId="10" fontId="6" fillId="0" borderId="6" xfId="21" applyNumberFormat="1" applyFont="1" applyBorder="1">
      <alignment/>
      <protection/>
    </xf>
    <xf numFmtId="10" fontId="7" fillId="0" borderId="5" xfId="21" applyNumberFormat="1" applyFont="1" applyBorder="1">
      <alignment/>
      <protection/>
    </xf>
    <xf numFmtId="8" fontId="6" fillId="0" borderId="0" xfId="0" applyNumberFormat="1" applyFont="1" applyAlignment="1">
      <alignment horizontal="center"/>
    </xf>
    <xf numFmtId="165" fontId="6" fillId="0" borderId="0" xfId="21" applyNumberFormat="1" applyFont="1" applyAlignment="1">
      <alignment horizontal="center"/>
      <protection/>
    </xf>
    <xf numFmtId="15" fontId="8" fillId="0" borderId="0" xfId="21" applyNumberFormat="1" applyFont="1" applyAlignment="1">
      <alignment horizontal="center"/>
      <protection/>
    </xf>
    <xf numFmtId="10" fontId="6" fillId="0" borderId="0" xfId="21" applyNumberFormat="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10" fontId="8" fillId="0" borderId="0" xfId="21" applyNumberFormat="1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21" applyFont="1" applyAlignment="1">
      <alignment horizontal="center"/>
      <protection/>
    </xf>
    <xf numFmtId="10" fontId="10" fillId="0" borderId="0" xfId="21" applyNumberFormat="1" applyFont="1" applyAlignment="1">
      <alignment horizontal="center"/>
      <protection/>
    </xf>
    <xf numFmtId="9" fontId="6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1" fontId="6" fillId="0" borderId="0" xfId="21" applyNumberFormat="1" applyFont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>
      <alignment/>
    </xf>
    <xf numFmtId="37" fontId="8" fillId="0" borderId="0" xfId="0" applyNumberFormat="1" applyFont="1" applyBorder="1" applyAlignment="1">
      <alignment/>
    </xf>
    <xf numFmtId="3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>
      <alignment/>
    </xf>
    <xf numFmtId="37" fontId="6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>
      <alignment/>
    </xf>
    <xf numFmtId="0" fontId="6" fillId="0" borderId="3" xfId="0" applyFont="1" applyBorder="1" applyAlignment="1">
      <alignment/>
    </xf>
    <xf numFmtId="0" fontId="0" fillId="0" borderId="8" xfId="0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2" fontId="6" fillId="0" borderId="6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8" fontId="6" fillId="0" borderId="0" xfId="0" applyNumberFormat="1" applyFont="1" applyAlignment="1">
      <alignment/>
    </xf>
    <xf numFmtId="37" fontId="0" fillId="0" borderId="0" xfId="0" applyNumberFormat="1" applyAlignment="1">
      <alignment/>
    </xf>
    <xf numFmtId="169" fontId="6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/>
    </xf>
    <xf numFmtId="169" fontId="6" fillId="0" borderId="6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left"/>
    </xf>
    <xf numFmtId="38" fontId="7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Fill="1" applyAlignment="1">
      <alignment horizontal="right"/>
    </xf>
    <xf numFmtId="37" fontId="6" fillId="0" borderId="3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0" fontId="6" fillId="2" borderId="11" xfId="0" applyNumberFormat="1" applyFont="1" applyFill="1" applyBorder="1" applyAlignment="1">
      <alignment horizontal="center"/>
    </xf>
    <xf numFmtId="3" fontId="6" fillId="2" borderId="0" xfId="21" applyNumberFormat="1" applyFont="1" applyFill="1">
      <alignment/>
      <protection/>
    </xf>
    <xf numFmtId="3" fontId="7" fillId="2" borderId="12" xfId="21" applyNumberFormat="1" applyFont="1" applyFill="1" applyBorder="1">
      <alignment/>
      <protection/>
    </xf>
    <xf numFmtId="1" fontId="6" fillId="0" borderId="10" xfId="21" applyNumberFormat="1" applyFont="1" applyFill="1" applyBorder="1" applyAlignment="1">
      <alignment horizontal="center"/>
      <protection/>
    </xf>
    <xf numFmtId="0" fontId="8" fillId="0" borderId="8" xfId="21" applyFont="1" applyFill="1" applyBorder="1" applyAlignment="1">
      <alignment horizontal="center"/>
      <protection/>
    </xf>
    <xf numFmtId="3" fontId="6" fillId="0" borderId="8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6" fillId="0" borderId="8" xfId="21" applyFont="1" applyFill="1" applyBorder="1">
      <alignment/>
      <protection/>
    </xf>
    <xf numFmtId="10" fontId="6" fillId="0" borderId="8" xfId="21" applyNumberFormat="1" applyFont="1" applyFill="1" applyBorder="1">
      <alignment/>
      <protection/>
    </xf>
    <xf numFmtId="10" fontId="8" fillId="0" borderId="8" xfId="21" applyNumberFormat="1" applyFont="1" applyFill="1" applyBorder="1">
      <alignment/>
      <protection/>
    </xf>
    <xf numFmtId="10" fontId="6" fillId="0" borderId="9" xfId="21" applyNumberFormat="1" applyFont="1" applyFill="1" applyBorder="1">
      <alignment/>
      <protection/>
    </xf>
    <xf numFmtId="3" fontId="6" fillId="0" borderId="8" xfId="21" applyNumberFormat="1" applyFont="1" applyFill="1" applyBorder="1">
      <alignment/>
      <protection/>
    </xf>
    <xf numFmtId="3" fontId="8" fillId="0" borderId="8" xfId="21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3" fontId="6" fillId="2" borderId="0" xfId="0" applyNumberFormat="1" applyFont="1" applyFill="1" applyAlignment="1" quotePrefix="1">
      <alignment horizontal="center"/>
    </xf>
    <xf numFmtId="3" fontId="6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0" fontId="7" fillId="2" borderId="0" xfId="0" applyNumberFormat="1" applyFont="1" applyFill="1" applyAlignment="1">
      <alignment/>
    </xf>
    <xf numFmtId="10" fontId="6" fillId="2" borderId="0" xfId="0" applyNumberFormat="1" applyFont="1" applyFill="1" applyAlignment="1">
      <alignment/>
    </xf>
    <xf numFmtId="10" fontId="8" fillId="2" borderId="0" xfId="0" applyNumberFormat="1" applyFont="1" applyFill="1" applyAlignment="1">
      <alignment/>
    </xf>
    <xf numFmtId="169" fontId="6" fillId="2" borderId="5" xfId="0" applyNumberFormat="1" applyFont="1" applyFill="1" applyBorder="1" applyAlignment="1">
      <alignment horizontal="center"/>
    </xf>
    <xf numFmtId="169" fontId="0" fillId="2" borderId="5" xfId="0" applyNumberFormat="1" applyFill="1" applyBorder="1" applyAlignment="1">
      <alignment/>
    </xf>
    <xf numFmtId="169" fontId="6" fillId="2" borderId="7" xfId="0" applyNumberFormat="1" applyFont="1" applyFill="1" applyBorder="1" applyAlignment="1">
      <alignment horizontal="center"/>
    </xf>
    <xf numFmtId="37" fontId="6" fillId="2" borderId="0" xfId="0" applyNumberFormat="1" applyFont="1" applyFill="1" applyAlignment="1" applyProtection="1">
      <alignment/>
      <protection locked="0"/>
    </xf>
    <xf numFmtId="37" fontId="8" fillId="2" borderId="0" xfId="0" applyNumberFormat="1" applyFont="1" applyFill="1" applyAlignment="1" applyProtection="1">
      <alignment/>
      <protection locked="0"/>
    </xf>
    <xf numFmtId="37" fontId="6" fillId="2" borderId="0" xfId="0" applyNumberFormat="1" applyFont="1" applyFill="1" applyAlignment="1">
      <alignment horizontal="right"/>
    </xf>
    <xf numFmtId="10" fontId="6" fillId="2" borderId="0" xfId="0" applyNumberFormat="1" applyFont="1" applyFill="1" applyAlignment="1">
      <alignment horizontal="center"/>
    </xf>
    <xf numFmtId="37" fontId="6" fillId="2" borderId="3" xfId="0" applyNumberFormat="1" applyFont="1" applyFill="1" applyBorder="1" applyAlignment="1">
      <alignment horizontal="right"/>
    </xf>
    <xf numFmtId="37" fontId="6" fillId="2" borderId="0" xfId="0" applyNumberFormat="1" applyFont="1" applyFill="1" applyAlignment="1">
      <alignment/>
    </xf>
    <xf numFmtId="37" fontId="6" fillId="2" borderId="2" xfId="0" applyNumberFormat="1" applyFont="1" applyFill="1" applyBorder="1" applyAlignment="1" applyProtection="1">
      <alignment/>
      <protection locked="0"/>
    </xf>
    <xf numFmtId="37" fontId="6" fillId="2" borderId="11" xfId="0" applyNumberFormat="1" applyFont="1" applyFill="1" applyBorder="1" applyAlignment="1">
      <alignment/>
    </xf>
    <xf numFmtId="37" fontId="8" fillId="2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getCapStruc.xls" xfId="21"/>
    <cellStyle name="Normal_PUGETstockprice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PUGET SOUND ENERGY, INC.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'Sch2,p2'!$B$11:$B$119</c:f>
              <c:strCache>
                <c:ptCount val="109"/>
                <c:pt idx="0">
                  <c:v>37270</c:v>
                </c:pt>
                <c:pt idx="1">
                  <c:v>37263</c:v>
                </c:pt>
                <c:pt idx="2">
                  <c:v>37256</c:v>
                </c:pt>
                <c:pt idx="3">
                  <c:v>37249</c:v>
                </c:pt>
                <c:pt idx="4">
                  <c:v>37242</c:v>
                </c:pt>
                <c:pt idx="5">
                  <c:v>37235</c:v>
                </c:pt>
                <c:pt idx="6">
                  <c:v>37228</c:v>
                </c:pt>
                <c:pt idx="7">
                  <c:v>37221</c:v>
                </c:pt>
                <c:pt idx="8">
                  <c:v>37214</c:v>
                </c:pt>
                <c:pt idx="9">
                  <c:v>37207</c:v>
                </c:pt>
                <c:pt idx="10">
                  <c:v>37200</c:v>
                </c:pt>
                <c:pt idx="11">
                  <c:v>37193</c:v>
                </c:pt>
                <c:pt idx="12">
                  <c:v>37186</c:v>
                </c:pt>
                <c:pt idx="13">
                  <c:v>37179</c:v>
                </c:pt>
                <c:pt idx="14">
                  <c:v>37172</c:v>
                </c:pt>
                <c:pt idx="15">
                  <c:v>37165</c:v>
                </c:pt>
                <c:pt idx="16">
                  <c:v>37158</c:v>
                </c:pt>
                <c:pt idx="17">
                  <c:v>37151</c:v>
                </c:pt>
                <c:pt idx="18">
                  <c:v>37144</c:v>
                </c:pt>
                <c:pt idx="19">
                  <c:v>37137</c:v>
                </c:pt>
                <c:pt idx="20">
                  <c:v>37130</c:v>
                </c:pt>
                <c:pt idx="21">
                  <c:v>37123</c:v>
                </c:pt>
                <c:pt idx="22">
                  <c:v>37116</c:v>
                </c:pt>
                <c:pt idx="23">
                  <c:v>37109</c:v>
                </c:pt>
                <c:pt idx="24">
                  <c:v>37102</c:v>
                </c:pt>
                <c:pt idx="25">
                  <c:v>37095</c:v>
                </c:pt>
                <c:pt idx="26">
                  <c:v>37088</c:v>
                </c:pt>
                <c:pt idx="27">
                  <c:v>37081</c:v>
                </c:pt>
                <c:pt idx="28">
                  <c:v>37074</c:v>
                </c:pt>
                <c:pt idx="29">
                  <c:v>37067</c:v>
                </c:pt>
                <c:pt idx="30">
                  <c:v>37060</c:v>
                </c:pt>
                <c:pt idx="31">
                  <c:v>37053</c:v>
                </c:pt>
                <c:pt idx="32">
                  <c:v>37046</c:v>
                </c:pt>
                <c:pt idx="33">
                  <c:v>37039</c:v>
                </c:pt>
                <c:pt idx="34">
                  <c:v>37032</c:v>
                </c:pt>
                <c:pt idx="35">
                  <c:v>37025</c:v>
                </c:pt>
                <c:pt idx="37">
                  <c:v>37018</c:v>
                </c:pt>
                <c:pt idx="38">
                  <c:v>37011</c:v>
                </c:pt>
                <c:pt idx="39">
                  <c:v>37004</c:v>
                </c:pt>
                <c:pt idx="40">
                  <c:v>36997</c:v>
                </c:pt>
                <c:pt idx="41">
                  <c:v>36990</c:v>
                </c:pt>
                <c:pt idx="42">
                  <c:v>36983</c:v>
                </c:pt>
                <c:pt idx="43">
                  <c:v>36976</c:v>
                </c:pt>
                <c:pt idx="44">
                  <c:v>36969</c:v>
                </c:pt>
                <c:pt idx="45">
                  <c:v>36962</c:v>
                </c:pt>
                <c:pt idx="46">
                  <c:v>36955</c:v>
                </c:pt>
                <c:pt idx="47">
                  <c:v>36948</c:v>
                </c:pt>
                <c:pt idx="48">
                  <c:v>36941</c:v>
                </c:pt>
                <c:pt idx="49">
                  <c:v>36934</c:v>
                </c:pt>
                <c:pt idx="50">
                  <c:v>36927</c:v>
                </c:pt>
                <c:pt idx="51">
                  <c:v>36920</c:v>
                </c:pt>
                <c:pt idx="52">
                  <c:v>36913</c:v>
                </c:pt>
                <c:pt idx="53">
                  <c:v>36906</c:v>
                </c:pt>
                <c:pt idx="54">
                  <c:v>36899</c:v>
                </c:pt>
                <c:pt idx="55">
                  <c:v>36892</c:v>
                </c:pt>
                <c:pt idx="56">
                  <c:v>36885</c:v>
                </c:pt>
                <c:pt idx="57">
                  <c:v>36878</c:v>
                </c:pt>
                <c:pt idx="58">
                  <c:v>36871</c:v>
                </c:pt>
                <c:pt idx="59">
                  <c:v>36864</c:v>
                </c:pt>
                <c:pt idx="60">
                  <c:v>36857</c:v>
                </c:pt>
                <c:pt idx="61">
                  <c:v>36850</c:v>
                </c:pt>
                <c:pt idx="62">
                  <c:v>36843</c:v>
                </c:pt>
                <c:pt idx="63">
                  <c:v>36836</c:v>
                </c:pt>
                <c:pt idx="64">
                  <c:v>36829</c:v>
                </c:pt>
                <c:pt idx="65">
                  <c:v>36822</c:v>
                </c:pt>
                <c:pt idx="66">
                  <c:v>36815</c:v>
                </c:pt>
                <c:pt idx="67">
                  <c:v>36808</c:v>
                </c:pt>
                <c:pt idx="68">
                  <c:v>36801</c:v>
                </c:pt>
                <c:pt idx="69">
                  <c:v>36794</c:v>
                </c:pt>
                <c:pt idx="70">
                  <c:v>36787</c:v>
                </c:pt>
                <c:pt idx="71">
                  <c:v>36780</c:v>
                </c:pt>
                <c:pt idx="72">
                  <c:v>36773</c:v>
                </c:pt>
                <c:pt idx="73">
                  <c:v>36766</c:v>
                </c:pt>
                <c:pt idx="74">
                  <c:v>36759</c:v>
                </c:pt>
                <c:pt idx="75">
                  <c:v>36752</c:v>
                </c:pt>
                <c:pt idx="76">
                  <c:v>36745</c:v>
                </c:pt>
                <c:pt idx="77">
                  <c:v>36738</c:v>
                </c:pt>
                <c:pt idx="78">
                  <c:v>36731</c:v>
                </c:pt>
                <c:pt idx="79">
                  <c:v>36724</c:v>
                </c:pt>
                <c:pt idx="80">
                  <c:v>36717</c:v>
                </c:pt>
                <c:pt idx="81">
                  <c:v>36710</c:v>
                </c:pt>
                <c:pt idx="82">
                  <c:v>36703</c:v>
                </c:pt>
                <c:pt idx="83">
                  <c:v>36696</c:v>
                </c:pt>
                <c:pt idx="84">
                  <c:v>36689</c:v>
                </c:pt>
                <c:pt idx="85">
                  <c:v>36682</c:v>
                </c:pt>
                <c:pt idx="86">
                  <c:v>36675</c:v>
                </c:pt>
                <c:pt idx="87">
                  <c:v>36668</c:v>
                </c:pt>
                <c:pt idx="88">
                  <c:v>36661</c:v>
                </c:pt>
                <c:pt idx="89">
                  <c:v>36654</c:v>
                </c:pt>
                <c:pt idx="90">
                  <c:v>36647</c:v>
                </c:pt>
                <c:pt idx="91">
                  <c:v>36640</c:v>
                </c:pt>
                <c:pt idx="92">
                  <c:v>36633</c:v>
                </c:pt>
                <c:pt idx="93">
                  <c:v>36626</c:v>
                </c:pt>
                <c:pt idx="94">
                  <c:v>36619</c:v>
                </c:pt>
                <c:pt idx="95">
                  <c:v>36612</c:v>
                </c:pt>
                <c:pt idx="96">
                  <c:v>36605</c:v>
                </c:pt>
                <c:pt idx="97">
                  <c:v>36598</c:v>
                </c:pt>
                <c:pt idx="98">
                  <c:v>36591</c:v>
                </c:pt>
                <c:pt idx="99">
                  <c:v>36584</c:v>
                </c:pt>
                <c:pt idx="100">
                  <c:v>36577</c:v>
                </c:pt>
                <c:pt idx="101">
                  <c:v>36570</c:v>
                </c:pt>
                <c:pt idx="102">
                  <c:v>36563</c:v>
                </c:pt>
                <c:pt idx="103">
                  <c:v>36556</c:v>
                </c:pt>
                <c:pt idx="104">
                  <c:v>36549</c:v>
                </c:pt>
                <c:pt idx="105">
                  <c:v>36542</c:v>
                </c:pt>
                <c:pt idx="106">
                  <c:v>36535</c:v>
                </c:pt>
                <c:pt idx="107">
                  <c:v>36528</c:v>
                </c:pt>
                <c:pt idx="108">
                  <c:v>36521</c:v>
                </c:pt>
              </c:strCache>
            </c:strRef>
          </c:cat>
          <c:val>
            <c:numRef>
              <c:f>'Sch2,p2'!$C$11:$C$119</c:f>
              <c:numCache>
                <c:ptCount val="109"/>
                <c:pt idx="0">
                  <c:v>23.41</c:v>
                </c:pt>
                <c:pt idx="1">
                  <c:v>22.99</c:v>
                </c:pt>
                <c:pt idx="2">
                  <c:v>22.28</c:v>
                </c:pt>
                <c:pt idx="3">
                  <c:v>21.85</c:v>
                </c:pt>
                <c:pt idx="4">
                  <c:v>20.55</c:v>
                </c:pt>
                <c:pt idx="5">
                  <c:v>20.11</c:v>
                </c:pt>
                <c:pt idx="6">
                  <c:v>20.27</c:v>
                </c:pt>
                <c:pt idx="7">
                  <c:v>19.4</c:v>
                </c:pt>
                <c:pt idx="8">
                  <c:v>20.18</c:v>
                </c:pt>
                <c:pt idx="9">
                  <c:v>20.27</c:v>
                </c:pt>
                <c:pt idx="10">
                  <c:v>20.21</c:v>
                </c:pt>
                <c:pt idx="11">
                  <c:v>18.8</c:v>
                </c:pt>
                <c:pt idx="12">
                  <c:v>19.7</c:v>
                </c:pt>
                <c:pt idx="13">
                  <c:v>20.07</c:v>
                </c:pt>
                <c:pt idx="14">
                  <c:v>20.0703</c:v>
                </c:pt>
                <c:pt idx="15">
                  <c:v>21.7917</c:v>
                </c:pt>
                <c:pt idx="16">
                  <c:v>21.019</c:v>
                </c:pt>
                <c:pt idx="17">
                  <c:v>22.5938</c:v>
                </c:pt>
                <c:pt idx="18">
                  <c:v>23.7479</c:v>
                </c:pt>
                <c:pt idx="19">
                  <c:v>24.0511</c:v>
                </c:pt>
                <c:pt idx="20">
                  <c:v>24.2369</c:v>
                </c:pt>
                <c:pt idx="21">
                  <c:v>23.5816</c:v>
                </c:pt>
                <c:pt idx="22">
                  <c:v>23.7577</c:v>
                </c:pt>
                <c:pt idx="23">
                  <c:v>23.6012</c:v>
                </c:pt>
                <c:pt idx="24">
                  <c:v>23.787</c:v>
                </c:pt>
                <c:pt idx="25">
                  <c:v>23.6501</c:v>
                </c:pt>
                <c:pt idx="26">
                  <c:v>23.5034</c:v>
                </c:pt>
                <c:pt idx="27">
                  <c:v>25.3691</c:v>
                </c:pt>
                <c:pt idx="28">
                  <c:v>25.446</c:v>
                </c:pt>
                <c:pt idx="29">
                  <c:v>25.1769</c:v>
                </c:pt>
                <c:pt idx="30">
                  <c:v>24.7349</c:v>
                </c:pt>
                <c:pt idx="31">
                  <c:v>23.4568</c:v>
                </c:pt>
                <c:pt idx="32">
                  <c:v>23.1878</c:v>
                </c:pt>
                <c:pt idx="33">
                  <c:v>22.986</c:v>
                </c:pt>
                <c:pt idx="34">
                  <c:v>22.9283</c:v>
                </c:pt>
                <c:pt idx="35">
                  <c:v>23.1013</c:v>
                </c:pt>
                <c:pt idx="37">
                  <c:v>22.4286</c:v>
                </c:pt>
                <c:pt idx="38">
                  <c:v>22.5631</c:v>
                </c:pt>
                <c:pt idx="39">
                  <c:v>22.64</c:v>
                </c:pt>
                <c:pt idx="40">
                  <c:v>22.9379</c:v>
                </c:pt>
                <c:pt idx="41">
                  <c:v>22.6667</c:v>
                </c:pt>
                <c:pt idx="42">
                  <c:v>21.9124</c:v>
                </c:pt>
                <c:pt idx="43">
                  <c:v>21.5729</c:v>
                </c:pt>
                <c:pt idx="44">
                  <c:v>20.036</c:v>
                </c:pt>
                <c:pt idx="45">
                  <c:v>21.0638</c:v>
                </c:pt>
                <c:pt idx="46">
                  <c:v>22.0444</c:v>
                </c:pt>
                <c:pt idx="47">
                  <c:v>22.4404</c:v>
                </c:pt>
                <c:pt idx="48">
                  <c:v>22.5346</c:v>
                </c:pt>
                <c:pt idx="49">
                  <c:v>23.3455</c:v>
                </c:pt>
                <c:pt idx="50">
                  <c:v>23.2795</c:v>
                </c:pt>
                <c:pt idx="51">
                  <c:v>22.4969</c:v>
                </c:pt>
                <c:pt idx="52">
                  <c:v>23.9254</c:v>
                </c:pt>
                <c:pt idx="53">
                  <c:v>23.1004</c:v>
                </c:pt>
                <c:pt idx="54">
                  <c:v>22.7211</c:v>
                </c:pt>
                <c:pt idx="55">
                  <c:v>22.8946</c:v>
                </c:pt>
                <c:pt idx="56">
                  <c:v>25.7275</c:v>
                </c:pt>
                <c:pt idx="57">
                  <c:v>25.3806</c:v>
                </c:pt>
                <c:pt idx="58">
                  <c:v>24.3977</c:v>
                </c:pt>
                <c:pt idx="59">
                  <c:v>24.9181</c:v>
                </c:pt>
                <c:pt idx="60">
                  <c:v>24.2243</c:v>
                </c:pt>
                <c:pt idx="61">
                  <c:v>23.5883</c:v>
                </c:pt>
                <c:pt idx="62">
                  <c:v>23.4727</c:v>
                </c:pt>
                <c:pt idx="63">
                  <c:v>22.6633</c:v>
                </c:pt>
                <c:pt idx="64">
                  <c:v>22.5477</c:v>
                </c:pt>
                <c:pt idx="65">
                  <c:v>22.3742</c:v>
                </c:pt>
                <c:pt idx="66">
                  <c:v>22.2586</c:v>
                </c:pt>
                <c:pt idx="67">
                  <c:v>22.6478</c:v>
                </c:pt>
                <c:pt idx="68">
                  <c:v>21.7396</c:v>
                </c:pt>
                <c:pt idx="69">
                  <c:v>23.0593</c:v>
                </c:pt>
                <c:pt idx="70">
                  <c:v>22.1937</c:v>
                </c:pt>
                <c:pt idx="71">
                  <c:v>23.3998</c:v>
                </c:pt>
                <c:pt idx="72">
                  <c:v>22.6194</c:v>
                </c:pt>
                <c:pt idx="73">
                  <c:v>21.5125</c:v>
                </c:pt>
                <c:pt idx="74">
                  <c:v>20.8314</c:v>
                </c:pt>
                <c:pt idx="75">
                  <c:v>21.8531</c:v>
                </c:pt>
                <c:pt idx="76">
                  <c:v>21.6828</c:v>
                </c:pt>
                <c:pt idx="77">
                  <c:v>21.6828</c:v>
                </c:pt>
                <c:pt idx="78">
                  <c:v>20.7179</c:v>
                </c:pt>
                <c:pt idx="79">
                  <c:v>20.8882</c:v>
                </c:pt>
                <c:pt idx="80">
                  <c:v>20.8186</c:v>
                </c:pt>
                <c:pt idx="81">
                  <c:v>20.3177</c:v>
                </c:pt>
                <c:pt idx="82">
                  <c:v>19.1487</c:v>
                </c:pt>
                <c:pt idx="83">
                  <c:v>20.1507</c:v>
                </c:pt>
                <c:pt idx="84">
                  <c:v>20.763</c:v>
                </c:pt>
                <c:pt idx="85">
                  <c:v>20.4846</c:v>
                </c:pt>
                <c:pt idx="86">
                  <c:v>20.5403</c:v>
                </c:pt>
                <c:pt idx="87">
                  <c:v>20.93</c:v>
                </c:pt>
                <c:pt idx="88">
                  <c:v>20.596</c:v>
                </c:pt>
                <c:pt idx="89">
                  <c:v>20.9856</c:v>
                </c:pt>
                <c:pt idx="90">
                  <c:v>20.596</c:v>
                </c:pt>
                <c:pt idx="91">
                  <c:v>21.1526</c:v>
                </c:pt>
                <c:pt idx="92">
                  <c:v>20.3177</c:v>
                </c:pt>
                <c:pt idx="93">
                  <c:v>20.3544</c:v>
                </c:pt>
                <c:pt idx="94">
                  <c:v>19.7541</c:v>
                </c:pt>
                <c:pt idx="95">
                  <c:v>19.3721</c:v>
                </c:pt>
                <c:pt idx="96">
                  <c:v>18.6082</c:v>
                </c:pt>
                <c:pt idx="97">
                  <c:v>18.6082</c:v>
                </c:pt>
                <c:pt idx="98">
                  <c:v>17.4076</c:v>
                </c:pt>
                <c:pt idx="99">
                  <c:v>17.5713</c:v>
                </c:pt>
                <c:pt idx="100">
                  <c:v>17.2985</c:v>
                </c:pt>
                <c:pt idx="101">
                  <c:v>18.4444</c:v>
                </c:pt>
                <c:pt idx="102">
                  <c:v>19.3176</c:v>
                </c:pt>
                <c:pt idx="103">
                  <c:v>20.2998</c:v>
                </c:pt>
                <c:pt idx="104">
                  <c:v>19.3176</c:v>
                </c:pt>
                <c:pt idx="105">
                  <c:v>17.5713</c:v>
                </c:pt>
                <c:pt idx="106">
                  <c:v>17.2243</c:v>
                </c:pt>
                <c:pt idx="107">
                  <c:v>17.3843</c:v>
                </c:pt>
                <c:pt idx="108">
                  <c:v>16.531</c:v>
                </c:pt>
              </c:numCache>
            </c:numRef>
          </c:val>
          <c:smooth val="0"/>
        </c:ser>
        <c:marker val="1"/>
        <c:axId val="39677735"/>
        <c:axId val="21555296"/>
      </c:lineChart>
      <c:dateAx>
        <c:axId val="3967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5296"/>
        <c:crosses val="autoZero"/>
        <c:auto val="0"/>
        <c:noMultiLvlLbl val="0"/>
      </c:dateAx>
      <c:valAx>
        <c:axId val="21555296"/>
        <c:scaling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7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headerFooter>
    <oddHeader>&amp;R&amp;"Times,Regular"Exhibit__(SGH-1)
Schedule 2
Page 1 of 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0.0515</cdr:y>
    </cdr:from>
    <cdr:to>
      <cdr:x>0.55275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048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STOCK PRICE</a:t>
          </a:r>
        </a:p>
      </cdr:txBody>
    </cdr:sp>
  </cdr:relSizeAnchor>
  <cdr:relSizeAnchor xmlns:cdr="http://schemas.openxmlformats.org/drawingml/2006/chartDrawing">
    <cdr:from>
      <cdr:x>0.353</cdr:x>
      <cdr:y>0.07425</cdr:y>
    </cdr:from>
    <cdr:to>
      <cdr:x>0.607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438150"/>
          <a:ext cx="22002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DECEMBER 1999 - JANUARY 2002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7"/>
  <sheetViews>
    <sheetView workbookViewId="0" topLeftCell="A1">
      <selection activeCell="J26" sqref="J26"/>
    </sheetView>
  </sheetViews>
  <sheetFormatPr defaultColWidth="9.140625" defaultRowHeight="12.75"/>
  <cols>
    <col min="1" max="2" width="10.8515625" style="1" customWidth="1"/>
    <col min="3" max="9" width="5.8515625" style="1" customWidth="1"/>
    <col min="10" max="16384" width="8.8515625" style="1" customWidth="1"/>
  </cols>
  <sheetData>
    <row r="1" ht="12.75">
      <c r="K1" s="2" t="s">
        <v>222</v>
      </c>
    </row>
    <row r="2" ht="12.75">
      <c r="K2" s="2" t="s">
        <v>223</v>
      </c>
    </row>
    <row r="5" ht="12.75">
      <c r="G5" s="4" t="s">
        <v>224</v>
      </c>
    </row>
    <row r="6" ht="12.75">
      <c r="G6" s="4" t="s">
        <v>225</v>
      </c>
    </row>
    <row r="7" ht="12.75">
      <c r="G7" s="5" t="s">
        <v>271</v>
      </c>
    </row>
    <row r="8" ht="12.75">
      <c r="G8" s="5" t="s">
        <v>229</v>
      </c>
    </row>
    <row r="9" ht="12.75">
      <c r="G9" s="5"/>
    </row>
    <row r="10" ht="12.75">
      <c r="K10" s="1" t="s">
        <v>266</v>
      </c>
    </row>
    <row r="11" spans="10:11" ht="12.75">
      <c r="J11" s="5" t="s">
        <v>270</v>
      </c>
      <c r="K11" s="5" t="s">
        <v>227</v>
      </c>
    </row>
    <row r="12" spans="10:11" ht="12.75">
      <c r="J12" s="5" t="s">
        <v>269</v>
      </c>
      <c r="K12" s="5" t="s">
        <v>267</v>
      </c>
    </row>
    <row r="13" spans="2:11" ht="12.75">
      <c r="B13" s="6" t="s">
        <v>228</v>
      </c>
      <c r="C13" s="7" t="s">
        <v>215</v>
      </c>
      <c r="D13" s="7" t="s">
        <v>216</v>
      </c>
      <c r="E13" s="7" t="s">
        <v>217</v>
      </c>
      <c r="F13" s="7" t="s">
        <v>218</v>
      </c>
      <c r="G13" s="7" t="s">
        <v>219</v>
      </c>
      <c r="H13" s="7" t="s">
        <v>220</v>
      </c>
      <c r="I13" s="7" t="s">
        <v>221</v>
      </c>
      <c r="J13" s="7" t="s">
        <v>227</v>
      </c>
      <c r="K13" s="7" t="s">
        <v>268</v>
      </c>
    </row>
    <row r="14" spans="2:11" ht="12.75">
      <c r="B14" s="6"/>
      <c r="C14" s="7"/>
      <c r="D14" s="7"/>
      <c r="E14" s="7"/>
      <c r="F14" s="7"/>
      <c r="G14" s="7"/>
      <c r="H14" s="7"/>
      <c r="I14" s="7"/>
      <c r="J14" s="7"/>
      <c r="K14" s="7"/>
    </row>
    <row r="15" ht="12.75">
      <c r="B15" s="6" t="s">
        <v>234</v>
      </c>
    </row>
    <row r="16" spans="2:11" ht="12.75">
      <c r="B16" s="1" t="s">
        <v>198</v>
      </c>
      <c r="C16" s="1">
        <v>72</v>
      </c>
      <c r="D16" s="1">
        <v>77</v>
      </c>
      <c r="E16" s="1">
        <v>82</v>
      </c>
      <c r="F16" s="1">
        <v>91</v>
      </c>
      <c r="G16" s="1">
        <v>105</v>
      </c>
      <c r="H16" s="1">
        <v>113</v>
      </c>
      <c r="I16" s="1">
        <v>124</v>
      </c>
      <c r="K16" s="5"/>
    </row>
    <row r="17" spans="2:11" ht="12.75">
      <c r="B17" s="1" t="s">
        <v>199</v>
      </c>
      <c r="C17" s="1">
        <v>74</v>
      </c>
      <c r="D17" s="1">
        <v>78</v>
      </c>
      <c r="E17" s="1">
        <v>88</v>
      </c>
      <c r="F17" s="1">
        <v>96</v>
      </c>
      <c r="G17" s="1">
        <v>110</v>
      </c>
      <c r="H17" s="1">
        <v>122</v>
      </c>
      <c r="I17" s="1">
        <v>139</v>
      </c>
      <c r="K17" s="116">
        <f>AVERAGE(C17:I17)-AVERAGE(C16:I16)</f>
        <v>6.142857142857139</v>
      </c>
    </row>
    <row r="18" spans="2:11" ht="12.75">
      <c r="B18" s="1" t="s">
        <v>200</v>
      </c>
      <c r="C18" s="1">
        <v>76</v>
      </c>
      <c r="D18" s="1">
        <v>79</v>
      </c>
      <c r="E18" s="1">
        <v>91</v>
      </c>
      <c r="F18" s="1">
        <v>104</v>
      </c>
      <c r="G18" s="1">
        <v>115</v>
      </c>
      <c r="H18" s="1">
        <v>125</v>
      </c>
      <c r="I18" s="1">
        <v>143</v>
      </c>
      <c r="K18" s="116">
        <f aca="true" t="shared" si="0" ref="K18:K25">AVERAGE(C18:I18)-AVERAGE(C17:I17)</f>
        <v>3.714285714285708</v>
      </c>
    </row>
    <row r="19" spans="2:11" ht="12.75">
      <c r="B19" s="1" t="s">
        <v>201</v>
      </c>
      <c r="C19" s="1">
        <v>75</v>
      </c>
      <c r="D19" s="1">
        <v>84</v>
      </c>
      <c r="E19" s="1">
        <v>96</v>
      </c>
      <c r="F19" s="1">
        <v>112</v>
      </c>
      <c r="G19" s="1">
        <v>120</v>
      </c>
      <c r="H19" s="1">
        <v>133</v>
      </c>
      <c r="I19" s="1">
        <v>151</v>
      </c>
      <c r="K19" s="116">
        <f t="shared" si="0"/>
        <v>5.428571428571431</v>
      </c>
    </row>
    <row r="20" spans="2:11" ht="12.75">
      <c r="B20" s="1" t="s">
        <v>202</v>
      </c>
      <c r="C20" s="1">
        <v>80</v>
      </c>
      <c r="D20" s="1">
        <v>94</v>
      </c>
      <c r="E20" s="1">
        <v>99</v>
      </c>
      <c r="F20" s="1">
        <v>119</v>
      </c>
      <c r="G20" s="1">
        <v>139</v>
      </c>
      <c r="H20" s="1">
        <v>153</v>
      </c>
      <c r="I20" s="1">
        <v>163</v>
      </c>
      <c r="K20" s="116">
        <f t="shared" si="0"/>
        <v>10.857142857142861</v>
      </c>
    </row>
    <row r="21" spans="2:11" ht="12.75">
      <c r="B21" s="1" t="s">
        <v>203</v>
      </c>
      <c r="C21" s="1">
        <v>87</v>
      </c>
      <c r="D21" s="1">
        <v>99</v>
      </c>
      <c r="E21" s="1">
        <v>109</v>
      </c>
      <c r="F21" s="1">
        <v>137</v>
      </c>
      <c r="G21" s="1">
        <v>144</v>
      </c>
      <c r="H21" s="1">
        <v>160</v>
      </c>
      <c r="I21" s="1">
        <v>168</v>
      </c>
      <c r="K21" s="116">
        <f t="shared" si="0"/>
        <v>8.142857142857139</v>
      </c>
    </row>
    <row r="22" spans="2:11" ht="12.75">
      <c r="B22" s="1" t="s">
        <v>204</v>
      </c>
      <c r="C22" s="1">
        <v>92</v>
      </c>
      <c r="D22" s="1">
        <v>104</v>
      </c>
      <c r="E22" s="1">
        <v>110</v>
      </c>
      <c r="F22" s="1">
        <v>144</v>
      </c>
      <c r="G22" s="1">
        <v>153</v>
      </c>
      <c r="H22" s="1">
        <v>163</v>
      </c>
      <c r="I22" s="1">
        <v>208</v>
      </c>
      <c r="K22" s="116">
        <f t="shared" si="0"/>
        <v>10</v>
      </c>
    </row>
    <row r="23" spans="2:11" ht="12.75">
      <c r="B23" s="1" t="s">
        <v>205</v>
      </c>
      <c r="C23" s="1">
        <v>100</v>
      </c>
      <c r="D23" s="1">
        <v>123</v>
      </c>
      <c r="E23" s="1">
        <v>130</v>
      </c>
      <c r="F23" s="1">
        <v>156</v>
      </c>
      <c r="G23" s="1">
        <v>170</v>
      </c>
      <c r="H23" s="1">
        <v>180</v>
      </c>
      <c r="I23" s="1">
        <v>213</v>
      </c>
      <c r="K23" s="116">
        <f t="shared" si="0"/>
        <v>14</v>
      </c>
    </row>
    <row r="24" spans="2:11" ht="12.75">
      <c r="B24" s="1" t="s">
        <v>206</v>
      </c>
      <c r="C24" s="1">
        <v>114</v>
      </c>
      <c r="D24" s="1">
        <v>134</v>
      </c>
      <c r="E24" s="1">
        <v>141</v>
      </c>
      <c r="F24" s="1">
        <v>169</v>
      </c>
      <c r="G24" s="1">
        <v>183</v>
      </c>
      <c r="H24" s="1">
        <v>200</v>
      </c>
      <c r="I24" s="1">
        <v>224</v>
      </c>
      <c r="K24" s="116">
        <f t="shared" si="0"/>
        <v>13.285714285714278</v>
      </c>
    </row>
    <row r="25" spans="2:11" ht="12.75">
      <c r="B25" s="1" t="s">
        <v>207</v>
      </c>
      <c r="C25" s="1">
        <v>121</v>
      </c>
      <c r="D25" s="1">
        <v>148</v>
      </c>
      <c r="E25" s="1">
        <v>156</v>
      </c>
      <c r="F25" s="1">
        <v>175</v>
      </c>
      <c r="G25" s="1">
        <v>192</v>
      </c>
      <c r="H25" s="1">
        <v>214</v>
      </c>
      <c r="I25" s="3">
        <v>234</v>
      </c>
      <c r="K25" s="116">
        <f t="shared" si="0"/>
        <v>10.714285714285722</v>
      </c>
    </row>
    <row r="26" spans="2:11" ht="12.75">
      <c r="B26" s="1" t="s">
        <v>208</v>
      </c>
      <c r="C26" s="1">
        <v>255</v>
      </c>
      <c r="D26" s="1">
        <v>287</v>
      </c>
      <c r="E26" s="1">
        <v>310</v>
      </c>
      <c r="F26" s="1">
        <v>375</v>
      </c>
      <c r="G26" s="1">
        <v>390</v>
      </c>
      <c r="H26" s="1">
        <v>420</v>
      </c>
      <c r="I26" s="3">
        <v>445</v>
      </c>
      <c r="J26" s="4">
        <f>I26-I25</f>
        <v>211</v>
      </c>
      <c r="K26" s="117">
        <f>AVERAGE(C26:I26)-AVERAGE(C25:I25)</f>
        <v>177.42857142857142</v>
      </c>
    </row>
    <row r="27" spans="2:11" ht="12.75">
      <c r="B27" s="1" t="s">
        <v>209</v>
      </c>
      <c r="C27" s="1">
        <v>265</v>
      </c>
      <c r="D27" s="1">
        <v>290</v>
      </c>
      <c r="E27" s="1">
        <v>315</v>
      </c>
      <c r="F27" s="1">
        <v>385</v>
      </c>
      <c r="G27" s="1">
        <v>435</v>
      </c>
      <c r="H27" s="1">
        <v>455</v>
      </c>
      <c r="I27" s="1">
        <v>505</v>
      </c>
      <c r="J27" s="3"/>
      <c r="K27" s="116">
        <f aca="true" t="shared" si="1" ref="K27:K32">AVERAGE(C27:I27)-AVERAGE(C26:I26)</f>
        <v>24</v>
      </c>
    </row>
    <row r="28" spans="2:11" ht="12.75">
      <c r="B28" s="1" t="s">
        <v>210</v>
      </c>
      <c r="C28" s="1">
        <v>275</v>
      </c>
      <c r="D28" s="1">
        <v>300</v>
      </c>
      <c r="E28" s="1">
        <v>320</v>
      </c>
      <c r="F28" s="1">
        <v>405</v>
      </c>
      <c r="G28" s="1">
        <v>465</v>
      </c>
      <c r="H28" s="1">
        <v>510</v>
      </c>
      <c r="I28" s="1">
        <v>555</v>
      </c>
      <c r="J28" s="3"/>
      <c r="K28" s="116">
        <f t="shared" si="1"/>
        <v>25.714285714285722</v>
      </c>
    </row>
    <row r="29" spans="2:11" ht="12.75">
      <c r="B29" s="1" t="s">
        <v>211</v>
      </c>
      <c r="C29" s="1">
        <v>285</v>
      </c>
      <c r="D29" s="1">
        <v>325</v>
      </c>
      <c r="E29" s="1">
        <v>455</v>
      </c>
      <c r="F29" s="1">
        <v>560</v>
      </c>
      <c r="G29" s="1">
        <v>665</v>
      </c>
      <c r="H29" s="1">
        <v>720</v>
      </c>
      <c r="I29" s="1">
        <v>795</v>
      </c>
      <c r="J29" s="3"/>
      <c r="K29" s="116">
        <f t="shared" si="1"/>
        <v>139.28571428571428</v>
      </c>
    </row>
    <row r="30" spans="2:11" ht="12.75">
      <c r="B30" s="1" t="s">
        <v>212</v>
      </c>
      <c r="C30" s="1">
        <v>415</v>
      </c>
      <c r="D30" s="1">
        <v>440</v>
      </c>
      <c r="E30" s="1">
        <v>505</v>
      </c>
      <c r="F30" s="1">
        <v>610</v>
      </c>
      <c r="G30" s="1">
        <v>695</v>
      </c>
      <c r="H30" s="1">
        <v>820</v>
      </c>
      <c r="I30" s="1">
        <v>845</v>
      </c>
      <c r="J30" s="3"/>
      <c r="K30" s="116">
        <f t="shared" si="1"/>
        <v>75</v>
      </c>
    </row>
    <row r="31" spans="2:11" ht="12.75">
      <c r="B31" s="1" t="s">
        <v>213</v>
      </c>
      <c r="C31" s="1">
        <v>440</v>
      </c>
      <c r="D31" s="1">
        <v>480</v>
      </c>
      <c r="E31" s="1">
        <v>555</v>
      </c>
      <c r="F31" s="1">
        <v>660</v>
      </c>
      <c r="G31" s="1">
        <v>795</v>
      </c>
      <c r="H31" s="1">
        <v>870</v>
      </c>
      <c r="I31" s="1">
        <v>945</v>
      </c>
      <c r="J31" s="3"/>
      <c r="K31" s="116">
        <f t="shared" si="1"/>
        <v>59.285714285714334</v>
      </c>
    </row>
    <row r="32" spans="2:11" ht="12.75">
      <c r="B32" s="1" t="s">
        <v>214</v>
      </c>
      <c r="C32" s="1">
        <v>470</v>
      </c>
      <c r="D32" s="1">
        <v>540</v>
      </c>
      <c r="E32" s="1">
        <v>655</v>
      </c>
      <c r="F32" s="1">
        <v>760</v>
      </c>
      <c r="G32" s="1">
        <v>920</v>
      </c>
      <c r="H32" s="1">
        <v>945</v>
      </c>
      <c r="I32" s="1">
        <v>1045</v>
      </c>
      <c r="J32" s="3"/>
      <c r="K32" s="116">
        <f t="shared" si="1"/>
        <v>84.28571428571422</v>
      </c>
    </row>
    <row r="36" ht="12.75">
      <c r="B36" s="1" t="s">
        <v>226</v>
      </c>
    </row>
    <row r="37" ht="12.75">
      <c r="B37" s="1" t="s">
        <v>235</v>
      </c>
    </row>
  </sheetData>
  <printOptions/>
  <pageMargins left="0.75" right="0.75" top="1" bottom="1" header="0.5" footer="0.5"/>
  <pageSetup fitToHeight="1" fitToWidth="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B25">
      <selection activeCell="J38" sqref="J38"/>
    </sheetView>
  </sheetViews>
  <sheetFormatPr defaultColWidth="9.140625" defaultRowHeight="12.75"/>
  <cols>
    <col min="1" max="3" width="11.421875" style="0" customWidth="1"/>
    <col min="4" max="4" width="6.8515625" style="0" customWidth="1"/>
    <col min="5" max="5" width="5.140625" style="0" customWidth="1"/>
    <col min="6" max="16384" width="11.421875" style="0" customWidth="1"/>
  </cols>
  <sheetData>
    <row r="1" spans="4:8" ht="12.75">
      <c r="D1" s="1"/>
      <c r="E1" s="1"/>
      <c r="F1" s="1"/>
      <c r="G1" s="1"/>
      <c r="H1" s="2" t="s">
        <v>222</v>
      </c>
    </row>
    <row r="2" spans="4:8" ht="12.75">
      <c r="D2" s="1"/>
      <c r="E2" s="1"/>
      <c r="F2" s="1"/>
      <c r="G2" s="1"/>
      <c r="H2" s="2" t="s">
        <v>9</v>
      </c>
    </row>
    <row r="3" spans="4:8" ht="12.75">
      <c r="D3" s="1"/>
      <c r="E3" s="1"/>
      <c r="F3" s="1"/>
      <c r="G3" s="1"/>
      <c r="H3" s="1"/>
    </row>
    <row r="4" spans="4:8" ht="12.75">
      <c r="D4" s="1"/>
      <c r="E4" s="1"/>
      <c r="F4" s="1"/>
      <c r="G4" s="1"/>
      <c r="H4" s="1"/>
    </row>
    <row r="5" spans="5:8" ht="12.75">
      <c r="E5" s="4" t="s">
        <v>224</v>
      </c>
      <c r="F5" s="1"/>
      <c r="G5" s="1"/>
      <c r="H5" s="1"/>
    </row>
    <row r="6" spans="5:8" ht="12.75">
      <c r="E6" s="4" t="s">
        <v>11</v>
      </c>
      <c r="F6" s="1"/>
      <c r="G6" s="1"/>
      <c r="H6" s="1"/>
    </row>
    <row r="7" spans="5:8" ht="12.75">
      <c r="E7" s="5" t="s">
        <v>10</v>
      </c>
      <c r="F7" s="1"/>
      <c r="G7" s="1"/>
      <c r="H7" s="1"/>
    </row>
    <row r="10" spans="6:14" ht="12.75">
      <c r="F10" s="5" t="s">
        <v>46</v>
      </c>
      <c r="G10" s="5" t="s">
        <v>46</v>
      </c>
      <c r="H10" s="5" t="s">
        <v>83</v>
      </c>
      <c r="N10" t="s">
        <v>22</v>
      </c>
    </row>
    <row r="11" spans="6:8" ht="12.75">
      <c r="F11" s="77">
        <v>1998</v>
      </c>
      <c r="G11" s="77">
        <v>1999</v>
      </c>
      <c r="H11" s="7">
        <v>2002</v>
      </c>
    </row>
    <row r="12" spans="6:7" ht="12.75">
      <c r="F12" s="77"/>
      <c r="G12" s="77"/>
    </row>
    <row r="13" spans="2:8" ht="12.75">
      <c r="B13" s="3" t="s">
        <v>84</v>
      </c>
      <c r="C13" s="1"/>
      <c r="F13" s="78"/>
      <c r="G13" s="78"/>
      <c r="H13" s="1"/>
    </row>
    <row r="14" spans="2:16" ht="12.75">
      <c r="B14" s="1"/>
      <c r="C14" s="1" t="s">
        <v>85</v>
      </c>
      <c r="F14" s="79">
        <v>1475208</v>
      </c>
      <c r="G14" s="79">
        <v>1558012</v>
      </c>
      <c r="H14" s="144"/>
      <c r="I14" s="81"/>
      <c r="M14" s="1" t="s">
        <v>85</v>
      </c>
      <c r="N14" s="79">
        <v>1475208</v>
      </c>
      <c r="O14" s="79">
        <v>1558012</v>
      </c>
      <c r="P14" s="80">
        <v>1278184</v>
      </c>
    </row>
    <row r="15" spans="2:16" ht="12.75">
      <c r="B15" s="1"/>
      <c r="C15" s="1" t="s">
        <v>86</v>
      </c>
      <c r="F15" s="79">
        <v>416551</v>
      </c>
      <c r="G15" s="79">
        <v>485488</v>
      </c>
      <c r="H15" s="144"/>
      <c r="I15" s="99"/>
      <c r="M15" s="1" t="s">
        <v>86</v>
      </c>
      <c r="N15" s="79">
        <v>416551</v>
      </c>
      <c r="O15" s="79">
        <v>485488</v>
      </c>
      <c r="P15" s="80">
        <v>616789</v>
      </c>
    </row>
    <row r="16" spans="2:16" ht="12.75">
      <c r="B16" s="1"/>
      <c r="C16" s="1" t="s">
        <v>6</v>
      </c>
      <c r="F16" s="82">
        <v>0</v>
      </c>
      <c r="G16" s="82">
        <v>0</v>
      </c>
      <c r="H16" s="145"/>
      <c r="I16" s="84"/>
      <c r="M16" s="1" t="s">
        <v>6</v>
      </c>
      <c r="N16" s="82">
        <v>0</v>
      </c>
      <c r="O16" s="82">
        <v>0</v>
      </c>
      <c r="P16" s="83">
        <v>0</v>
      </c>
    </row>
    <row r="17" spans="2:16" ht="12.75">
      <c r="B17" s="1"/>
      <c r="C17" s="1" t="s">
        <v>70</v>
      </c>
      <c r="F17" s="79">
        <f>SUM(F14:F16)</f>
        <v>1891759</v>
      </c>
      <c r="G17" s="79">
        <f>SUM(G14:G16)</f>
        <v>2043500</v>
      </c>
      <c r="H17" s="144"/>
      <c r="I17" s="80"/>
      <c r="M17" s="1" t="s">
        <v>70</v>
      </c>
      <c r="N17" s="79">
        <f>SUM(N14:N16)</f>
        <v>1891759</v>
      </c>
      <c r="O17" s="79">
        <f>SUM(O14:O16)</f>
        <v>2043500</v>
      </c>
      <c r="P17" s="80">
        <f>P14+P15</f>
        <v>1894973</v>
      </c>
    </row>
    <row r="18" spans="2:16" ht="12.75">
      <c r="B18" s="1"/>
      <c r="C18" s="1"/>
      <c r="H18" s="144"/>
      <c r="I18" s="81"/>
      <c r="P18" s="80"/>
    </row>
    <row r="19" spans="2:16" ht="12.75">
      <c r="B19" s="3" t="s">
        <v>87</v>
      </c>
      <c r="C19" s="1"/>
      <c r="H19" s="144"/>
      <c r="I19" s="81"/>
      <c r="P19" s="80"/>
    </row>
    <row r="20" spans="2:16" ht="12.75">
      <c r="B20" s="1"/>
      <c r="C20" s="1" t="s">
        <v>12</v>
      </c>
      <c r="F20" s="81">
        <v>752148</v>
      </c>
      <c r="G20" s="81">
        <v>780162</v>
      </c>
      <c r="H20" s="144"/>
      <c r="I20" s="81"/>
      <c r="M20" s="1" t="s">
        <v>12</v>
      </c>
      <c r="N20" s="81">
        <v>752148</v>
      </c>
      <c r="O20" s="81">
        <v>780162</v>
      </c>
      <c r="P20" s="80">
        <v>593741</v>
      </c>
    </row>
    <row r="21" spans="2:16" ht="12.75">
      <c r="B21" s="1"/>
      <c r="C21" s="1" t="s">
        <v>13</v>
      </c>
      <c r="F21" s="81">
        <v>175805</v>
      </c>
      <c r="G21" s="81">
        <v>220009</v>
      </c>
      <c r="H21" s="144"/>
      <c r="I21" s="81"/>
      <c r="M21" s="1" t="s">
        <v>13</v>
      </c>
      <c r="N21" s="81">
        <v>175805</v>
      </c>
      <c r="O21" s="81">
        <v>220009</v>
      </c>
      <c r="P21" s="80">
        <v>357011</v>
      </c>
    </row>
    <row r="22" spans="2:16" ht="12.75">
      <c r="B22" s="1"/>
      <c r="C22" s="1" t="s">
        <v>14</v>
      </c>
      <c r="F22" s="81">
        <v>56557</v>
      </c>
      <c r="G22" s="81">
        <v>59439</v>
      </c>
      <c r="H22" s="144"/>
      <c r="I22" s="81"/>
      <c r="M22" s="1" t="s">
        <v>14</v>
      </c>
      <c r="N22" s="81">
        <v>56557</v>
      </c>
      <c r="O22" s="81">
        <v>59439</v>
      </c>
      <c r="P22" s="80">
        <v>152244</v>
      </c>
    </row>
    <row r="23" spans="2:16" ht="12.75">
      <c r="B23" s="1"/>
      <c r="C23" s="1" t="s">
        <v>91</v>
      </c>
      <c r="F23" s="81">
        <v>-55562</v>
      </c>
      <c r="G23" s="81">
        <v>-39000</v>
      </c>
      <c r="H23" s="144"/>
      <c r="I23" s="81"/>
      <c r="M23" s="1" t="s">
        <v>91</v>
      </c>
      <c r="N23" s="81">
        <v>-55562</v>
      </c>
      <c r="O23" s="81">
        <v>-39000</v>
      </c>
      <c r="P23" s="80">
        <v>-147938</v>
      </c>
    </row>
    <row r="24" spans="2:17" ht="12.75">
      <c r="B24" s="1"/>
      <c r="C24" s="1" t="s">
        <v>92</v>
      </c>
      <c r="F24" s="81">
        <v>231636</v>
      </c>
      <c r="G24" s="81">
        <v>240645</v>
      </c>
      <c r="H24" s="144"/>
      <c r="I24" s="86"/>
      <c r="M24" t="s">
        <v>21</v>
      </c>
      <c r="N24" s="100">
        <f>SUM(N20:N23)</f>
        <v>928948</v>
      </c>
      <c r="O24" s="100">
        <f>SUM(O20:O23)</f>
        <v>1020610</v>
      </c>
      <c r="P24" s="100">
        <f>SUM(P20:P23)</f>
        <v>955058</v>
      </c>
      <c r="Q24" s="100">
        <f>N24-P24</f>
        <v>-26110</v>
      </c>
    </row>
    <row r="25" spans="2:17" ht="12.75">
      <c r="B25" s="1"/>
      <c r="C25" s="1" t="s">
        <v>7</v>
      </c>
      <c r="F25" s="81">
        <v>0</v>
      </c>
      <c r="G25" s="81">
        <v>0</v>
      </c>
      <c r="H25" s="144"/>
      <c r="I25" s="86"/>
      <c r="Q25" s="100">
        <f aca="true" t="shared" si="0" ref="Q25:Q36">N25-P25</f>
        <v>0</v>
      </c>
    </row>
    <row r="26" spans="2:17" ht="12.75">
      <c r="B26" s="1"/>
      <c r="C26" s="1" t="s">
        <v>15</v>
      </c>
      <c r="F26" s="81">
        <v>165587</v>
      </c>
      <c r="G26" s="81">
        <v>175710</v>
      </c>
      <c r="H26" s="144"/>
      <c r="I26" s="86"/>
      <c r="M26" t="s">
        <v>20</v>
      </c>
      <c r="N26" s="100">
        <f>N17-N24</f>
        <v>962811</v>
      </c>
      <c r="O26" s="100">
        <f>O17-O24</f>
        <v>1022890</v>
      </c>
      <c r="P26" s="100">
        <f>P17-P24</f>
        <v>939915</v>
      </c>
      <c r="Q26" s="100">
        <f t="shared" si="0"/>
        <v>22896</v>
      </c>
    </row>
    <row r="27" spans="2:17" ht="12.75">
      <c r="B27" s="1"/>
      <c r="C27" s="1" t="s">
        <v>16</v>
      </c>
      <c r="F27" s="81">
        <v>6199</v>
      </c>
      <c r="G27" s="81">
        <v>7841</v>
      </c>
      <c r="H27" s="144"/>
      <c r="I27" s="86"/>
      <c r="Q27" s="100"/>
    </row>
    <row r="28" spans="2:17" ht="12.75">
      <c r="B28" s="1"/>
      <c r="C28" s="1" t="s">
        <v>96</v>
      </c>
      <c r="F28" s="81">
        <v>0</v>
      </c>
      <c r="G28" s="81">
        <v>0</v>
      </c>
      <c r="H28" s="144"/>
      <c r="I28" s="86"/>
      <c r="Q28" s="100"/>
    </row>
    <row r="29" spans="2:17" ht="12.75">
      <c r="B29" s="1"/>
      <c r="C29" s="1" t="s">
        <v>97</v>
      </c>
      <c r="F29" s="81">
        <v>160472</v>
      </c>
      <c r="G29" s="81">
        <v>180141</v>
      </c>
      <c r="H29" s="144"/>
      <c r="I29" s="86"/>
      <c r="M29" s="1" t="s">
        <v>15</v>
      </c>
      <c r="N29" s="81">
        <v>231636</v>
      </c>
      <c r="O29" s="81">
        <v>240645</v>
      </c>
      <c r="P29" s="85">
        <v>278633</v>
      </c>
      <c r="Q29" s="100">
        <f t="shared" si="0"/>
        <v>-46997</v>
      </c>
    </row>
    <row r="30" spans="2:17" ht="12.75">
      <c r="B30" s="1"/>
      <c r="C30" s="1" t="s">
        <v>17</v>
      </c>
      <c r="F30" s="84">
        <v>105814</v>
      </c>
      <c r="G30" s="84">
        <v>108002</v>
      </c>
      <c r="H30" s="145"/>
      <c r="I30" s="86"/>
      <c r="M30" s="1" t="s">
        <v>16</v>
      </c>
      <c r="N30" s="81">
        <v>0</v>
      </c>
      <c r="O30" s="81">
        <v>0</v>
      </c>
      <c r="P30" s="80">
        <v>0</v>
      </c>
      <c r="Q30" s="100">
        <f t="shared" si="0"/>
        <v>0</v>
      </c>
    </row>
    <row r="31" spans="2:17" ht="12.75">
      <c r="B31" s="1"/>
      <c r="C31" s="1" t="s">
        <v>70</v>
      </c>
      <c r="F31" s="81">
        <f>SUM(F20:F30)</f>
        <v>1598656</v>
      </c>
      <c r="G31" s="81">
        <f>SUM(G20:G30)</f>
        <v>1732949</v>
      </c>
      <c r="H31" s="144"/>
      <c r="I31" s="86"/>
      <c r="M31" s="1" t="s">
        <v>96</v>
      </c>
      <c r="N31" s="81">
        <v>165587</v>
      </c>
      <c r="O31" s="81">
        <v>175710</v>
      </c>
      <c r="P31" s="80">
        <v>216778</v>
      </c>
      <c r="Q31" s="100">
        <f t="shared" si="0"/>
        <v>-51191</v>
      </c>
    </row>
    <row r="32" spans="2:17" ht="12.75">
      <c r="B32" s="1"/>
      <c r="C32" s="1"/>
      <c r="F32" s="81"/>
      <c r="G32" s="81"/>
      <c r="H32" s="144"/>
      <c r="I32" s="86"/>
      <c r="M32" s="1" t="s">
        <v>97</v>
      </c>
      <c r="N32" s="81">
        <v>6199</v>
      </c>
      <c r="O32" s="81">
        <v>7841</v>
      </c>
      <c r="P32" s="80">
        <v>6400</v>
      </c>
      <c r="Q32" s="100">
        <f t="shared" si="0"/>
        <v>-201</v>
      </c>
    </row>
    <row r="33" spans="2:17" ht="12.75">
      <c r="B33" s="3" t="s">
        <v>18</v>
      </c>
      <c r="C33" s="1"/>
      <c r="F33" s="81">
        <v>308280</v>
      </c>
      <c r="G33" s="81">
        <v>335951</v>
      </c>
      <c r="H33" s="144"/>
      <c r="I33" s="86"/>
      <c r="M33" s="1" t="s">
        <v>17</v>
      </c>
      <c r="N33" s="81">
        <v>0</v>
      </c>
      <c r="O33" s="81">
        <v>0</v>
      </c>
      <c r="P33" s="80">
        <v>-3903</v>
      </c>
      <c r="Q33" s="100">
        <f t="shared" si="0"/>
        <v>3903</v>
      </c>
    </row>
    <row r="34" spans="2:17" ht="12.75">
      <c r="B34" s="1"/>
      <c r="C34" s="1" t="s">
        <v>100</v>
      </c>
      <c r="F34" s="84">
        <v>138668</v>
      </c>
      <c r="G34" s="84">
        <v>150384</v>
      </c>
      <c r="H34" s="145"/>
      <c r="I34" s="86"/>
      <c r="M34" s="1" t="s">
        <v>70</v>
      </c>
      <c r="N34" s="81">
        <v>160472</v>
      </c>
      <c r="O34" s="81">
        <v>180141</v>
      </c>
      <c r="P34" s="80">
        <v>186983</v>
      </c>
      <c r="Q34" s="100">
        <f t="shared" si="0"/>
        <v>-26511</v>
      </c>
    </row>
    <row r="35" spans="2:17" ht="12.75">
      <c r="B35" s="1"/>
      <c r="C35" s="1"/>
      <c r="F35" s="81"/>
      <c r="G35" s="81"/>
      <c r="H35" s="144"/>
      <c r="I35" s="81"/>
      <c r="N35" s="84">
        <v>105814</v>
      </c>
      <c r="O35" s="84">
        <v>108002</v>
      </c>
      <c r="P35" s="83">
        <v>35330</v>
      </c>
      <c r="Q35" s="100">
        <f t="shared" si="0"/>
        <v>70484</v>
      </c>
    </row>
    <row r="36" spans="2:17" ht="12.75">
      <c r="B36" s="3" t="s">
        <v>101</v>
      </c>
      <c r="C36" s="1"/>
      <c r="F36" s="81">
        <v>169612</v>
      </c>
      <c r="G36" s="81">
        <v>185576</v>
      </c>
      <c r="H36" s="144"/>
      <c r="I36" s="81"/>
      <c r="N36" s="81">
        <f>SUM(N29:N35)</f>
        <v>669708</v>
      </c>
      <c r="O36" s="81">
        <f>SUM(O29:O35)</f>
        <v>712339</v>
      </c>
      <c r="P36" s="81">
        <f>SUM(P29:P35)</f>
        <v>720221</v>
      </c>
      <c r="Q36" s="100">
        <f t="shared" si="0"/>
        <v>-50513</v>
      </c>
    </row>
    <row r="38" spans="2:8" ht="12.75">
      <c r="B38" s="96" t="s">
        <v>102</v>
      </c>
      <c r="C38" s="95"/>
      <c r="D38" s="87"/>
      <c r="E38" s="87"/>
      <c r="F38" s="97">
        <v>1998</v>
      </c>
      <c r="G38" s="97">
        <v>1999</v>
      </c>
      <c r="H38" s="98">
        <v>2002</v>
      </c>
    </row>
    <row r="39" spans="2:8" ht="12.75">
      <c r="B39" s="88"/>
      <c r="C39" s="78"/>
      <c r="D39" s="78"/>
      <c r="E39" s="78"/>
      <c r="F39" s="78"/>
      <c r="G39" s="78"/>
      <c r="H39" s="89"/>
    </row>
    <row r="40" spans="2:8" ht="12.75">
      <c r="B40" s="88"/>
      <c r="C40" s="78"/>
      <c r="D40" s="90" t="s">
        <v>103</v>
      </c>
      <c r="E40" s="90"/>
      <c r="F40" s="101">
        <f>F20/F14</f>
        <v>0.5098589487041827</v>
      </c>
      <c r="G40" s="101">
        <f>G20/G14</f>
        <v>0.5007419711786559</v>
      </c>
      <c r="H40" s="141"/>
    </row>
    <row r="41" spans="2:10" ht="12.75">
      <c r="B41" s="88"/>
      <c r="C41" s="78"/>
      <c r="D41" s="90" t="s">
        <v>104</v>
      </c>
      <c r="E41" s="90"/>
      <c r="F41" s="101">
        <f>F21/F15</f>
        <v>0.42204916084705113</v>
      </c>
      <c r="G41" s="101">
        <f>G21/G15</f>
        <v>0.45317083017499915</v>
      </c>
      <c r="H41" s="141"/>
      <c r="J41" t="s">
        <v>106</v>
      </c>
    </row>
    <row r="42" spans="2:8" ht="12.75">
      <c r="B42" s="88"/>
      <c r="C42" s="78"/>
      <c r="D42" s="90" t="s">
        <v>105</v>
      </c>
      <c r="E42" s="90"/>
      <c r="F42" s="101">
        <f>F22/F14</f>
        <v>0.03833832246029035</v>
      </c>
      <c r="G42" s="101">
        <f>G22/G14</f>
        <v>0.03815054056066321</v>
      </c>
      <c r="H42" s="141"/>
    </row>
    <row r="43" spans="2:8" ht="12.75">
      <c r="B43" s="88"/>
      <c r="C43" s="91"/>
      <c r="D43" s="91"/>
      <c r="E43" s="91"/>
      <c r="F43" s="102"/>
      <c r="G43" s="102"/>
      <c r="H43" s="142"/>
    </row>
    <row r="44" spans="2:8" ht="12.75">
      <c r="B44" s="92"/>
      <c r="C44" s="93"/>
      <c r="D44" s="94" t="s">
        <v>19</v>
      </c>
      <c r="E44" s="94"/>
      <c r="F44" s="103">
        <f>(F20+F21+F22+F23)/(F14+F15)</f>
        <v>0.4910498641740306</v>
      </c>
      <c r="G44" s="103">
        <f>(G20+G21+G22+G23)/(G14+G15)</f>
        <v>0.4994421335943235</v>
      </c>
      <c r="H44" s="143"/>
    </row>
    <row r="47" ht="12.75">
      <c r="B47" s="1" t="s">
        <v>8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workbookViewId="0" topLeftCell="B18">
      <selection activeCell="L34" sqref="L34"/>
    </sheetView>
  </sheetViews>
  <sheetFormatPr defaultColWidth="9.140625" defaultRowHeight="12.75"/>
  <cols>
    <col min="1" max="1" width="10.8515625" style="1" customWidth="1"/>
    <col min="2" max="2" width="5.7109375" style="1" customWidth="1"/>
    <col min="3" max="6" width="10.8515625" style="1" customWidth="1"/>
    <col min="7" max="7" width="1.8515625" style="1" customWidth="1"/>
    <col min="8" max="8" width="10.8515625" style="1" customWidth="1"/>
    <col min="9" max="9" width="10.8515625" style="15" customWidth="1"/>
    <col min="10" max="16384" width="10.8515625" style="1" customWidth="1"/>
  </cols>
  <sheetData>
    <row r="1" ht="12.75">
      <c r="J1" s="2" t="s">
        <v>222</v>
      </c>
    </row>
    <row r="2" ht="12.75">
      <c r="J2" s="2" t="s">
        <v>24</v>
      </c>
    </row>
    <row r="4" ht="12.75">
      <c r="F4" s="4" t="s">
        <v>224</v>
      </c>
    </row>
    <row r="5" ht="12.75">
      <c r="F5" s="4" t="s">
        <v>142</v>
      </c>
    </row>
    <row r="6" ht="12.75">
      <c r="F6" s="5" t="s">
        <v>25</v>
      </c>
    </row>
    <row r="8" ht="12.75">
      <c r="B8" s="3" t="s">
        <v>431</v>
      </c>
    </row>
    <row r="10" spans="3:9" ht="12.75">
      <c r="C10" s="104" t="s">
        <v>436</v>
      </c>
      <c r="F10" s="107">
        <v>2001</v>
      </c>
      <c r="G10" s="108"/>
      <c r="H10" s="107">
        <v>2002</v>
      </c>
      <c r="I10" s="15" t="s">
        <v>139</v>
      </c>
    </row>
    <row r="11" spans="2:8" ht="12.75">
      <c r="B11" s="104" t="s">
        <v>107</v>
      </c>
      <c r="F11" s="105"/>
      <c r="G11" s="106"/>
      <c r="H11" s="105"/>
    </row>
    <row r="12" spans="3:9" ht="12.75">
      <c r="C12" s="104" t="s">
        <v>108</v>
      </c>
      <c r="F12" s="109">
        <v>602959.080837413</v>
      </c>
      <c r="G12" s="109"/>
      <c r="H12" s="146"/>
      <c r="I12" s="147"/>
    </row>
    <row r="13" spans="3:9" ht="12.75">
      <c r="C13" s="104" t="s">
        <v>109</v>
      </c>
      <c r="F13" s="109">
        <v>524125.799110229</v>
      </c>
      <c r="G13" s="109"/>
      <c r="H13" s="146"/>
      <c r="I13" s="147"/>
    </row>
    <row r="14" spans="3:9" ht="12.75">
      <c r="C14" s="104" t="s">
        <v>110</v>
      </c>
      <c r="F14" s="109">
        <v>346867.01099899027</v>
      </c>
      <c r="G14" s="109"/>
      <c r="H14" s="146"/>
      <c r="I14" s="147"/>
    </row>
    <row r="15" spans="3:9" ht="12.75">
      <c r="C15" s="104" t="s">
        <v>111</v>
      </c>
      <c r="F15" s="109">
        <v>11352.8932014454</v>
      </c>
      <c r="G15" s="109"/>
      <c r="H15" s="146"/>
      <c r="I15" s="147"/>
    </row>
    <row r="16" spans="3:9" ht="12.75">
      <c r="C16" s="104" t="s">
        <v>112</v>
      </c>
      <c r="F16" s="109">
        <v>21337.5030797151</v>
      </c>
      <c r="G16" s="109"/>
      <c r="H16" s="146"/>
      <c r="I16" s="147"/>
    </row>
    <row r="17" spans="3:9" ht="12.75">
      <c r="C17" s="104" t="s">
        <v>113</v>
      </c>
      <c r="F17" s="109">
        <v>-130940.222417906</v>
      </c>
      <c r="G17" s="109"/>
      <c r="H17" s="146"/>
      <c r="I17" s="147"/>
    </row>
    <row r="18" spans="3:9" ht="12.75">
      <c r="C18" s="104" t="s">
        <v>114</v>
      </c>
      <c r="F18" s="110">
        <v>1005657.75065</v>
      </c>
      <c r="G18" s="110"/>
      <c r="H18" s="146"/>
      <c r="I18" s="147"/>
    </row>
    <row r="19" spans="3:9" ht="12.75">
      <c r="C19" s="104" t="s">
        <v>115</v>
      </c>
      <c r="F19" s="109">
        <v>-34291.488285</v>
      </c>
      <c r="G19" s="109"/>
      <c r="H19" s="146"/>
      <c r="I19" s="147"/>
    </row>
    <row r="20" spans="3:9" ht="12.75">
      <c r="C20" s="104" t="s">
        <v>116</v>
      </c>
      <c r="F20" s="109">
        <v>2347068.327174887</v>
      </c>
      <c r="G20" s="109"/>
      <c r="H20" s="146"/>
      <c r="I20" s="147"/>
    </row>
    <row r="21" spans="3:9" ht="12.75">
      <c r="C21" s="104" t="s">
        <v>117</v>
      </c>
      <c r="F21" s="109">
        <v>761316.65165019</v>
      </c>
      <c r="G21" s="109"/>
      <c r="H21" s="146"/>
      <c r="I21" s="147"/>
    </row>
    <row r="22" spans="3:9" ht="12.75">
      <c r="C22" s="104" t="s">
        <v>118</v>
      </c>
      <c r="F22" s="109">
        <v>2717.18426446076</v>
      </c>
      <c r="G22" s="109"/>
      <c r="H22" s="146"/>
      <c r="I22" s="147"/>
    </row>
    <row r="23" spans="3:9" ht="12.75">
      <c r="C23" s="104" t="s">
        <v>119</v>
      </c>
      <c r="F23" s="109">
        <v>2595.79442766667</v>
      </c>
      <c r="G23" s="109"/>
      <c r="H23" s="146"/>
      <c r="I23" s="147"/>
    </row>
    <row r="24" spans="3:9" ht="12.75">
      <c r="C24" s="104" t="s">
        <v>120</v>
      </c>
      <c r="F24" s="109">
        <v>41433.3330017181</v>
      </c>
      <c r="G24" s="109"/>
      <c r="H24" s="146"/>
      <c r="I24" s="147"/>
    </row>
    <row r="25" spans="3:9" ht="12.75">
      <c r="C25" s="104" t="s">
        <v>121</v>
      </c>
      <c r="F25" s="109">
        <v>808062.9633440357</v>
      </c>
      <c r="G25" s="109"/>
      <c r="H25" s="146"/>
      <c r="I25" s="147"/>
    </row>
    <row r="26" spans="3:9" ht="12.75">
      <c r="C26" s="104" t="s">
        <v>122</v>
      </c>
      <c r="F26" s="109"/>
      <c r="G26" s="109"/>
      <c r="H26" s="146"/>
      <c r="I26" s="147"/>
    </row>
    <row r="27" spans="3:9" ht="12.75">
      <c r="C27" s="104" t="s">
        <v>123</v>
      </c>
      <c r="F27" s="111">
        <v>3155131.2905189227</v>
      </c>
      <c r="G27" s="112"/>
      <c r="H27" s="148"/>
      <c r="I27" s="147"/>
    </row>
    <row r="28" spans="3:8" ht="12.75">
      <c r="C28" s="104"/>
      <c r="F28" s="109"/>
      <c r="G28" s="109"/>
      <c r="H28" s="109"/>
    </row>
    <row r="30" ht="12.75">
      <c r="B30" s="1" t="s">
        <v>23</v>
      </c>
    </row>
    <row r="33" ht="12.75">
      <c r="B33" s="3" t="s">
        <v>432</v>
      </c>
    </row>
    <row r="35" spans="6:9" ht="12.75">
      <c r="F35" s="107">
        <v>2001</v>
      </c>
      <c r="G35" s="108"/>
      <c r="H35" s="107">
        <v>2002</v>
      </c>
      <c r="I35" s="15" t="s">
        <v>139</v>
      </c>
    </row>
    <row r="36" ht="12.75">
      <c r="D36" s="1" t="s">
        <v>437</v>
      </c>
    </row>
    <row r="37" spans="5:9" ht="12.75">
      <c r="E37" s="1" t="s">
        <v>433</v>
      </c>
      <c r="F37" s="81">
        <v>9404</v>
      </c>
      <c r="G37" s="81"/>
      <c r="H37" s="149"/>
      <c r="I37" s="147"/>
    </row>
    <row r="38" spans="5:9" ht="12.75">
      <c r="E38" s="1" t="s">
        <v>434</v>
      </c>
      <c r="F38" s="81">
        <v>7536</v>
      </c>
      <c r="G38" s="81"/>
      <c r="H38" s="149"/>
      <c r="I38" s="147"/>
    </row>
    <row r="39" spans="5:9" ht="12.75">
      <c r="E39" s="1" t="s">
        <v>435</v>
      </c>
      <c r="F39" s="81">
        <v>3354</v>
      </c>
      <c r="G39" s="81"/>
      <c r="H39" s="149"/>
      <c r="I39" s="147"/>
    </row>
    <row r="40" spans="4:9" ht="12.75">
      <c r="D40" s="1" t="s">
        <v>438</v>
      </c>
      <c r="F40" s="81">
        <v>1091406</v>
      </c>
      <c r="G40" s="81"/>
      <c r="H40" s="149"/>
      <c r="I40" s="147"/>
    </row>
    <row r="42" ht="12.75">
      <c r="B42" s="1" t="s">
        <v>293</v>
      </c>
    </row>
  </sheetData>
  <printOptions/>
  <pageMargins left="0.75" right="0.75" top="1" bottom="1" header="0.5" footer="0.5"/>
  <pageSetup fitToHeight="1" fitToWidth="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1">
      <selection activeCell="B21" sqref="B21"/>
    </sheetView>
  </sheetViews>
  <sheetFormatPr defaultColWidth="9.140625" defaultRowHeight="12.75"/>
  <cols>
    <col min="1" max="16384" width="11.421875" style="0" customWidth="1"/>
  </cols>
  <sheetData>
    <row r="1" spans="4:7" ht="12.75">
      <c r="D1" s="1"/>
      <c r="E1" s="1"/>
      <c r="F1" s="1"/>
      <c r="G1" s="2" t="s">
        <v>254</v>
      </c>
    </row>
    <row r="2" spans="4:7" ht="12.75">
      <c r="D2" s="1"/>
      <c r="E2" s="1"/>
      <c r="F2" s="1"/>
      <c r="G2" s="2" t="s">
        <v>145</v>
      </c>
    </row>
    <row r="3" spans="4:7" ht="12.75">
      <c r="D3" s="1"/>
      <c r="E3" s="1"/>
      <c r="F3" s="1"/>
      <c r="G3" s="1"/>
    </row>
    <row r="4" spans="4:7" ht="12.75">
      <c r="D4" s="1"/>
      <c r="E4" s="1"/>
      <c r="F4" s="1"/>
      <c r="G4" s="1"/>
    </row>
    <row r="5" spans="4:7" ht="12.75">
      <c r="D5" s="4" t="s">
        <v>224</v>
      </c>
      <c r="E5" s="1"/>
      <c r="F5" s="1"/>
      <c r="G5" s="1"/>
    </row>
    <row r="6" spans="4:7" ht="12.75">
      <c r="D6" s="4" t="s">
        <v>296</v>
      </c>
      <c r="E6" s="1"/>
      <c r="F6" s="1"/>
      <c r="G6" s="1"/>
    </row>
    <row r="11" spans="5:6" ht="12.75">
      <c r="E11" s="5" t="s">
        <v>83</v>
      </c>
      <c r="F11" s="5" t="s">
        <v>83</v>
      </c>
    </row>
    <row r="12" spans="5:6" ht="12.75">
      <c r="E12" s="5">
        <v>2002</v>
      </c>
      <c r="F12" s="5">
        <v>2002</v>
      </c>
    </row>
    <row r="13" spans="5:6" ht="12.75">
      <c r="E13" s="7" t="s">
        <v>143</v>
      </c>
      <c r="F13" s="7" t="s">
        <v>144</v>
      </c>
    </row>
    <row r="14" spans="2:6" ht="12.75">
      <c r="B14" s="1"/>
      <c r="C14" s="1"/>
      <c r="E14" s="80"/>
      <c r="F14" s="81"/>
    </row>
    <row r="15" spans="2:6" ht="12.75">
      <c r="B15" s="3" t="s">
        <v>87</v>
      </c>
      <c r="C15" s="1"/>
      <c r="E15" s="80"/>
      <c r="F15" s="81"/>
    </row>
    <row r="16" spans="2:6" ht="12.75">
      <c r="B16" s="1"/>
      <c r="C16" s="1" t="s">
        <v>88</v>
      </c>
      <c r="E16" s="144"/>
      <c r="F16" s="149"/>
    </row>
    <row r="17" spans="2:6" ht="12.75">
      <c r="B17" s="1"/>
      <c r="C17" s="1" t="s">
        <v>89</v>
      </c>
      <c r="E17" s="144"/>
      <c r="F17" s="149"/>
    </row>
    <row r="18" spans="2:6" ht="12.75">
      <c r="B18" s="1"/>
      <c r="C18" s="1" t="s">
        <v>90</v>
      </c>
      <c r="E18" s="144"/>
      <c r="F18" s="149"/>
    </row>
    <row r="19" spans="2:6" ht="12.75">
      <c r="B19" s="1"/>
      <c r="C19" s="1" t="s">
        <v>91</v>
      </c>
      <c r="E19" s="144"/>
      <c r="F19" s="149"/>
    </row>
    <row r="20" spans="2:6" ht="12.75">
      <c r="B20" s="1"/>
      <c r="C20" s="17" t="s">
        <v>92</v>
      </c>
      <c r="D20" s="113"/>
      <c r="E20" s="150"/>
      <c r="F20" s="151"/>
    </row>
    <row r="21" spans="2:6" ht="12.75">
      <c r="B21" s="1"/>
      <c r="C21" s="1" t="s">
        <v>93</v>
      </c>
      <c r="E21" s="144"/>
      <c r="F21" s="149"/>
    </row>
    <row r="22" spans="2:6" ht="12.75">
      <c r="B22" s="1"/>
      <c r="C22" s="1" t="s">
        <v>94</v>
      </c>
      <c r="E22" s="144"/>
      <c r="F22" s="149"/>
    </row>
    <row r="23" spans="2:6" ht="12.75">
      <c r="B23" s="1"/>
      <c r="C23" s="1" t="s">
        <v>95</v>
      </c>
      <c r="E23" s="144"/>
      <c r="F23" s="149"/>
    </row>
    <row r="24" spans="2:6" ht="12.75">
      <c r="B24" s="1"/>
      <c r="C24" s="1" t="s">
        <v>96</v>
      </c>
      <c r="E24" s="144"/>
      <c r="F24" s="149"/>
    </row>
    <row r="25" spans="2:6" ht="12.75">
      <c r="B25" s="1"/>
      <c r="C25" s="1" t="s">
        <v>97</v>
      </c>
      <c r="E25" s="144"/>
      <c r="F25" s="149"/>
    </row>
    <row r="26" spans="2:6" ht="12.75">
      <c r="B26" s="1"/>
      <c r="C26" s="1" t="s">
        <v>98</v>
      </c>
      <c r="E26" s="145"/>
      <c r="F26" s="152"/>
    </row>
    <row r="27" spans="2:6" ht="12.75">
      <c r="B27" s="1"/>
      <c r="C27" s="1" t="s">
        <v>70</v>
      </c>
      <c r="E27" s="144"/>
      <c r="F27" s="144"/>
    </row>
    <row r="28" spans="2:6" ht="12.75">
      <c r="B28" s="1"/>
      <c r="C28" s="1"/>
      <c r="E28" s="144"/>
      <c r="F28" s="149"/>
    </row>
    <row r="29" spans="2:6" ht="12.75">
      <c r="B29" s="3" t="s">
        <v>99</v>
      </c>
      <c r="C29" s="1"/>
      <c r="E29" s="144"/>
      <c r="F29" s="149"/>
    </row>
    <row r="30" spans="2:6" ht="12.75">
      <c r="B30" s="1"/>
      <c r="C30" s="1" t="s">
        <v>100</v>
      </c>
      <c r="E30" s="144"/>
      <c r="F30" s="149"/>
    </row>
    <row r="31" spans="2:6" ht="12.75">
      <c r="B31" s="1"/>
      <c r="C31" s="1"/>
      <c r="E31" s="144"/>
      <c r="F31" s="149"/>
    </row>
    <row r="32" spans="2:6" ht="12.75">
      <c r="B32" s="3" t="s">
        <v>101</v>
      </c>
      <c r="C32" s="1"/>
      <c r="E32" s="144"/>
      <c r="F32" s="149"/>
    </row>
    <row r="36" ht="12.75">
      <c r="A36" s="1" t="s">
        <v>297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I1" sqref="A1:I46"/>
    </sheetView>
  </sheetViews>
  <sheetFormatPr defaultColWidth="9.140625" defaultRowHeight="12.75"/>
  <cols>
    <col min="1" max="1" width="8.140625" style="9" customWidth="1"/>
    <col min="2" max="3" width="10.8515625" style="9" customWidth="1"/>
    <col min="4" max="4" width="2.140625" style="9" customWidth="1"/>
    <col min="5" max="5" width="10.8515625" style="11" customWidth="1"/>
    <col min="6" max="6" width="10.8515625" style="9" customWidth="1"/>
    <col min="7" max="7" width="1.421875" style="9" customWidth="1"/>
    <col min="8" max="9" width="11.421875" style="0" customWidth="1"/>
    <col min="10" max="16384" width="10.8515625" style="9" customWidth="1"/>
  </cols>
  <sheetData>
    <row r="1" spans="1:9" ht="12.75">
      <c r="A1" s="1"/>
      <c r="B1" s="1"/>
      <c r="C1" s="1"/>
      <c r="D1" s="1"/>
      <c r="E1" s="1"/>
      <c r="F1" s="1"/>
      <c r="G1" s="1"/>
      <c r="I1" s="2" t="s">
        <v>222</v>
      </c>
    </row>
    <row r="2" spans="1:9" ht="12.75">
      <c r="A2" s="1"/>
      <c r="B2" s="1"/>
      <c r="C2" s="1"/>
      <c r="D2" s="1"/>
      <c r="E2" s="1"/>
      <c r="F2" s="1"/>
      <c r="G2" s="1"/>
      <c r="I2" s="2" t="s">
        <v>232</v>
      </c>
    </row>
    <row r="3" spans="1:9" ht="12.75">
      <c r="A3" s="1"/>
      <c r="B3" s="1"/>
      <c r="C3" s="1"/>
      <c r="D3" s="1"/>
      <c r="E3" s="1"/>
      <c r="F3" s="1"/>
      <c r="G3" s="1"/>
      <c r="I3" s="2" t="s">
        <v>233</v>
      </c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F5" s="4" t="s">
        <v>224</v>
      </c>
      <c r="G5" s="1"/>
      <c r="H5" s="1"/>
      <c r="I5" s="1"/>
      <c r="J5" s="1"/>
    </row>
    <row r="6" spans="1:10" ht="12.75">
      <c r="A6" s="1"/>
      <c r="B6" s="1"/>
      <c r="C6" s="1"/>
      <c r="D6" s="1"/>
      <c r="F6" s="4" t="s">
        <v>230</v>
      </c>
      <c r="G6" s="1"/>
      <c r="H6" s="1"/>
      <c r="I6" s="1"/>
      <c r="J6" s="1"/>
    </row>
    <row r="7" spans="1:10" ht="12.75">
      <c r="A7" s="1"/>
      <c r="B7" s="1"/>
      <c r="C7" s="1"/>
      <c r="D7" s="1"/>
      <c r="F7" s="5" t="s">
        <v>231</v>
      </c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1" spans="2:9" ht="12.75">
      <c r="B11" s="12">
        <v>37270</v>
      </c>
      <c r="C11" s="13">
        <v>23.41</v>
      </c>
      <c r="E11" s="12">
        <v>37018</v>
      </c>
      <c r="F11" s="13">
        <v>22.4286</v>
      </c>
      <c r="H11" s="12">
        <v>36766</v>
      </c>
      <c r="I11" s="13">
        <v>21.5125</v>
      </c>
    </row>
    <row r="12" spans="2:9" ht="12.75">
      <c r="B12" s="12">
        <v>37263</v>
      </c>
      <c r="C12" s="13">
        <v>22.99</v>
      </c>
      <c r="E12" s="12">
        <v>37011</v>
      </c>
      <c r="F12" s="13">
        <v>22.5631</v>
      </c>
      <c r="H12" s="12">
        <v>36759</v>
      </c>
      <c r="I12" s="13">
        <v>20.8314</v>
      </c>
    </row>
    <row r="13" spans="1:9" ht="12.75">
      <c r="A13" s="10"/>
      <c r="B13" s="12">
        <v>37256</v>
      </c>
      <c r="C13" s="13">
        <v>22.28</v>
      </c>
      <c r="E13" s="12">
        <v>37004</v>
      </c>
      <c r="F13" s="13">
        <v>22.64</v>
      </c>
      <c r="H13" s="12">
        <v>36752</v>
      </c>
      <c r="I13" s="13">
        <v>21.8531</v>
      </c>
    </row>
    <row r="14" spans="1:9" ht="12.75">
      <c r="A14" s="10"/>
      <c r="B14" s="12">
        <v>37249</v>
      </c>
      <c r="C14" s="13">
        <v>21.85</v>
      </c>
      <c r="E14" s="12">
        <v>36997</v>
      </c>
      <c r="F14" s="13">
        <v>22.9379</v>
      </c>
      <c r="H14" s="12">
        <v>36745</v>
      </c>
      <c r="I14" s="13">
        <v>21.6828</v>
      </c>
    </row>
    <row r="15" spans="1:9" ht="12.75">
      <c r="A15" s="10"/>
      <c r="B15" s="12">
        <v>37242</v>
      </c>
      <c r="C15" s="13">
        <v>20.55</v>
      </c>
      <c r="E15" s="12">
        <v>36990</v>
      </c>
      <c r="F15" s="13">
        <v>22.6667</v>
      </c>
      <c r="H15" s="12">
        <v>36738</v>
      </c>
      <c r="I15" s="13">
        <v>21.6828</v>
      </c>
    </row>
    <row r="16" spans="1:9" ht="12.75">
      <c r="A16" s="10"/>
      <c r="B16" s="12">
        <v>37235</v>
      </c>
      <c r="C16" s="13">
        <v>20.11</v>
      </c>
      <c r="E16" s="12">
        <v>36983</v>
      </c>
      <c r="F16" s="13">
        <v>21.9124</v>
      </c>
      <c r="H16" s="12">
        <v>36731</v>
      </c>
      <c r="I16" s="13">
        <v>20.7179</v>
      </c>
    </row>
    <row r="17" spans="1:9" ht="12.75">
      <c r="A17" s="10"/>
      <c r="B17" s="12">
        <v>37228</v>
      </c>
      <c r="C17" s="13">
        <v>20.27</v>
      </c>
      <c r="E17" s="12">
        <v>36976</v>
      </c>
      <c r="F17" s="13">
        <v>21.5729</v>
      </c>
      <c r="H17" s="12">
        <v>36724</v>
      </c>
      <c r="I17" s="13">
        <v>20.8882</v>
      </c>
    </row>
    <row r="18" spans="1:9" ht="12.75">
      <c r="A18" s="10"/>
      <c r="B18" s="12">
        <v>37221</v>
      </c>
      <c r="C18" s="13">
        <v>19.4</v>
      </c>
      <c r="E18" s="12">
        <v>36969</v>
      </c>
      <c r="F18" s="13">
        <v>20.036</v>
      </c>
      <c r="H18" s="12">
        <v>36717</v>
      </c>
      <c r="I18" s="13">
        <v>20.8186</v>
      </c>
    </row>
    <row r="19" spans="1:9" ht="12.75">
      <c r="A19" s="10"/>
      <c r="B19" s="12">
        <v>37214</v>
      </c>
      <c r="C19" s="13">
        <v>20.18</v>
      </c>
      <c r="E19" s="12">
        <v>36962</v>
      </c>
      <c r="F19" s="13">
        <v>21.0638</v>
      </c>
      <c r="H19" s="12">
        <v>36710</v>
      </c>
      <c r="I19" s="13">
        <v>20.3177</v>
      </c>
    </row>
    <row r="20" spans="1:9" ht="12.75">
      <c r="A20" s="10"/>
      <c r="B20" s="12">
        <v>37207</v>
      </c>
      <c r="C20" s="13">
        <v>20.27</v>
      </c>
      <c r="E20" s="12">
        <v>36955</v>
      </c>
      <c r="F20" s="13">
        <v>22.0444</v>
      </c>
      <c r="H20" s="12">
        <v>36703</v>
      </c>
      <c r="I20" s="13">
        <v>19.1487</v>
      </c>
    </row>
    <row r="21" spans="1:9" ht="12.75">
      <c r="A21" s="10"/>
      <c r="B21" s="12">
        <v>37200</v>
      </c>
      <c r="C21" s="13">
        <v>20.21</v>
      </c>
      <c r="E21" s="12">
        <v>36948</v>
      </c>
      <c r="F21" s="13">
        <v>22.4404</v>
      </c>
      <c r="H21" s="12">
        <v>36696</v>
      </c>
      <c r="I21" s="13">
        <v>20.1507</v>
      </c>
    </row>
    <row r="22" spans="1:9" ht="12.75">
      <c r="A22" s="10"/>
      <c r="B22" s="12">
        <v>37193</v>
      </c>
      <c r="C22" s="13">
        <v>18.8</v>
      </c>
      <c r="E22" s="12">
        <v>36941</v>
      </c>
      <c r="F22" s="13">
        <v>22.5346</v>
      </c>
      <c r="H22" s="12">
        <v>36689</v>
      </c>
      <c r="I22" s="13">
        <v>20.763</v>
      </c>
    </row>
    <row r="23" spans="1:9" ht="12.75">
      <c r="A23" s="10"/>
      <c r="B23" s="12">
        <v>37186</v>
      </c>
      <c r="C23" s="13">
        <v>19.7</v>
      </c>
      <c r="E23" s="12">
        <v>36934</v>
      </c>
      <c r="F23" s="13">
        <v>23.3455</v>
      </c>
      <c r="H23" s="12">
        <v>36682</v>
      </c>
      <c r="I23" s="13">
        <v>20.4846</v>
      </c>
    </row>
    <row r="24" spans="1:9" ht="12.75">
      <c r="A24" s="10"/>
      <c r="B24" s="12">
        <v>37179</v>
      </c>
      <c r="C24" s="13">
        <v>20.07</v>
      </c>
      <c r="E24" s="12">
        <v>36927</v>
      </c>
      <c r="F24" s="13">
        <v>23.2795</v>
      </c>
      <c r="H24" s="12">
        <v>36675</v>
      </c>
      <c r="I24" s="13">
        <v>20.5403</v>
      </c>
    </row>
    <row r="25" spans="1:9" ht="12.75">
      <c r="A25" s="10"/>
      <c r="B25" s="12">
        <v>37172</v>
      </c>
      <c r="C25" s="13">
        <v>20.0703</v>
      </c>
      <c r="E25" s="12">
        <v>36920</v>
      </c>
      <c r="F25" s="13">
        <v>22.4969</v>
      </c>
      <c r="H25" s="12">
        <v>36668</v>
      </c>
      <c r="I25" s="13">
        <v>20.93</v>
      </c>
    </row>
    <row r="26" spans="1:9" ht="12.75">
      <c r="A26" s="10"/>
      <c r="B26" s="12">
        <v>37165</v>
      </c>
      <c r="C26" s="13">
        <v>21.7917</v>
      </c>
      <c r="E26" s="12">
        <v>36913</v>
      </c>
      <c r="F26" s="13">
        <v>23.9254</v>
      </c>
      <c r="H26" s="12">
        <v>36661</v>
      </c>
      <c r="I26" s="13">
        <v>20.596</v>
      </c>
    </row>
    <row r="27" spans="1:9" ht="12.75">
      <c r="A27" s="10"/>
      <c r="B27" s="12">
        <v>37158</v>
      </c>
      <c r="C27" s="13">
        <v>21.019</v>
      </c>
      <c r="E27" s="12">
        <v>36906</v>
      </c>
      <c r="F27" s="13">
        <v>23.1004</v>
      </c>
      <c r="H27" s="12">
        <v>36654</v>
      </c>
      <c r="I27" s="13">
        <v>20.9856</v>
      </c>
    </row>
    <row r="28" spans="1:9" ht="12.75">
      <c r="A28" s="10"/>
      <c r="B28" s="12">
        <v>37151</v>
      </c>
      <c r="C28" s="13">
        <v>22.5938</v>
      </c>
      <c r="E28" s="12">
        <v>36899</v>
      </c>
      <c r="F28" s="13">
        <v>22.7211</v>
      </c>
      <c r="H28" s="12">
        <v>36647</v>
      </c>
      <c r="I28" s="13">
        <v>20.596</v>
      </c>
    </row>
    <row r="29" spans="1:9" ht="12.75">
      <c r="A29" s="10"/>
      <c r="B29" s="12">
        <v>37144</v>
      </c>
      <c r="C29" s="13">
        <v>23.7479</v>
      </c>
      <c r="E29" s="12">
        <v>36892</v>
      </c>
      <c r="F29" s="13">
        <v>22.8946</v>
      </c>
      <c r="H29" s="12">
        <v>36640</v>
      </c>
      <c r="I29" s="13">
        <v>21.1526</v>
      </c>
    </row>
    <row r="30" spans="1:9" ht="12.75">
      <c r="A30" s="10"/>
      <c r="B30" s="12">
        <v>37137</v>
      </c>
      <c r="C30" s="13">
        <v>24.0511</v>
      </c>
      <c r="E30" s="12">
        <v>36885</v>
      </c>
      <c r="F30" s="13">
        <v>25.7275</v>
      </c>
      <c r="H30" s="12">
        <v>36633</v>
      </c>
      <c r="I30" s="13">
        <v>20.3177</v>
      </c>
    </row>
    <row r="31" spans="1:9" ht="12.75">
      <c r="A31" s="10"/>
      <c r="B31" s="12">
        <v>37130</v>
      </c>
      <c r="C31" s="13">
        <v>24.2369</v>
      </c>
      <c r="E31" s="12">
        <v>36878</v>
      </c>
      <c r="F31" s="13">
        <v>25.3806</v>
      </c>
      <c r="H31" s="12">
        <v>36626</v>
      </c>
      <c r="I31" s="13">
        <v>20.3544</v>
      </c>
    </row>
    <row r="32" spans="1:9" ht="12.75">
      <c r="A32" s="10"/>
      <c r="B32" s="12">
        <v>37123</v>
      </c>
      <c r="C32" s="13">
        <v>23.5816</v>
      </c>
      <c r="E32" s="12">
        <v>36871</v>
      </c>
      <c r="F32" s="13">
        <v>24.3977</v>
      </c>
      <c r="H32" s="12">
        <v>36619</v>
      </c>
      <c r="I32" s="13">
        <v>19.7541</v>
      </c>
    </row>
    <row r="33" spans="1:9" ht="12.75">
      <c r="A33" s="10"/>
      <c r="B33" s="12">
        <v>37116</v>
      </c>
      <c r="C33" s="13">
        <v>23.7577</v>
      </c>
      <c r="E33" s="12">
        <v>36864</v>
      </c>
      <c r="F33" s="13">
        <v>24.9181</v>
      </c>
      <c r="H33" s="12">
        <v>36612</v>
      </c>
      <c r="I33" s="13">
        <v>19.3721</v>
      </c>
    </row>
    <row r="34" spans="1:9" ht="12.75">
      <c r="A34" s="10"/>
      <c r="B34" s="12">
        <v>37109</v>
      </c>
      <c r="C34" s="13">
        <v>23.6012</v>
      </c>
      <c r="E34" s="12">
        <v>36857</v>
      </c>
      <c r="F34" s="13">
        <v>24.2243</v>
      </c>
      <c r="H34" s="12">
        <v>36605</v>
      </c>
      <c r="I34" s="13">
        <v>18.6082</v>
      </c>
    </row>
    <row r="35" spans="1:9" ht="12.75">
      <c r="A35" s="10"/>
      <c r="B35" s="12">
        <v>37102</v>
      </c>
      <c r="C35" s="13">
        <v>23.787</v>
      </c>
      <c r="E35" s="12">
        <v>36850</v>
      </c>
      <c r="F35" s="13">
        <v>23.5883</v>
      </c>
      <c r="H35" s="12">
        <v>36598</v>
      </c>
      <c r="I35" s="13">
        <v>18.6082</v>
      </c>
    </row>
    <row r="36" spans="1:9" ht="12.75">
      <c r="A36" s="10"/>
      <c r="B36" s="12">
        <v>37095</v>
      </c>
      <c r="C36" s="13">
        <v>23.6501</v>
      </c>
      <c r="E36" s="12">
        <v>36843</v>
      </c>
      <c r="F36" s="13">
        <v>23.4727</v>
      </c>
      <c r="H36" s="12">
        <v>36591</v>
      </c>
      <c r="I36" s="13">
        <v>17.4076</v>
      </c>
    </row>
    <row r="37" spans="1:9" ht="12.75">
      <c r="A37" s="10"/>
      <c r="B37" s="12">
        <v>37088</v>
      </c>
      <c r="C37" s="13">
        <v>23.5034</v>
      </c>
      <c r="E37" s="12">
        <v>36836</v>
      </c>
      <c r="F37" s="13">
        <v>22.6633</v>
      </c>
      <c r="H37" s="12">
        <v>36584</v>
      </c>
      <c r="I37" s="13">
        <v>17.5713</v>
      </c>
    </row>
    <row r="38" spans="1:9" ht="12.75">
      <c r="A38" s="10"/>
      <c r="B38" s="12">
        <v>37081</v>
      </c>
      <c r="C38" s="13">
        <v>25.3691</v>
      </c>
      <c r="E38" s="12">
        <v>36829</v>
      </c>
      <c r="F38" s="13">
        <v>22.5477</v>
      </c>
      <c r="H38" s="12">
        <v>36577</v>
      </c>
      <c r="I38" s="13">
        <v>17.2985</v>
      </c>
    </row>
    <row r="39" spans="1:9" ht="12.75">
      <c r="A39" s="10"/>
      <c r="B39" s="12">
        <v>37074</v>
      </c>
      <c r="C39" s="13">
        <v>25.446</v>
      </c>
      <c r="E39" s="12">
        <v>36822</v>
      </c>
      <c r="F39" s="13">
        <v>22.3742</v>
      </c>
      <c r="H39" s="12">
        <v>36570</v>
      </c>
      <c r="I39" s="13">
        <v>18.4444</v>
      </c>
    </row>
    <row r="40" spans="1:9" ht="12.75">
      <c r="A40" s="10"/>
      <c r="B40" s="12">
        <v>37067</v>
      </c>
      <c r="C40" s="13">
        <v>25.1769</v>
      </c>
      <c r="E40" s="12">
        <v>36815</v>
      </c>
      <c r="F40" s="13">
        <v>22.2586</v>
      </c>
      <c r="H40" s="12">
        <v>36563</v>
      </c>
      <c r="I40" s="13">
        <v>19.3176</v>
      </c>
    </row>
    <row r="41" spans="1:9" ht="12.75">
      <c r="A41" s="10"/>
      <c r="B41" s="12">
        <v>37060</v>
      </c>
      <c r="C41" s="13">
        <v>24.7349</v>
      </c>
      <c r="E41" s="12">
        <v>36808</v>
      </c>
      <c r="F41" s="13">
        <v>22.6478</v>
      </c>
      <c r="H41" s="12">
        <v>36556</v>
      </c>
      <c r="I41" s="13">
        <v>20.2998</v>
      </c>
    </row>
    <row r="42" spans="1:9" ht="12.75">
      <c r="A42" s="10"/>
      <c r="B42" s="12">
        <v>37053</v>
      </c>
      <c r="C42" s="13">
        <v>23.4568</v>
      </c>
      <c r="E42" s="12">
        <v>36801</v>
      </c>
      <c r="F42" s="13">
        <v>21.7396</v>
      </c>
      <c r="H42" s="12">
        <v>36549</v>
      </c>
      <c r="I42" s="13">
        <v>19.3176</v>
      </c>
    </row>
    <row r="43" spans="1:9" ht="12.75">
      <c r="A43" s="10"/>
      <c r="B43" s="12">
        <v>37046</v>
      </c>
      <c r="C43" s="13">
        <v>23.1878</v>
      </c>
      <c r="E43" s="12">
        <v>36794</v>
      </c>
      <c r="F43" s="13">
        <v>23.0593</v>
      </c>
      <c r="H43" s="12">
        <v>36542</v>
      </c>
      <c r="I43" s="13">
        <v>17.5713</v>
      </c>
    </row>
    <row r="44" spans="1:9" ht="12.75">
      <c r="A44" s="10"/>
      <c r="B44" s="12">
        <v>37039</v>
      </c>
      <c r="C44" s="13">
        <v>22.986</v>
      </c>
      <c r="E44" s="12">
        <v>36787</v>
      </c>
      <c r="F44" s="13">
        <v>22.1937</v>
      </c>
      <c r="H44" s="12">
        <v>36535</v>
      </c>
      <c r="I44" s="13">
        <v>17.2243</v>
      </c>
    </row>
    <row r="45" spans="1:9" ht="12.75">
      <c r="A45" s="10"/>
      <c r="B45" s="12">
        <v>37032</v>
      </c>
      <c r="C45" s="13">
        <v>22.9283</v>
      </c>
      <c r="E45" s="12">
        <v>36780</v>
      </c>
      <c r="F45" s="13">
        <v>23.3998</v>
      </c>
      <c r="H45" s="12">
        <v>36528</v>
      </c>
      <c r="I45" s="13">
        <v>17.3843</v>
      </c>
    </row>
    <row r="46" spans="1:9" ht="12.75">
      <c r="A46" s="10"/>
      <c r="B46" s="12">
        <v>37025</v>
      </c>
      <c r="C46" s="13">
        <v>23.1013</v>
      </c>
      <c r="E46" s="12">
        <v>36773</v>
      </c>
      <c r="F46" s="13">
        <v>22.6194</v>
      </c>
      <c r="H46" s="12">
        <v>36521</v>
      </c>
      <c r="I46" s="13">
        <v>16.531</v>
      </c>
    </row>
    <row r="47" spans="1:9" ht="12.75">
      <c r="A47" s="10"/>
      <c r="B47" s="12"/>
      <c r="C47" s="13"/>
      <c r="E47" s="12"/>
      <c r="F47" s="13"/>
      <c r="H47" s="12"/>
      <c r="I47" s="13"/>
    </row>
    <row r="48" spans="1:3" ht="12.75">
      <c r="A48" s="10"/>
      <c r="B48" s="12">
        <v>37018</v>
      </c>
      <c r="C48" s="13">
        <v>22.4286</v>
      </c>
    </row>
    <row r="49" spans="1:3" ht="12.75">
      <c r="A49" s="10"/>
      <c r="B49" s="12">
        <v>37011</v>
      </c>
      <c r="C49" s="13">
        <v>22.5631</v>
      </c>
    </row>
    <row r="50" spans="1:3" ht="12.75">
      <c r="A50" s="10"/>
      <c r="B50" s="12">
        <v>37004</v>
      </c>
      <c r="C50" s="13">
        <v>22.64</v>
      </c>
    </row>
    <row r="51" spans="1:3" ht="12.75">
      <c r="A51" s="10"/>
      <c r="B51" s="12">
        <v>36997</v>
      </c>
      <c r="C51" s="13">
        <v>22.9379</v>
      </c>
    </row>
    <row r="52" spans="1:3" ht="12.75">
      <c r="A52" s="10"/>
      <c r="B52" s="12">
        <v>36990</v>
      </c>
      <c r="C52" s="13">
        <v>22.6667</v>
      </c>
    </row>
    <row r="53" spans="1:3" ht="12.75">
      <c r="A53" s="10"/>
      <c r="B53" s="12">
        <v>36983</v>
      </c>
      <c r="C53" s="13">
        <v>21.9124</v>
      </c>
    </row>
    <row r="54" spans="1:3" ht="12.75">
      <c r="A54" s="10"/>
      <c r="B54" s="12">
        <v>36976</v>
      </c>
      <c r="C54" s="13">
        <v>21.5729</v>
      </c>
    </row>
    <row r="55" spans="1:3" ht="12.75">
      <c r="A55" s="10"/>
      <c r="B55" s="12">
        <v>36969</v>
      </c>
      <c r="C55" s="13">
        <v>20.036</v>
      </c>
    </row>
    <row r="56" spans="1:3" ht="12.75">
      <c r="A56" s="10"/>
      <c r="B56" s="12">
        <v>36962</v>
      </c>
      <c r="C56" s="13">
        <v>21.0638</v>
      </c>
    </row>
    <row r="57" spans="1:3" ht="12.75">
      <c r="A57" s="10"/>
      <c r="B57" s="12">
        <v>36955</v>
      </c>
      <c r="C57" s="13">
        <v>22.0444</v>
      </c>
    </row>
    <row r="58" spans="1:3" ht="12.75">
      <c r="A58" s="10"/>
      <c r="B58" s="12">
        <v>36948</v>
      </c>
      <c r="C58" s="13">
        <v>22.4404</v>
      </c>
    </row>
    <row r="59" spans="1:3" ht="12.75">
      <c r="A59" s="10"/>
      <c r="B59" s="12">
        <v>36941</v>
      </c>
      <c r="C59" s="13">
        <v>22.5346</v>
      </c>
    </row>
    <row r="60" spans="1:3" ht="12.75">
      <c r="A60" s="10"/>
      <c r="B60" s="12">
        <v>36934</v>
      </c>
      <c r="C60" s="13">
        <v>23.3455</v>
      </c>
    </row>
    <row r="61" spans="1:3" ht="12.75">
      <c r="A61" s="10"/>
      <c r="B61" s="12">
        <v>36927</v>
      </c>
      <c r="C61" s="13">
        <v>23.2795</v>
      </c>
    </row>
    <row r="62" spans="1:3" ht="12.75">
      <c r="A62" s="10"/>
      <c r="B62" s="12">
        <v>36920</v>
      </c>
      <c r="C62" s="13">
        <v>22.4969</v>
      </c>
    </row>
    <row r="63" spans="1:3" ht="12.75">
      <c r="A63" s="10"/>
      <c r="B63" s="12">
        <v>36913</v>
      </c>
      <c r="C63" s="13">
        <v>23.9254</v>
      </c>
    </row>
    <row r="64" spans="1:3" ht="12.75">
      <c r="A64" s="10"/>
      <c r="B64" s="12">
        <v>36906</v>
      </c>
      <c r="C64" s="13">
        <v>23.1004</v>
      </c>
    </row>
    <row r="65" spans="1:3" ht="12.75">
      <c r="A65" s="10"/>
      <c r="B65" s="12">
        <v>36899</v>
      </c>
      <c r="C65" s="13">
        <v>22.7211</v>
      </c>
    </row>
    <row r="66" spans="1:3" ht="12.75">
      <c r="A66" s="10"/>
      <c r="B66" s="12">
        <v>36892</v>
      </c>
      <c r="C66" s="13">
        <v>22.8946</v>
      </c>
    </row>
    <row r="67" spans="1:3" ht="12.75">
      <c r="A67" s="10"/>
      <c r="B67" s="12">
        <v>36885</v>
      </c>
      <c r="C67" s="13">
        <v>25.7275</v>
      </c>
    </row>
    <row r="68" spans="1:3" ht="12.75">
      <c r="A68" s="10"/>
      <c r="B68" s="12">
        <v>36878</v>
      </c>
      <c r="C68" s="13">
        <v>25.3806</v>
      </c>
    </row>
    <row r="69" spans="1:3" ht="12.75">
      <c r="A69" s="10"/>
      <c r="B69" s="12">
        <v>36871</v>
      </c>
      <c r="C69" s="13">
        <v>24.3977</v>
      </c>
    </row>
    <row r="70" spans="1:3" ht="12.75">
      <c r="A70" s="10"/>
      <c r="B70" s="12">
        <v>36864</v>
      </c>
      <c r="C70" s="13">
        <v>24.9181</v>
      </c>
    </row>
    <row r="71" spans="1:3" ht="12.75">
      <c r="A71" s="10"/>
      <c r="B71" s="12">
        <v>36857</v>
      </c>
      <c r="C71" s="13">
        <v>24.2243</v>
      </c>
    </row>
    <row r="72" spans="1:3" ht="12.75">
      <c r="A72" s="10"/>
      <c r="B72" s="12">
        <v>36850</v>
      </c>
      <c r="C72" s="13">
        <v>23.5883</v>
      </c>
    </row>
    <row r="73" spans="1:3" ht="12.75">
      <c r="A73" s="10"/>
      <c r="B73" s="12">
        <v>36843</v>
      </c>
      <c r="C73" s="13">
        <v>23.4727</v>
      </c>
    </row>
    <row r="74" spans="1:3" ht="12.75">
      <c r="A74" s="10"/>
      <c r="B74" s="12">
        <v>36836</v>
      </c>
      <c r="C74" s="13">
        <v>22.6633</v>
      </c>
    </row>
    <row r="75" spans="1:3" ht="12.75">
      <c r="A75" s="10"/>
      <c r="B75" s="12">
        <v>36829</v>
      </c>
      <c r="C75" s="13">
        <v>22.5477</v>
      </c>
    </row>
    <row r="76" spans="1:3" ht="12.75">
      <c r="A76" s="10"/>
      <c r="B76" s="12">
        <v>36822</v>
      </c>
      <c r="C76" s="13">
        <v>22.3742</v>
      </c>
    </row>
    <row r="77" spans="1:3" ht="12.75">
      <c r="A77" s="10"/>
      <c r="B77" s="12">
        <v>36815</v>
      </c>
      <c r="C77" s="13">
        <v>22.2586</v>
      </c>
    </row>
    <row r="78" spans="1:3" ht="12.75">
      <c r="A78" s="10"/>
      <c r="B78" s="12">
        <v>36808</v>
      </c>
      <c r="C78" s="13">
        <v>22.6478</v>
      </c>
    </row>
    <row r="79" spans="1:3" ht="12.75">
      <c r="A79" s="10"/>
      <c r="B79" s="12">
        <v>36801</v>
      </c>
      <c r="C79" s="13">
        <v>21.7396</v>
      </c>
    </row>
    <row r="80" spans="1:3" ht="12.75">
      <c r="A80" s="10"/>
      <c r="B80" s="12">
        <v>36794</v>
      </c>
      <c r="C80" s="13">
        <v>23.0593</v>
      </c>
    </row>
    <row r="81" spans="1:3" ht="12.75">
      <c r="A81" s="10"/>
      <c r="B81" s="12">
        <v>36787</v>
      </c>
      <c r="C81" s="13">
        <v>22.1937</v>
      </c>
    </row>
    <row r="82" spans="1:3" ht="12.75">
      <c r="A82" s="10"/>
      <c r="B82" s="12">
        <v>36780</v>
      </c>
      <c r="C82" s="13">
        <v>23.3998</v>
      </c>
    </row>
    <row r="83" spans="1:3" ht="12.75">
      <c r="A83" s="10"/>
      <c r="B83" s="12">
        <v>36773</v>
      </c>
      <c r="C83" s="13">
        <v>22.6194</v>
      </c>
    </row>
    <row r="84" spans="1:3" ht="12.75">
      <c r="A84" s="10"/>
      <c r="B84" s="12">
        <v>36766</v>
      </c>
      <c r="C84" s="13">
        <v>21.5125</v>
      </c>
    </row>
    <row r="85" spans="1:3" ht="12.75">
      <c r="A85" s="10"/>
      <c r="B85" s="12">
        <v>36759</v>
      </c>
      <c r="C85" s="13">
        <v>20.8314</v>
      </c>
    </row>
    <row r="86" spans="1:3" ht="12.75">
      <c r="A86" s="10"/>
      <c r="B86" s="12">
        <v>36752</v>
      </c>
      <c r="C86" s="13">
        <v>21.8531</v>
      </c>
    </row>
    <row r="87" spans="1:3" ht="12.75">
      <c r="A87" s="10"/>
      <c r="B87" s="12">
        <v>36745</v>
      </c>
      <c r="C87" s="13">
        <v>21.6828</v>
      </c>
    </row>
    <row r="88" spans="1:3" ht="12.75">
      <c r="A88" s="10"/>
      <c r="B88" s="12">
        <v>36738</v>
      </c>
      <c r="C88" s="13">
        <v>21.6828</v>
      </c>
    </row>
    <row r="89" spans="1:3" ht="12.75">
      <c r="A89" s="10"/>
      <c r="B89" s="12">
        <v>36731</v>
      </c>
      <c r="C89" s="13">
        <v>20.7179</v>
      </c>
    </row>
    <row r="90" spans="1:3" ht="12.75">
      <c r="A90" s="10"/>
      <c r="B90" s="12">
        <v>36724</v>
      </c>
      <c r="C90" s="13">
        <v>20.8882</v>
      </c>
    </row>
    <row r="91" spans="1:3" ht="12.75">
      <c r="A91" s="10"/>
      <c r="B91" s="12">
        <v>36717</v>
      </c>
      <c r="C91" s="13">
        <v>20.8186</v>
      </c>
    </row>
    <row r="92" spans="1:3" ht="12.75">
      <c r="A92" s="10"/>
      <c r="B92" s="12">
        <v>36710</v>
      </c>
      <c r="C92" s="13">
        <v>20.3177</v>
      </c>
    </row>
    <row r="93" spans="1:3" ht="12.75">
      <c r="A93" s="10"/>
      <c r="B93" s="12">
        <v>36703</v>
      </c>
      <c r="C93" s="13">
        <v>19.1487</v>
      </c>
    </row>
    <row r="94" spans="1:3" ht="12.75">
      <c r="A94" s="10"/>
      <c r="B94" s="12">
        <v>36696</v>
      </c>
      <c r="C94" s="13">
        <v>20.1507</v>
      </c>
    </row>
    <row r="95" spans="1:3" ht="12.75">
      <c r="A95" s="10"/>
      <c r="B95" s="12">
        <v>36689</v>
      </c>
      <c r="C95" s="13">
        <v>20.763</v>
      </c>
    </row>
    <row r="96" spans="1:3" ht="12.75">
      <c r="A96" s="10"/>
      <c r="B96" s="12">
        <v>36682</v>
      </c>
      <c r="C96" s="13">
        <v>20.4846</v>
      </c>
    </row>
    <row r="97" spans="1:3" ht="12.75">
      <c r="A97" s="10"/>
      <c r="B97" s="12">
        <v>36675</v>
      </c>
      <c r="C97" s="13">
        <v>20.5403</v>
      </c>
    </row>
    <row r="98" spans="1:3" ht="12.75">
      <c r="A98" s="10"/>
      <c r="B98" s="12">
        <v>36668</v>
      </c>
      <c r="C98" s="13">
        <v>20.93</v>
      </c>
    </row>
    <row r="99" spans="1:3" ht="12.75">
      <c r="A99" s="10"/>
      <c r="B99" s="12">
        <v>36661</v>
      </c>
      <c r="C99" s="13">
        <v>20.596</v>
      </c>
    </row>
    <row r="100" spans="1:3" ht="12.75">
      <c r="A100" s="10"/>
      <c r="B100" s="12">
        <v>36654</v>
      </c>
      <c r="C100" s="13">
        <v>20.9856</v>
      </c>
    </row>
    <row r="101" spans="1:3" ht="12.75">
      <c r="A101" s="10"/>
      <c r="B101" s="12">
        <v>36647</v>
      </c>
      <c r="C101" s="13">
        <v>20.596</v>
      </c>
    </row>
    <row r="102" spans="1:3" ht="12.75">
      <c r="A102" s="10"/>
      <c r="B102" s="12">
        <v>36640</v>
      </c>
      <c r="C102" s="13">
        <v>21.1526</v>
      </c>
    </row>
    <row r="103" spans="1:3" ht="12.75">
      <c r="A103" s="10"/>
      <c r="B103" s="12">
        <v>36633</v>
      </c>
      <c r="C103" s="13">
        <v>20.3177</v>
      </c>
    </row>
    <row r="104" spans="1:3" ht="12.75">
      <c r="A104" s="10"/>
      <c r="B104" s="12">
        <v>36626</v>
      </c>
      <c r="C104" s="13">
        <v>20.3544</v>
      </c>
    </row>
    <row r="105" spans="1:3" ht="12.75">
      <c r="A105" s="10"/>
      <c r="B105" s="12">
        <v>36619</v>
      </c>
      <c r="C105" s="13">
        <v>19.7541</v>
      </c>
    </row>
    <row r="106" spans="1:3" ht="12.75">
      <c r="A106" s="10"/>
      <c r="B106" s="12">
        <v>36612</v>
      </c>
      <c r="C106" s="13">
        <v>19.3721</v>
      </c>
    </row>
    <row r="107" spans="1:3" ht="12.75">
      <c r="A107" s="10"/>
      <c r="B107" s="12">
        <v>36605</v>
      </c>
      <c r="C107" s="13">
        <v>18.6082</v>
      </c>
    </row>
    <row r="108" spans="1:3" ht="12.75">
      <c r="A108" s="10"/>
      <c r="B108" s="12">
        <v>36598</v>
      </c>
      <c r="C108" s="13">
        <v>18.6082</v>
      </c>
    </row>
    <row r="109" spans="1:3" ht="12.75">
      <c r="A109" s="10"/>
      <c r="B109" s="12">
        <v>36591</v>
      </c>
      <c r="C109" s="13">
        <v>17.4076</v>
      </c>
    </row>
    <row r="110" spans="1:3" ht="12.75">
      <c r="A110" s="10"/>
      <c r="B110" s="12">
        <v>36584</v>
      </c>
      <c r="C110" s="13">
        <v>17.5713</v>
      </c>
    </row>
    <row r="111" spans="1:3" ht="12.75">
      <c r="A111" s="10"/>
      <c r="B111" s="12">
        <v>36577</v>
      </c>
      <c r="C111" s="13">
        <v>17.2985</v>
      </c>
    </row>
    <row r="112" spans="1:3" ht="12.75">
      <c r="A112" s="10"/>
      <c r="B112" s="12">
        <v>36570</v>
      </c>
      <c r="C112" s="13">
        <v>18.4444</v>
      </c>
    </row>
    <row r="113" spans="1:3" ht="12.75">
      <c r="A113" s="10"/>
      <c r="B113" s="12">
        <v>36563</v>
      </c>
      <c r="C113" s="13">
        <v>19.3176</v>
      </c>
    </row>
    <row r="114" spans="1:3" ht="12.75">
      <c r="A114" s="10"/>
      <c r="B114" s="12">
        <v>36556</v>
      </c>
      <c r="C114" s="13">
        <v>20.2998</v>
      </c>
    </row>
    <row r="115" spans="1:3" ht="12.75">
      <c r="A115" s="10"/>
      <c r="B115" s="12">
        <v>36549</v>
      </c>
      <c r="C115" s="13">
        <v>19.3176</v>
      </c>
    </row>
    <row r="116" spans="1:3" ht="12.75">
      <c r="A116" s="10"/>
      <c r="B116" s="12">
        <v>36542</v>
      </c>
      <c r="C116" s="13">
        <v>17.5713</v>
      </c>
    </row>
    <row r="117" spans="1:3" ht="12.75">
      <c r="A117" s="10"/>
      <c r="B117" s="12">
        <v>36535</v>
      </c>
      <c r="C117" s="13">
        <v>17.2243</v>
      </c>
    </row>
    <row r="118" spans="1:3" ht="12.75">
      <c r="A118" s="10"/>
      <c r="B118" s="12">
        <v>36528</v>
      </c>
      <c r="C118" s="13">
        <v>17.3843</v>
      </c>
    </row>
    <row r="119" spans="1:3" ht="12.75">
      <c r="A119" s="10"/>
      <c r="B119" s="12">
        <v>36521</v>
      </c>
      <c r="C119" s="13">
        <v>16.531</v>
      </c>
    </row>
  </sheetData>
  <printOptions/>
  <pageMargins left="0.75" right="0.75" top="1" bottom="1" header="0.5" footer="0.5"/>
  <pageSetup orientation="portrait" r:id="rId1"/>
  <headerFooter alignWithMargins="0">
    <oddFooter>&amp;L&amp;"Times,Regular"Data from Yahoo.com/Finance/Historical Prices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I46"/>
  <sheetViews>
    <sheetView workbookViewId="0" topLeftCell="A1">
      <selection activeCell="G21" sqref="G21"/>
    </sheetView>
  </sheetViews>
  <sheetFormatPr defaultColWidth="9.140625" defaultRowHeight="12.75"/>
  <cols>
    <col min="1" max="1" width="10.8515625" style="1" customWidth="1"/>
    <col min="2" max="2" width="4.28125" style="1" customWidth="1"/>
    <col min="3" max="4" width="10.8515625" style="1" customWidth="1"/>
    <col min="5" max="5" width="12.00390625" style="1" customWidth="1"/>
    <col min="6" max="6" width="11.8515625" style="1" customWidth="1"/>
    <col min="7" max="7" width="10.8515625" style="1" customWidth="1"/>
    <col min="8" max="8" width="12.140625" style="1" customWidth="1"/>
    <col min="9" max="16384" width="10.8515625" style="1" customWidth="1"/>
  </cols>
  <sheetData>
    <row r="1" ht="12.75">
      <c r="I1" s="2" t="s">
        <v>254</v>
      </c>
    </row>
    <row r="2" ht="12.75">
      <c r="I2" s="2" t="s">
        <v>255</v>
      </c>
    </row>
    <row r="5" ht="12.75">
      <c r="F5" s="4" t="s">
        <v>224</v>
      </c>
    </row>
    <row r="6" ht="12.75">
      <c r="F6" s="4" t="s">
        <v>256</v>
      </c>
    </row>
    <row r="9" spans="5:8" ht="12.75">
      <c r="E9" s="5" t="s">
        <v>237</v>
      </c>
      <c r="F9" s="5" t="s">
        <v>240</v>
      </c>
      <c r="G9" s="5" t="s">
        <v>242</v>
      </c>
      <c r="H9" s="5" t="s">
        <v>239</v>
      </c>
    </row>
    <row r="10" spans="5:8" ht="12.75">
      <c r="E10" s="5" t="s">
        <v>238</v>
      </c>
      <c r="F10" s="5" t="s">
        <v>236</v>
      </c>
      <c r="G10" s="5" t="s">
        <v>243</v>
      </c>
      <c r="H10" s="5" t="s">
        <v>245</v>
      </c>
    </row>
    <row r="11" spans="5:8" ht="12.75">
      <c r="E11" s="7" t="s">
        <v>239</v>
      </c>
      <c r="F11" s="7" t="s">
        <v>241</v>
      </c>
      <c r="G11" s="7" t="s">
        <v>244</v>
      </c>
      <c r="H11" s="7" t="s">
        <v>246</v>
      </c>
    </row>
    <row r="13" spans="3:8" ht="12.75">
      <c r="C13" s="16" t="s">
        <v>262</v>
      </c>
      <c r="E13" s="5" t="s">
        <v>258</v>
      </c>
      <c r="F13" s="5" t="s">
        <v>259</v>
      </c>
      <c r="G13" s="5" t="s">
        <v>260</v>
      </c>
      <c r="H13" s="5" t="s">
        <v>261</v>
      </c>
    </row>
    <row r="14" spans="5:8" ht="12.75">
      <c r="E14" s="5"/>
      <c r="F14" s="5"/>
      <c r="G14" s="5"/>
      <c r="H14" s="5"/>
    </row>
    <row r="15" spans="3:8" ht="12.75">
      <c r="C15" s="1" t="s">
        <v>257</v>
      </c>
      <c r="D15" s="5" t="s">
        <v>250</v>
      </c>
      <c r="E15" s="15">
        <v>0.128</v>
      </c>
      <c r="F15" s="5" t="s">
        <v>247</v>
      </c>
      <c r="G15" s="5" t="s">
        <v>248</v>
      </c>
      <c r="H15" s="15">
        <v>0.636</v>
      </c>
    </row>
    <row r="16" spans="4:8" ht="12.75">
      <c r="D16" s="5"/>
      <c r="E16" s="15"/>
      <c r="F16" s="5"/>
      <c r="G16" s="5"/>
      <c r="H16" s="15"/>
    </row>
    <row r="17" spans="3:8" ht="12.75">
      <c r="C17" s="1" t="s">
        <v>257</v>
      </c>
      <c r="D17" s="5" t="s">
        <v>251</v>
      </c>
      <c r="E17" s="15">
        <v>0.111</v>
      </c>
      <c r="F17" s="5" t="s">
        <v>249</v>
      </c>
      <c r="G17" s="5" t="s">
        <v>248</v>
      </c>
      <c r="H17" s="15">
        <v>0.637</v>
      </c>
    </row>
    <row r="18" spans="4:8" ht="12.75">
      <c r="D18" s="5"/>
      <c r="E18" s="15"/>
      <c r="F18" s="5"/>
      <c r="G18" s="5"/>
      <c r="H18" s="15"/>
    </row>
    <row r="19" spans="3:8" ht="12.75">
      <c r="C19" s="1" t="s">
        <v>257</v>
      </c>
      <c r="D19" s="5" t="s">
        <v>252</v>
      </c>
      <c r="E19" s="15">
        <v>0.138</v>
      </c>
      <c r="F19" s="5" t="s">
        <v>247</v>
      </c>
      <c r="G19" s="5" t="s">
        <v>249</v>
      </c>
      <c r="H19" s="15">
        <v>0.589</v>
      </c>
    </row>
    <row r="20" spans="5:8" ht="12.75">
      <c r="E20" s="15"/>
      <c r="F20" s="5"/>
      <c r="G20" s="5"/>
      <c r="H20" s="15"/>
    </row>
    <row r="21" spans="3:8" ht="12.75">
      <c r="C21" s="17" t="s">
        <v>264</v>
      </c>
      <c r="D21" s="18"/>
      <c r="E21" s="118"/>
      <c r="F21" s="119"/>
      <c r="G21" s="119"/>
      <c r="H21" s="120"/>
    </row>
    <row r="24" ht="12.75">
      <c r="D24" s="1" t="s">
        <v>263</v>
      </c>
    </row>
    <row r="25" ht="12.75">
      <c r="D25" s="1" t="s">
        <v>253</v>
      </c>
    </row>
    <row r="26" ht="12.75">
      <c r="D26" s="1" t="s">
        <v>265</v>
      </c>
    </row>
    <row r="46" spans="5:8" ht="12.75">
      <c r="E46" s="14">
        <f>AVERAGE(E15:E19)</f>
        <v>0.12566666666666668</v>
      </c>
      <c r="F46" s="19">
        <v>2.63</v>
      </c>
      <c r="G46" s="19">
        <v>2.43</v>
      </c>
      <c r="H46" s="14">
        <f>AVERAGE(H15:H19)</f>
        <v>0.6206666666666667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"/>
  <sheetViews>
    <sheetView workbookViewId="0" topLeftCell="B4">
      <selection activeCell="N13" sqref="N13"/>
    </sheetView>
  </sheetViews>
  <sheetFormatPr defaultColWidth="9.140625" defaultRowHeight="12.75"/>
  <cols>
    <col min="1" max="1" width="10.8515625" style="20" customWidth="1"/>
    <col min="2" max="2" width="2.421875" style="20" customWidth="1"/>
    <col min="3" max="3" width="25.421875" style="20" customWidth="1"/>
    <col min="4" max="13" width="7.28125" style="20" customWidth="1"/>
    <col min="14" max="16384" width="10.8515625" style="20" customWidth="1"/>
  </cols>
  <sheetData>
    <row r="1" ht="12.75">
      <c r="M1" s="21" t="s">
        <v>222</v>
      </c>
    </row>
    <row r="2" ht="12.75">
      <c r="M2" s="21" t="s">
        <v>31</v>
      </c>
    </row>
    <row r="3" ht="12.75">
      <c r="M3" s="21"/>
    </row>
    <row r="6" ht="12.75">
      <c r="G6" s="24" t="s">
        <v>224</v>
      </c>
    </row>
    <row r="7" ht="12.75">
      <c r="G7" s="24" t="s">
        <v>1</v>
      </c>
    </row>
    <row r="11" spans="4:13" ht="12.75">
      <c r="D11" s="25">
        <v>37257</v>
      </c>
      <c r="E11" s="25">
        <v>37288</v>
      </c>
      <c r="F11" s="25">
        <v>37316</v>
      </c>
      <c r="G11" s="25">
        <v>37347</v>
      </c>
      <c r="H11" s="25">
        <v>37377</v>
      </c>
      <c r="I11" s="25">
        <v>37408</v>
      </c>
      <c r="J11" s="25">
        <v>37438</v>
      </c>
      <c r="K11" s="25">
        <v>37469</v>
      </c>
      <c r="L11" s="25">
        <v>37500</v>
      </c>
      <c r="M11" s="25">
        <v>37530</v>
      </c>
    </row>
    <row r="12" spans="3:13" ht="12.75">
      <c r="C12" s="23"/>
      <c r="D12" s="23" t="s">
        <v>272</v>
      </c>
      <c r="E12" s="23" t="s">
        <v>272</v>
      </c>
      <c r="F12" s="23" t="s">
        <v>272</v>
      </c>
      <c r="G12" s="23" t="s">
        <v>272</v>
      </c>
      <c r="H12" s="23" t="s">
        <v>272</v>
      </c>
      <c r="I12" s="23" t="s">
        <v>272</v>
      </c>
      <c r="J12" s="23" t="s">
        <v>272</v>
      </c>
      <c r="K12" s="23" t="s">
        <v>272</v>
      </c>
      <c r="L12" s="23" t="s">
        <v>272</v>
      </c>
      <c r="M12" s="23" t="s">
        <v>272</v>
      </c>
    </row>
    <row r="14" spans="2:13" ht="12.75">
      <c r="B14" s="21" t="s">
        <v>273</v>
      </c>
      <c r="C14" s="20" t="s">
        <v>274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2:13" s="115" customFormat="1" ht="12.75">
      <c r="B15" s="114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2:13" s="115" customFormat="1" ht="12.75">
      <c r="B16" s="114" t="s">
        <v>275</v>
      </c>
      <c r="C16" s="115" t="s">
        <v>276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2:13" s="115" customFormat="1" ht="12.75">
      <c r="B17" s="114"/>
      <c r="D17" s="121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2:13" s="115" customFormat="1" ht="12.75">
      <c r="B18" s="114" t="s">
        <v>277</v>
      </c>
      <c r="C18" s="115" t="s">
        <v>278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2:13" ht="12.75">
      <c r="B19" s="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2:16" ht="12.75">
      <c r="B20" s="21" t="s">
        <v>279</v>
      </c>
      <c r="C20" s="20" t="s">
        <v>280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P20" s="20" t="s">
        <v>3</v>
      </c>
    </row>
    <row r="21" spans="2:13" ht="12.75">
      <c r="B21" s="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2:13" ht="12.75">
      <c r="B22" s="21" t="s">
        <v>281</v>
      </c>
      <c r="C22" s="20" t="s">
        <v>26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2:13" ht="12.75">
      <c r="B23" s="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2:13" ht="12.75">
      <c r="B24" s="21" t="s">
        <v>27</v>
      </c>
      <c r="C24" s="20" t="s">
        <v>28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4:13" ht="12.75"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3:13" ht="12.75">
      <c r="C26" s="20" t="s">
        <v>30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2"/>
    </row>
    <row r="27" ht="12.75">
      <c r="M27" s="22"/>
    </row>
    <row r="29" ht="12.75">
      <c r="C29" s="20" t="s">
        <v>29</v>
      </c>
    </row>
  </sheetData>
  <printOptions/>
  <pageMargins left="0.75" right="0.75" top="1" bottom="1" header="0.5" footer="0.5"/>
  <pageSetup fitToHeight="1" fitToWidth="1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2"/>
  <sheetViews>
    <sheetView workbookViewId="0" topLeftCell="A1">
      <selection activeCell="C29" sqref="C29"/>
    </sheetView>
  </sheetViews>
  <sheetFormatPr defaultColWidth="9.140625" defaultRowHeight="12.75"/>
  <cols>
    <col min="1" max="1" width="6.421875" style="20" customWidth="1"/>
    <col min="2" max="2" width="5.28125" style="20" customWidth="1"/>
    <col min="3" max="3" width="12.28125" style="20" customWidth="1"/>
    <col min="4" max="16384" width="10.8515625" style="20" customWidth="1"/>
  </cols>
  <sheetData>
    <row r="1" ht="12.75">
      <c r="I1" s="21" t="s">
        <v>222</v>
      </c>
    </row>
    <row r="2" ht="12.75">
      <c r="I2" s="21" t="s">
        <v>40</v>
      </c>
    </row>
    <row r="4" ht="12.75">
      <c r="F4" s="24" t="s">
        <v>224</v>
      </c>
    </row>
    <row r="5" ht="12.75">
      <c r="F5" s="24" t="s">
        <v>60</v>
      </c>
    </row>
    <row r="9" spans="2:9" ht="12.75">
      <c r="B9" s="20" t="s">
        <v>32</v>
      </c>
      <c r="D9" s="26">
        <v>35430</v>
      </c>
      <c r="E9" s="26">
        <v>35795</v>
      </c>
      <c r="F9" s="26">
        <v>36160</v>
      </c>
      <c r="G9" s="26">
        <v>36525</v>
      </c>
      <c r="H9" s="26">
        <v>36891</v>
      </c>
      <c r="I9" s="27">
        <v>37164</v>
      </c>
    </row>
    <row r="11" spans="3:9" ht="12.75">
      <c r="C11" s="20" t="s">
        <v>33</v>
      </c>
      <c r="D11" s="22">
        <v>1378377</v>
      </c>
      <c r="E11" s="22">
        <v>1358077</v>
      </c>
      <c r="F11" s="22">
        <v>1352680</v>
      </c>
      <c r="G11" s="22">
        <v>1379073</v>
      </c>
      <c r="H11" s="22">
        <v>1426640</v>
      </c>
      <c r="I11" s="22">
        <f>859038+382591+82153-40553</f>
        <v>1283229</v>
      </c>
    </row>
    <row r="12" spans="3:9" ht="12.75">
      <c r="C12" s="20" t="s">
        <v>34</v>
      </c>
      <c r="D12" s="22">
        <f>215000+87839</f>
        <v>302839</v>
      </c>
      <c r="E12" s="22">
        <f>95488+78134</f>
        <v>173622</v>
      </c>
      <c r="F12" s="22">
        <f>95075+73162</f>
        <v>168237</v>
      </c>
      <c r="G12" s="22">
        <f>60000+65662</f>
        <v>125662</v>
      </c>
      <c r="H12" s="22">
        <f>60000+58162</f>
        <v>118162</v>
      </c>
      <c r="I12" s="22">
        <f>60000+50622</f>
        <v>110622</v>
      </c>
    </row>
    <row r="13" spans="3:9" ht="12.75">
      <c r="C13" s="20" t="s">
        <v>71</v>
      </c>
      <c r="D13" s="22">
        <v>0</v>
      </c>
      <c r="E13" s="22">
        <v>100000</v>
      </c>
      <c r="F13" s="22">
        <v>100000</v>
      </c>
      <c r="G13" s="22">
        <v>100000</v>
      </c>
      <c r="H13" s="22">
        <v>100000</v>
      </c>
      <c r="I13" s="22">
        <v>300000</v>
      </c>
    </row>
    <row r="14" spans="3:9" ht="12.75">
      <c r="C14" s="20" t="s">
        <v>55</v>
      </c>
      <c r="D14" s="22">
        <f>1165584+100062</f>
        <v>1265646</v>
      </c>
      <c r="E14" s="22">
        <f>1411707+51000</f>
        <v>1462707</v>
      </c>
      <c r="F14" s="22">
        <f>1475106+107000</f>
        <v>1582106</v>
      </c>
      <c r="G14" s="22">
        <f>1783139+47620</f>
        <v>1830759</v>
      </c>
      <c r="H14" s="22">
        <f>2170797+19000</f>
        <v>2189797</v>
      </c>
      <c r="I14" s="22">
        <f>2083191+92000</f>
        <v>2175191</v>
      </c>
    </row>
    <row r="15" spans="3:9" ht="12.75">
      <c r="C15" s="20" t="s">
        <v>37</v>
      </c>
      <c r="D15" s="28">
        <v>298122</v>
      </c>
      <c r="E15" s="28">
        <v>372538</v>
      </c>
      <c r="F15" s="28">
        <v>450905</v>
      </c>
      <c r="G15" s="28">
        <v>604712</v>
      </c>
      <c r="H15" s="28">
        <v>378316</v>
      </c>
      <c r="I15" s="28">
        <v>301571</v>
      </c>
    </row>
    <row r="16" spans="4:9" ht="12.75">
      <c r="D16" s="22"/>
      <c r="E16" s="22"/>
      <c r="F16" s="22"/>
      <c r="G16" s="22"/>
      <c r="H16" s="22"/>
      <c r="I16" s="22"/>
    </row>
    <row r="17" spans="3:9" ht="12.75">
      <c r="C17" s="20" t="s">
        <v>38</v>
      </c>
      <c r="D17" s="22">
        <f aca="true" t="shared" si="0" ref="D17:I17">D11+D12+D13+D14+D15</f>
        <v>3244984</v>
      </c>
      <c r="E17" s="22">
        <f t="shared" si="0"/>
        <v>3466944</v>
      </c>
      <c r="F17" s="22">
        <f t="shared" si="0"/>
        <v>3653928</v>
      </c>
      <c r="G17" s="22">
        <f t="shared" si="0"/>
        <v>4040206</v>
      </c>
      <c r="H17" s="22">
        <f t="shared" si="0"/>
        <v>4212915</v>
      </c>
      <c r="I17" s="22">
        <f t="shared" si="0"/>
        <v>4170613</v>
      </c>
    </row>
    <row r="19" ht="12.75">
      <c r="B19" s="20" t="s">
        <v>39</v>
      </c>
    </row>
    <row r="21" spans="3:9" ht="12.75">
      <c r="C21" s="20" t="s">
        <v>33</v>
      </c>
      <c r="D21" s="29">
        <f aca="true" t="shared" si="1" ref="D21:I25">D11/D$17</f>
        <v>0.4247715859307781</v>
      </c>
      <c r="E21" s="29">
        <f t="shared" si="1"/>
        <v>0.3917216430377877</v>
      </c>
      <c r="F21" s="29">
        <f t="shared" si="1"/>
        <v>0.37019886544015096</v>
      </c>
      <c r="G21" s="29">
        <f t="shared" si="1"/>
        <v>0.3413372981476687</v>
      </c>
      <c r="H21" s="29">
        <f t="shared" si="1"/>
        <v>0.3386348881949909</v>
      </c>
      <c r="I21" s="29">
        <f t="shared" si="1"/>
        <v>0.30768354675919346</v>
      </c>
    </row>
    <row r="22" spans="3:9" ht="12.75">
      <c r="C22" s="20" t="s">
        <v>34</v>
      </c>
      <c r="D22" s="29">
        <f t="shared" si="1"/>
        <v>0.09332526755139625</v>
      </c>
      <c r="E22" s="29">
        <f t="shared" si="1"/>
        <v>0.05007926288973805</v>
      </c>
      <c r="F22" s="29">
        <f t="shared" si="1"/>
        <v>0.046042779168062424</v>
      </c>
      <c r="G22" s="29">
        <f t="shared" si="1"/>
        <v>0.031102869507148894</v>
      </c>
      <c r="H22" s="29">
        <f t="shared" si="1"/>
        <v>0.028047563266764223</v>
      </c>
      <c r="I22" s="29">
        <f t="shared" si="1"/>
        <v>0.026524158439059198</v>
      </c>
    </row>
    <row r="23" spans="3:9" ht="12.75">
      <c r="C23" s="20" t="s">
        <v>71</v>
      </c>
      <c r="D23" s="29">
        <f t="shared" si="1"/>
        <v>0</v>
      </c>
      <c r="E23" s="29">
        <f t="shared" si="1"/>
        <v>0.02884384633844677</v>
      </c>
      <c r="F23" s="29">
        <f t="shared" si="1"/>
        <v>0.02736780801373207</v>
      </c>
      <c r="G23" s="29">
        <f t="shared" si="1"/>
        <v>0.024751213180714052</v>
      </c>
      <c r="H23" s="29">
        <f t="shared" si="1"/>
        <v>0.023736533967573522</v>
      </c>
      <c r="I23" s="29">
        <f t="shared" si="1"/>
        <v>0.0719318718854998</v>
      </c>
    </row>
    <row r="24" spans="3:9" ht="12.75">
      <c r="C24" s="20" t="s">
        <v>55</v>
      </c>
      <c r="D24" s="29">
        <f t="shared" si="1"/>
        <v>0.39003150708909506</v>
      </c>
      <c r="E24" s="29">
        <f t="shared" si="1"/>
        <v>0.4219009594617046</v>
      </c>
      <c r="F24" s="29">
        <f t="shared" si="1"/>
        <v>0.4329877326537359</v>
      </c>
      <c r="G24" s="29">
        <f t="shared" si="1"/>
        <v>0.4531350629151088</v>
      </c>
      <c r="H24" s="29">
        <f t="shared" si="1"/>
        <v>0.5197819087259059</v>
      </c>
      <c r="I24" s="29">
        <f t="shared" si="1"/>
        <v>0.521551867794974</v>
      </c>
    </row>
    <row r="25" spans="3:9" ht="12.75">
      <c r="C25" s="20" t="s">
        <v>37</v>
      </c>
      <c r="D25" s="30">
        <f t="shared" si="1"/>
        <v>0.09187163942873063</v>
      </c>
      <c r="E25" s="30">
        <f t="shared" si="1"/>
        <v>0.10745428827232283</v>
      </c>
      <c r="F25" s="30">
        <f t="shared" si="1"/>
        <v>0.12340281472431859</v>
      </c>
      <c r="G25" s="30">
        <f t="shared" si="1"/>
        <v>0.14967355624935957</v>
      </c>
      <c r="H25" s="30">
        <f t="shared" si="1"/>
        <v>0.08979910584476544</v>
      </c>
      <c r="I25" s="30">
        <f t="shared" si="1"/>
        <v>0.07230855512127354</v>
      </c>
    </row>
    <row r="26" spans="4:9" ht="12.75">
      <c r="D26" s="29"/>
      <c r="E26" s="29"/>
      <c r="F26" s="29"/>
      <c r="G26" s="29"/>
      <c r="H26" s="29"/>
      <c r="I26" s="29"/>
    </row>
    <row r="27" spans="3:9" ht="12.75">
      <c r="C27" s="20" t="s">
        <v>38</v>
      </c>
      <c r="D27" s="29">
        <f aca="true" t="shared" si="2" ref="D27:I27">D21+D22+D23+D24+D25</f>
        <v>1</v>
      </c>
      <c r="E27" s="29">
        <f t="shared" si="2"/>
        <v>1</v>
      </c>
      <c r="F27" s="29">
        <f t="shared" si="2"/>
        <v>0.9999999999999999</v>
      </c>
      <c r="G27" s="29">
        <f t="shared" si="2"/>
        <v>1</v>
      </c>
      <c r="H27" s="29">
        <f t="shared" si="2"/>
        <v>1</v>
      </c>
      <c r="I27" s="29">
        <f t="shared" si="2"/>
        <v>1</v>
      </c>
    </row>
    <row r="34" spans="4:9" ht="12.75">
      <c r="D34" s="26"/>
      <c r="E34" s="26"/>
      <c r="F34" s="26"/>
      <c r="G34" s="26"/>
      <c r="H34" s="26"/>
      <c r="I34" s="64" t="s">
        <v>61</v>
      </c>
    </row>
    <row r="35" spans="3:9" ht="12.75">
      <c r="C35" s="21" t="s">
        <v>58</v>
      </c>
      <c r="D35" s="63">
        <v>1.89</v>
      </c>
      <c r="E35" s="63">
        <v>1.28</v>
      </c>
      <c r="F35" s="63">
        <v>1.85</v>
      </c>
      <c r="G35" s="63">
        <v>2.06</v>
      </c>
      <c r="H35" s="63">
        <v>2.16</v>
      </c>
      <c r="I35" s="63">
        <f>AVERAGE(D35:H35)</f>
        <v>1.848</v>
      </c>
    </row>
    <row r="36" spans="3:9" ht="12.75">
      <c r="C36" s="21"/>
      <c r="D36" s="63"/>
      <c r="E36" s="63"/>
      <c r="F36" s="63"/>
      <c r="G36" s="63"/>
      <c r="H36" s="63"/>
      <c r="I36" s="63"/>
    </row>
    <row r="37" spans="3:9" ht="12.75">
      <c r="C37" s="21" t="s">
        <v>59</v>
      </c>
      <c r="D37" s="63">
        <v>1.84</v>
      </c>
      <c r="E37" s="63">
        <v>1.84</v>
      </c>
      <c r="F37" s="63">
        <v>1.84</v>
      </c>
      <c r="G37" s="63">
        <v>1.84</v>
      </c>
      <c r="H37" s="63">
        <v>1.84</v>
      </c>
      <c r="I37" s="63">
        <f>AVERAGE(D37:H37)</f>
        <v>1.8400000000000003</v>
      </c>
    </row>
    <row r="38" spans="8:9" ht="12.75">
      <c r="H38" s="22"/>
      <c r="I38" s="22"/>
    </row>
    <row r="39" spans="8:9" ht="12.75">
      <c r="H39" s="22"/>
      <c r="I39" s="22"/>
    </row>
    <row r="40" spans="8:9" ht="12.75">
      <c r="H40" s="28"/>
      <c r="I40" s="28"/>
    </row>
    <row r="41" spans="8:9" ht="12.75">
      <c r="H41" s="22"/>
      <c r="I41" s="22"/>
    </row>
    <row r="42" spans="8:9" ht="12.75">
      <c r="H42" s="22"/>
      <c r="I42" s="22"/>
    </row>
    <row r="45" ht="12.75">
      <c r="B45" s="20" t="s">
        <v>56</v>
      </c>
    </row>
    <row r="46" spans="2:9" ht="12.75">
      <c r="B46" s="20" t="s">
        <v>57</v>
      </c>
      <c r="H46" s="29"/>
      <c r="I46" s="29"/>
    </row>
    <row r="47" spans="8:9" ht="12.75">
      <c r="H47" s="29"/>
      <c r="I47" s="29"/>
    </row>
    <row r="48" spans="8:9" ht="12.75">
      <c r="H48" s="29"/>
      <c r="I48" s="29"/>
    </row>
    <row r="49" spans="8:9" ht="12.75">
      <c r="H49" s="29"/>
      <c r="I49" s="29"/>
    </row>
    <row r="50" spans="8:9" ht="12.75">
      <c r="H50" s="30"/>
      <c r="I50" s="30"/>
    </row>
    <row r="51" spans="8:9" ht="12.75">
      <c r="H51" s="29"/>
      <c r="I51" s="29"/>
    </row>
    <row r="52" spans="8:9" ht="12.75">
      <c r="H52" s="29"/>
      <c r="I52" s="29"/>
    </row>
    <row r="55" spans="4:5" ht="12.75">
      <c r="D55" s="23" t="s">
        <v>62</v>
      </c>
      <c r="E55" s="23" t="s">
        <v>65</v>
      </c>
    </row>
    <row r="56" spans="4:5" ht="12.75">
      <c r="D56" s="23" t="s">
        <v>63</v>
      </c>
      <c r="E56" s="23" t="s">
        <v>66</v>
      </c>
    </row>
    <row r="57" spans="3:6" ht="12.75">
      <c r="C57" s="67" t="s">
        <v>68</v>
      </c>
      <c r="D57" s="67" t="s">
        <v>64</v>
      </c>
      <c r="E57" s="67" t="s">
        <v>67</v>
      </c>
      <c r="F57" s="67" t="s">
        <v>69</v>
      </c>
    </row>
    <row r="58" spans="3:6" ht="12.75">
      <c r="C58" s="20" t="s">
        <v>33</v>
      </c>
      <c r="D58" s="65">
        <v>0.45</v>
      </c>
      <c r="E58" s="65">
        <v>0.44</v>
      </c>
      <c r="F58" s="65">
        <f>AVERAGE(D58:E58)</f>
        <v>0.445</v>
      </c>
    </row>
    <row r="59" spans="3:6" ht="12.75">
      <c r="C59" s="20" t="s">
        <v>34</v>
      </c>
      <c r="D59" s="65">
        <v>0.08</v>
      </c>
      <c r="E59" s="65">
        <v>0.0769</v>
      </c>
      <c r="F59" s="65">
        <f>AVERAGE(D59:E59)</f>
        <v>0.07844999999999999</v>
      </c>
    </row>
    <row r="60" spans="3:6" ht="12.75">
      <c r="C60" s="20" t="s">
        <v>55</v>
      </c>
      <c r="D60" s="65">
        <v>0.43</v>
      </c>
      <c r="E60" s="65">
        <v>0.4831</v>
      </c>
      <c r="F60" s="65">
        <f>AVERAGE(D60:E60)</f>
        <v>0.45655</v>
      </c>
    </row>
    <row r="61" spans="3:6" ht="12.75">
      <c r="C61" s="20" t="s">
        <v>37</v>
      </c>
      <c r="D61" s="68">
        <v>0.04</v>
      </c>
      <c r="E61" s="68">
        <v>0</v>
      </c>
      <c r="F61" s="68">
        <f>AVERAGE(D61:E61)</f>
        <v>0.02</v>
      </c>
    </row>
    <row r="62" spans="3:6" ht="12.75">
      <c r="C62" s="23" t="s">
        <v>70</v>
      </c>
      <c r="D62" s="65">
        <f>SUM(D58:D61)</f>
        <v>1</v>
      </c>
      <c r="E62" s="65">
        <f>SUM(E58:E61)</f>
        <v>1</v>
      </c>
      <c r="F62" s="65">
        <f>SUM(F58:F61)</f>
        <v>1</v>
      </c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workbookViewId="0" topLeftCell="C9">
      <selection activeCell="J23" sqref="J23"/>
    </sheetView>
  </sheetViews>
  <sheetFormatPr defaultColWidth="9.140625" defaultRowHeight="12.75"/>
  <cols>
    <col min="1" max="1" width="11.421875" style="0" customWidth="1"/>
    <col min="2" max="2" width="3.7109375" style="0" customWidth="1"/>
    <col min="3" max="3" width="12.8515625" style="0" customWidth="1"/>
    <col min="4" max="4" width="7.8515625" style="0" customWidth="1"/>
    <col min="5" max="6" width="7.8515625" style="33" customWidth="1"/>
    <col min="7" max="7" width="7.8515625" style="0" customWidth="1"/>
    <col min="8" max="9" width="7.8515625" style="33" customWidth="1"/>
    <col min="10" max="10" width="7.8515625" style="0" customWidth="1"/>
    <col min="11" max="12" width="7.8515625" style="33" customWidth="1"/>
    <col min="13" max="13" width="7.8515625" style="0" customWidth="1"/>
    <col min="14" max="14" width="7.28125" style="0" customWidth="1"/>
    <col min="15" max="15" width="7.8515625" style="0" customWidth="1"/>
    <col min="16" max="16384" width="11.421875" style="0" customWidth="1"/>
  </cols>
  <sheetData>
    <row r="1" spans="2:15" ht="12.75">
      <c r="B1" s="20"/>
      <c r="C1" s="20"/>
      <c r="D1" s="20"/>
      <c r="E1" s="23"/>
      <c r="F1" s="23"/>
      <c r="G1" s="20"/>
      <c r="H1" s="23"/>
      <c r="I1" s="23"/>
      <c r="J1" s="20"/>
      <c r="K1" s="23"/>
      <c r="L1" s="23"/>
      <c r="M1" s="20"/>
      <c r="O1" s="21" t="s">
        <v>222</v>
      </c>
    </row>
    <row r="2" spans="2:15" ht="12.75">
      <c r="B2" s="20"/>
      <c r="C2" s="20"/>
      <c r="D2" s="20"/>
      <c r="E2" s="23"/>
      <c r="F2" s="23"/>
      <c r="G2" s="20"/>
      <c r="H2" s="23"/>
      <c r="I2" s="23"/>
      <c r="J2" s="20"/>
      <c r="K2" s="23"/>
      <c r="L2" s="23"/>
      <c r="M2" s="20"/>
      <c r="O2" s="21" t="s">
        <v>72</v>
      </c>
    </row>
    <row r="3" spans="2:15" ht="12.75">
      <c r="B3" s="20"/>
      <c r="C3" s="20"/>
      <c r="D3" s="20"/>
      <c r="E3" s="23"/>
      <c r="F3" s="23"/>
      <c r="G3" s="20"/>
      <c r="H3" s="23"/>
      <c r="I3" s="23"/>
      <c r="J3" s="20"/>
      <c r="K3" s="23"/>
      <c r="L3" s="23"/>
      <c r="M3" s="20"/>
      <c r="O3" s="21"/>
    </row>
    <row r="4" spans="2:15" ht="12.75">
      <c r="B4" s="20"/>
      <c r="C4" s="20"/>
      <c r="D4" s="20"/>
      <c r="E4" s="23"/>
      <c r="F4" s="23"/>
      <c r="G4" s="20"/>
      <c r="H4" s="23"/>
      <c r="I4" s="23"/>
      <c r="J4" s="20"/>
      <c r="K4" s="23"/>
      <c r="L4" s="23"/>
      <c r="M4" s="20"/>
      <c r="O4" s="21"/>
    </row>
    <row r="5" spans="2:14" ht="12.75">
      <c r="B5" s="20"/>
      <c r="C5" s="20"/>
      <c r="D5" s="20"/>
      <c r="E5" s="23"/>
      <c r="F5" s="23"/>
      <c r="G5" s="20"/>
      <c r="H5" s="23"/>
      <c r="I5" s="23"/>
      <c r="J5" s="20"/>
      <c r="K5" s="23"/>
      <c r="L5" s="23"/>
      <c r="M5" s="20"/>
      <c r="N5" s="20"/>
    </row>
    <row r="6" spans="2:14" ht="12.75">
      <c r="B6" s="20"/>
      <c r="C6" s="20"/>
      <c r="D6" s="20"/>
      <c r="E6" s="23"/>
      <c r="F6" s="23"/>
      <c r="H6" s="24"/>
      <c r="I6" s="24" t="s">
        <v>224</v>
      </c>
      <c r="J6" s="20"/>
      <c r="K6" s="23"/>
      <c r="L6" s="23"/>
      <c r="M6" s="20"/>
      <c r="N6" s="20"/>
    </row>
    <row r="7" spans="2:14" ht="12.75">
      <c r="B7" s="20"/>
      <c r="C7" s="20"/>
      <c r="D7" s="20"/>
      <c r="E7" s="23"/>
      <c r="F7" s="23"/>
      <c r="H7" s="24"/>
      <c r="I7" s="24" t="s">
        <v>42</v>
      </c>
      <c r="J7" s="20"/>
      <c r="K7" s="23"/>
      <c r="L7" s="23"/>
      <c r="M7" s="20"/>
      <c r="N7" s="20"/>
    </row>
    <row r="8" spans="2:14" ht="12.75">
      <c r="B8" s="20"/>
      <c r="C8" s="20"/>
      <c r="D8" s="20"/>
      <c r="E8" s="23"/>
      <c r="F8" s="23"/>
      <c r="G8" s="20"/>
      <c r="H8" s="23"/>
      <c r="I8" s="23"/>
      <c r="J8" s="20"/>
      <c r="K8" s="23"/>
      <c r="L8" s="23"/>
      <c r="M8" s="20"/>
      <c r="N8" s="20"/>
    </row>
    <row r="9" spans="2:14" ht="12.75">
      <c r="B9" s="20"/>
      <c r="C9" s="20"/>
      <c r="D9" s="20"/>
      <c r="E9" s="23"/>
      <c r="F9" s="23"/>
      <c r="G9" s="20"/>
      <c r="H9" s="23"/>
      <c r="I9" s="23"/>
      <c r="J9" s="20"/>
      <c r="K9" s="23"/>
      <c r="L9" s="23"/>
      <c r="M9" s="20"/>
      <c r="N9" s="20"/>
    </row>
    <row r="10" spans="2:14" ht="12.75">
      <c r="B10" s="20"/>
      <c r="C10" s="20"/>
      <c r="D10" s="20"/>
      <c r="E10" s="23"/>
      <c r="F10" s="23"/>
      <c r="G10" s="20"/>
      <c r="H10" s="23"/>
      <c r="I10" s="23"/>
      <c r="J10" s="20"/>
      <c r="K10" s="23"/>
      <c r="L10" s="23"/>
      <c r="M10" s="20"/>
      <c r="N10" s="20"/>
    </row>
    <row r="11" spans="3:15" ht="12.75">
      <c r="C11" s="20"/>
      <c r="D11" s="123">
        <v>1997</v>
      </c>
      <c r="E11" s="34" t="s">
        <v>49</v>
      </c>
      <c r="F11" s="35">
        <v>1997</v>
      </c>
      <c r="G11" s="123">
        <v>1998</v>
      </c>
      <c r="H11" s="34" t="s">
        <v>49</v>
      </c>
      <c r="I11" s="35">
        <v>1998</v>
      </c>
      <c r="J11" s="123">
        <v>1999</v>
      </c>
      <c r="K11" s="34" t="s">
        <v>49</v>
      </c>
      <c r="L11" s="35">
        <v>1999</v>
      </c>
      <c r="M11" s="123">
        <v>2000</v>
      </c>
      <c r="N11" s="51" t="s">
        <v>49</v>
      </c>
      <c r="O11" s="52">
        <v>2000</v>
      </c>
    </row>
    <row r="12" spans="2:15" ht="12.75">
      <c r="B12" s="20" t="s">
        <v>32</v>
      </c>
      <c r="C12" s="20"/>
      <c r="D12" s="124" t="s">
        <v>46</v>
      </c>
      <c r="E12" s="36" t="s">
        <v>47</v>
      </c>
      <c r="F12" s="37" t="s">
        <v>48</v>
      </c>
      <c r="G12" s="124" t="s">
        <v>46</v>
      </c>
      <c r="H12" s="36" t="s">
        <v>47</v>
      </c>
      <c r="I12" s="37" t="s">
        <v>48</v>
      </c>
      <c r="J12" s="124" t="s">
        <v>46</v>
      </c>
      <c r="K12" s="36" t="s">
        <v>47</v>
      </c>
      <c r="L12" s="37" t="s">
        <v>48</v>
      </c>
      <c r="M12" s="124" t="s">
        <v>46</v>
      </c>
      <c r="N12" s="36" t="s">
        <v>47</v>
      </c>
      <c r="O12" s="53" t="s">
        <v>48</v>
      </c>
    </row>
    <row r="13" spans="2:15" ht="12.75">
      <c r="B13" s="20"/>
      <c r="C13" s="20"/>
      <c r="D13" s="124"/>
      <c r="E13" s="36"/>
      <c r="F13" s="37"/>
      <c r="G13" s="124"/>
      <c r="H13" s="36"/>
      <c r="I13" s="37"/>
      <c r="J13" s="124"/>
      <c r="K13" s="36"/>
      <c r="L13" s="37"/>
      <c r="M13" s="124"/>
      <c r="N13" s="36"/>
      <c r="O13" s="53"/>
    </row>
    <row r="14" spans="2:15" ht="12.75">
      <c r="B14" s="20"/>
      <c r="C14" s="20" t="s">
        <v>33</v>
      </c>
      <c r="D14" s="125">
        <v>1358077</v>
      </c>
      <c r="E14" s="38" t="s">
        <v>41</v>
      </c>
      <c r="F14" s="39">
        <f>1358077+60000</f>
        <v>1418077</v>
      </c>
      <c r="G14" s="125">
        <v>1352680</v>
      </c>
      <c r="H14" s="38" t="s">
        <v>43</v>
      </c>
      <c r="I14" s="39">
        <f>1352680+120000</f>
        <v>1472680</v>
      </c>
      <c r="J14" s="125">
        <v>1379073</v>
      </c>
      <c r="K14" s="38" t="s">
        <v>44</v>
      </c>
      <c r="L14" s="39">
        <f>180000+1379073</f>
        <v>1559073</v>
      </c>
      <c r="M14" s="131">
        <v>1426640</v>
      </c>
      <c r="N14" s="54" t="s">
        <v>45</v>
      </c>
      <c r="O14" s="39">
        <f>M14+240000</f>
        <v>1666640</v>
      </c>
    </row>
    <row r="15" spans="2:15" ht="12.75">
      <c r="B15" s="20"/>
      <c r="C15" s="20" t="s">
        <v>34</v>
      </c>
      <c r="D15" s="125">
        <f>95488+78134</f>
        <v>173622</v>
      </c>
      <c r="E15" s="40"/>
      <c r="F15" s="39">
        <f>95488+78134</f>
        <v>173622</v>
      </c>
      <c r="G15" s="125">
        <f>95075+73162</f>
        <v>168237</v>
      </c>
      <c r="H15" s="40"/>
      <c r="I15" s="39">
        <f>95075+73162</f>
        <v>168237</v>
      </c>
      <c r="J15" s="125">
        <f>60000+65662</f>
        <v>125662</v>
      </c>
      <c r="K15" s="40"/>
      <c r="L15" s="39">
        <f>60000+65662</f>
        <v>125662</v>
      </c>
      <c r="M15" s="131">
        <f>60000+58162</f>
        <v>118162</v>
      </c>
      <c r="N15" s="55"/>
      <c r="O15" s="39">
        <f>M15</f>
        <v>118162</v>
      </c>
    </row>
    <row r="16" spans="2:15" ht="12.75">
      <c r="B16" s="20"/>
      <c r="C16" s="20" t="s">
        <v>35</v>
      </c>
      <c r="D16" s="125">
        <v>100000</v>
      </c>
      <c r="E16" s="40"/>
      <c r="F16" s="39">
        <v>100000</v>
      </c>
      <c r="G16" s="125">
        <v>100000</v>
      </c>
      <c r="H16" s="40"/>
      <c r="I16" s="39">
        <v>100000</v>
      </c>
      <c r="J16" s="125">
        <v>100000</v>
      </c>
      <c r="K16" s="40"/>
      <c r="L16" s="39">
        <v>100000</v>
      </c>
      <c r="M16" s="131">
        <v>100000</v>
      </c>
      <c r="N16" s="55"/>
      <c r="O16" s="39">
        <v>100000</v>
      </c>
    </row>
    <row r="17" spans="2:15" ht="12.75">
      <c r="B17" s="20"/>
      <c r="C17" s="20" t="s">
        <v>36</v>
      </c>
      <c r="D17" s="125">
        <f>1411707+51000</f>
        <v>1462707</v>
      </c>
      <c r="E17" s="40">
        <v>-60000</v>
      </c>
      <c r="F17" s="39">
        <f>1411707+51000-60000</f>
        <v>1402707</v>
      </c>
      <c r="G17" s="125">
        <f>1475106+107000</f>
        <v>1582106</v>
      </c>
      <c r="H17" s="40">
        <v>-120000</v>
      </c>
      <c r="I17" s="39">
        <f>1475106+107000-120000</f>
        <v>1462106</v>
      </c>
      <c r="J17" s="125">
        <f>1783139+47620</f>
        <v>1830759</v>
      </c>
      <c r="K17" s="40">
        <v>-180000</v>
      </c>
      <c r="L17" s="39">
        <f>1783139+47620-180000</f>
        <v>1650759</v>
      </c>
      <c r="M17" s="131">
        <f>2170797+19000</f>
        <v>2189797</v>
      </c>
      <c r="N17" s="55">
        <v>-240000</v>
      </c>
      <c r="O17" s="39">
        <f>M17-240000</f>
        <v>1949797</v>
      </c>
    </row>
    <row r="18" spans="2:15" ht="12.75">
      <c r="B18" s="20"/>
      <c r="C18" s="20" t="s">
        <v>37</v>
      </c>
      <c r="D18" s="126">
        <v>372538</v>
      </c>
      <c r="E18" s="41"/>
      <c r="F18" s="42">
        <v>372538</v>
      </c>
      <c r="G18" s="126">
        <v>450905</v>
      </c>
      <c r="H18" s="41"/>
      <c r="I18" s="42">
        <v>450905</v>
      </c>
      <c r="J18" s="126">
        <v>604712</v>
      </c>
      <c r="K18" s="41"/>
      <c r="L18" s="42">
        <v>604712</v>
      </c>
      <c r="M18" s="132">
        <v>378316</v>
      </c>
      <c r="N18" s="56"/>
      <c r="O18" s="42">
        <v>378316</v>
      </c>
    </row>
    <row r="19" spans="2:15" ht="12.75">
      <c r="B19" s="20"/>
      <c r="C19" s="20"/>
      <c r="D19" s="125"/>
      <c r="E19" s="40"/>
      <c r="F19" s="39"/>
      <c r="G19" s="125"/>
      <c r="H19" s="40"/>
      <c r="I19" s="39"/>
      <c r="J19" s="125"/>
      <c r="K19" s="40"/>
      <c r="L19" s="39"/>
      <c r="M19" s="131"/>
      <c r="N19" s="55"/>
      <c r="O19" s="39"/>
    </row>
    <row r="20" spans="2:15" ht="12.75">
      <c r="B20" s="20"/>
      <c r="C20" s="20" t="s">
        <v>38</v>
      </c>
      <c r="D20" s="125">
        <f>D14+D15+D16+D17+D18</f>
        <v>3466944</v>
      </c>
      <c r="E20" s="40"/>
      <c r="F20" s="39">
        <f>F14+F15+F16+F17+F18</f>
        <v>3466944</v>
      </c>
      <c r="G20" s="125">
        <f>G14+G15+G16+G17+G18</f>
        <v>3653928</v>
      </c>
      <c r="H20" s="40"/>
      <c r="I20" s="39">
        <f>I14+I15+I16+I17+I18</f>
        <v>3653928</v>
      </c>
      <c r="J20" s="125">
        <f>J14+J15+J16+J17+J18</f>
        <v>4040206</v>
      </c>
      <c r="K20" s="40"/>
      <c r="L20" s="39">
        <f>L14+L15+L16+L17+L18</f>
        <v>4040206</v>
      </c>
      <c r="M20" s="131">
        <f>M14+M15+M16+M17+M18</f>
        <v>4212915</v>
      </c>
      <c r="N20" s="55"/>
      <c r="O20" s="39">
        <f>O14+O15+O16+O17+O18</f>
        <v>4212915</v>
      </c>
    </row>
    <row r="21" spans="2:15" ht="12.75">
      <c r="B21" s="20"/>
      <c r="C21" s="20"/>
      <c r="D21" s="127"/>
      <c r="E21" s="43"/>
      <c r="F21" s="44"/>
      <c r="G21" s="127"/>
      <c r="H21" s="43"/>
      <c r="I21" s="44"/>
      <c r="J21" s="127"/>
      <c r="K21" s="43"/>
      <c r="L21" s="44"/>
      <c r="M21" s="127"/>
      <c r="N21" s="57"/>
      <c r="O21" s="44"/>
    </row>
    <row r="22" spans="2:15" ht="12.75">
      <c r="B22" s="20" t="s">
        <v>39</v>
      </c>
      <c r="C22" s="20"/>
      <c r="D22" s="127"/>
      <c r="E22" s="43"/>
      <c r="F22" s="44"/>
      <c r="G22" s="127"/>
      <c r="H22" s="43"/>
      <c r="I22" s="44"/>
      <c r="J22" s="127"/>
      <c r="K22" s="43"/>
      <c r="L22" s="44"/>
      <c r="M22" s="127"/>
      <c r="N22" s="57"/>
      <c r="O22" s="44"/>
    </row>
    <row r="23" spans="2:15" ht="12.75">
      <c r="B23" s="20"/>
      <c r="C23" s="20"/>
      <c r="D23" s="127"/>
      <c r="E23" s="43"/>
      <c r="F23" s="44"/>
      <c r="G23" s="127"/>
      <c r="H23" s="43"/>
      <c r="I23" s="44"/>
      <c r="J23" s="127"/>
      <c r="K23" s="43"/>
      <c r="L23" s="44"/>
      <c r="M23" s="127"/>
      <c r="N23" s="57"/>
      <c r="O23" s="44"/>
    </row>
    <row r="24" spans="2:15" ht="12.75">
      <c r="B24" s="20"/>
      <c r="C24" s="20" t="s">
        <v>33</v>
      </c>
      <c r="D24" s="128">
        <f>D14/D$20</f>
        <v>0.3917216430377877</v>
      </c>
      <c r="E24" s="45"/>
      <c r="F24" s="61">
        <f aca="true" t="shared" si="0" ref="F24:G28">F14/F$20</f>
        <v>0.4090279508408558</v>
      </c>
      <c r="G24" s="128">
        <f t="shared" si="0"/>
        <v>0.37019886544015096</v>
      </c>
      <c r="H24" s="45"/>
      <c r="I24" s="61">
        <f aca="true" t="shared" si="1" ref="I24:J28">I14/I$20</f>
        <v>0.40304023505662945</v>
      </c>
      <c r="J24" s="128">
        <f t="shared" si="1"/>
        <v>0.3413372981476687</v>
      </c>
      <c r="K24" s="45"/>
      <c r="L24" s="61">
        <f aca="true" t="shared" si="2" ref="L24:M28">L14/L$20</f>
        <v>0.385889481872954</v>
      </c>
      <c r="M24" s="128">
        <f t="shared" si="2"/>
        <v>0.3386348881949909</v>
      </c>
      <c r="N24" s="58"/>
      <c r="O24" s="61">
        <f>O14/O$20</f>
        <v>0.39560256971716734</v>
      </c>
    </row>
    <row r="25" spans="2:15" ht="12.75">
      <c r="B25" s="20"/>
      <c r="C25" s="20" t="s">
        <v>34</v>
      </c>
      <c r="D25" s="128">
        <f>D15/D$20</f>
        <v>0.05007926288973805</v>
      </c>
      <c r="E25" s="45"/>
      <c r="F25" s="46">
        <f t="shared" si="0"/>
        <v>0.05007926288973805</v>
      </c>
      <c r="G25" s="128">
        <f t="shared" si="0"/>
        <v>0.046042779168062424</v>
      </c>
      <c r="H25" s="45"/>
      <c r="I25" s="46">
        <f t="shared" si="1"/>
        <v>0.046042779168062424</v>
      </c>
      <c r="J25" s="128">
        <f t="shared" si="1"/>
        <v>0.031102869507148894</v>
      </c>
      <c r="K25" s="45"/>
      <c r="L25" s="46">
        <f t="shared" si="2"/>
        <v>0.031102869507148894</v>
      </c>
      <c r="M25" s="128">
        <f t="shared" si="2"/>
        <v>0.028047563266764223</v>
      </c>
      <c r="N25" s="58"/>
      <c r="O25" s="46">
        <f>O15/O$20</f>
        <v>0.028047563266764223</v>
      </c>
    </row>
    <row r="26" spans="2:15" ht="12.75">
      <c r="B26" s="20"/>
      <c r="C26" s="20" t="s">
        <v>35</v>
      </c>
      <c r="D26" s="128">
        <f>D16/D$20</f>
        <v>0.02884384633844677</v>
      </c>
      <c r="E26" s="45"/>
      <c r="F26" s="46">
        <f t="shared" si="0"/>
        <v>0.02884384633844677</v>
      </c>
      <c r="G26" s="128">
        <f t="shared" si="0"/>
        <v>0.02736780801373207</v>
      </c>
      <c r="H26" s="45"/>
      <c r="I26" s="46">
        <f t="shared" si="1"/>
        <v>0.02736780801373207</v>
      </c>
      <c r="J26" s="128">
        <f t="shared" si="1"/>
        <v>0.024751213180714052</v>
      </c>
      <c r="K26" s="45"/>
      <c r="L26" s="46">
        <f t="shared" si="2"/>
        <v>0.024751213180714052</v>
      </c>
      <c r="M26" s="128">
        <f t="shared" si="2"/>
        <v>0.023736533967573522</v>
      </c>
      <c r="N26" s="58"/>
      <c r="O26" s="46">
        <f>O16/O$20</f>
        <v>0.023736533967573522</v>
      </c>
    </row>
    <row r="27" spans="2:15" ht="12.75">
      <c r="B27" s="20"/>
      <c r="C27" s="20" t="s">
        <v>36</v>
      </c>
      <c r="D27" s="128">
        <f>D17/D$20</f>
        <v>0.4219009594617046</v>
      </c>
      <c r="E27" s="45"/>
      <c r="F27" s="46">
        <f t="shared" si="0"/>
        <v>0.40459465165863656</v>
      </c>
      <c r="G27" s="128">
        <f t="shared" si="0"/>
        <v>0.4329877326537359</v>
      </c>
      <c r="H27" s="45"/>
      <c r="I27" s="46">
        <f t="shared" si="1"/>
        <v>0.4001463630372574</v>
      </c>
      <c r="J27" s="128">
        <f t="shared" si="1"/>
        <v>0.4531350629151088</v>
      </c>
      <c r="K27" s="45"/>
      <c r="L27" s="46">
        <f t="shared" si="2"/>
        <v>0.4085828791898235</v>
      </c>
      <c r="M27" s="128">
        <f t="shared" si="2"/>
        <v>0.5197819087259059</v>
      </c>
      <c r="N27" s="58"/>
      <c r="O27" s="46">
        <f>O17/O$20</f>
        <v>0.4628142272037295</v>
      </c>
    </row>
    <row r="28" spans="2:15" ht="12.75">
      <c r="B28" s="20"/>
      <c r="C28" s="20" t="s">
        <v>37</v>
      </c>
      <c r="D28" s="129">
        <f>D18/D$20</f>
        <v>0.10745428827232283</v>
      </c>
      <c r="E28" s="47"/>
      <c r="F28" s="48">
        <f t="shared" si="0"/>
        <v>0.10745428827232283</v>
      </c>
      <c r="G28" s="129">
        <f t="shared" si="0"/>
        <v>0.12340281472431859</v>
      </c>
      <c r="H28" s="47"/>
      <c r="I28" s="48">
        <f t="shared" si="1"/>
        <v>0.12340281472431859</v>
      </c>
      <c r="J28" s="129">
        <f t="shared" si="1"/>
        <v>0.14967355624935957</v>
      </c>
      <c r="K28" s="47"/>
      <c r="L28" s="48">
        <f t="shared" si="2"/>
        <v>0.14967355624935957</v>
      </c>
      <c r="M28" s="129">
        <f t="shared" si="2"/>
        <v>0.08979910584476544</v>
      </c>
      <c r="N28" s="59"/>
      <c r="O28" s="48">
        <f>O18/O$20</f>
        <v>0.08979910584476544</v>
      </c>
    </row>
    <row r="29" spans="2:15" ht="12.75">
      <c r="B29" s="20"/>
      <c r="C29" s="20"/>
      <c r="D29" s="128"/>
      <c r="E29" s="45"/>
      <c r="F29" s="46"/>
      <c r="G29" s="128"/>
      <c r="H29" s="45"/>
      <c r="I29" s="46"/>
      <c r="J29" s="128"/>
      <c r="K29" s="45"/>
      <c r="L29" s="46"/>
      <c r="M29" s="128"/>
      <c r="N29" s="58"/>
      <c r="O29" s="46"/>
    </row>
    <row r="30" spans="2:15" ht="12.75">
      <c r="B30" s="20"/>
      <c r="C30" s="20" t="s">
        <v>38</v>
      </c>
      <c r="D30" s="130">
        <f>D24+D25+D26+D27+D28</f>
        <v>1</v>
      </c>
      <c r="E30" s="49"/>
      <c r="F30" s="50">
        <f>F24+F25+F26+F27+F28</f>
        <v>1</v>
      </c>
      <c r="G30" s="130">
        <f>G24+G25+G26+G27+G28</f>
        <v>0.9999999999999999</v>
      </c>
      <c r="H30" s="49"/>
      <c r="I30" s="50">
        <f>I24+I25+I26+I27+I28</f>
        <v>0.9999999999999999</v>
      </c>
      <c r="J30" s="130">
        <f>J24+J25+J26+J27+J28</f>
        <v>1</v>
      </c>
      <c r="K30" s="49"/>
      <c r="L30" s="50">
        <f>L24+L25+L26+L27+L28</f>
        <v>1</v>
      </c>
      <c r="M30" s="130">
        <f>M24+M25+M26+M27+M28</f>
        <v>1</v>
      </c>
      <c r="N30" s="60"/>
      <c r="O30" s="50">
        <f>O24+O25+O26+O27+O28</f>
        <v>1</v>
      </c>
    </row>
    <row r="31" spans="2:14" ht="12.75">
      <c r="B31" s="20"/>
      <c r="C31" s="20"/>
      <c r="D31" s="20"/>
      <c r="E31" s="23"/>
      <c r="F31" s="23"/>
      <c r="G31" s="20"/>
      <c r="H31" s="23"/>
      <c r="I31" s="23"/>
      <c r="J31" s="20"/>
      <c r="K31" s="23"/>
      <c r="L31" s="23"/>
      <c r="M31" s="20"/>
      <c r="N31" s="20"/>
    </row>
    <row r="32" spans="2:14" ht="12.75">
      <c r="B32" s="20"/>
      <c r="C32" s="20"/>
      <c r="D32" s="20"/>
      <c r="E32" s="23"/>
      <c r="F32" s="23"/>
      <c r="G32" s="20"/>
      <c r="H32" s="23"/>
      <c r="I32" s="23"/>
      <c r="J32" s="20"/>
      <c r="K32" s="23"/>
      <c r="L32" s="23"/>
      <c r="M32" s="20"/>
      <c r="N32" s="20"/>
    </row>
    <row r="33" spans="2:14" ht="12.75">
      <c r="B33" s="20"/>
      <c r="C33" s="20" t="s">
        <v>51</v>
      </c>
      <c r="D33" s="20"/>
      <c r="E33" s="23"/>
      <c r="F33" s="23"/>
      <c r="G33" s="20"/>
      <c r="H33" s="23"/>
      <c r="I33" s="23"/>
      <c r="J33" s="20"/>
      <c r="K33" s="23"/>
      <c r="L33" s="23"/>
      <c r="M33" s="20"/>
      <c r="N33" s="20"/>
    </row>
    <row r="34" spans="2:14" ht="12.75">
      <c r="B34" s="20"/>
      <c r="C34" s="20" t="s">
        <v>50</v>
      </c>
      <c r="D34" s="26"/>
      <c r="E34" s="31"/>
      <c r="F34" s="31"/>
      <c r="G34" s="26"/>
      <c r="H34" s="31"/>
      <c r="I34" s="31"/>
      <c r="J34" s="26"/>
      <c r="K34" s="31"/>
      <c r="L34" s="31"/>
      <c r="M34" s="26"/>
      <c r="N34" s="27"/>
    </row>
    <row r="35" spans="2:14" ht="12.75">
      <c r="B35" s="20"/>
      <c r="C35" s="20"/>
      <c r="D35" s="20"/>
      <c r="E35" s="23"/>
      <c r="F35" s="23"/>
      <c r="G35" s="20"/>
      <c r="H35" s="23"/>
      <c r="I35" s="23"/>
      <c r="J35" s="20"/>
      <c r="K35" s="23"/>
      <c r="L35" s="23"/>
      <c r="M35" s="20"/>
      <c r="N35" s="20"/>
    </row>
    <row r="36" spans="2:14" ht="12.75">
      <c r="B36" s="20"/>
      <c r="C36" s="20"/>
      <c r="D36" s="20"/>
      <c r="E36" s="23">
        <v>1997</v>
      </c>
      <c r="F36" s="23"/>
      <c r="G36" s="20"/>
      <c r="H36" s="23">
        <v>1998</v>
      </c>
      <c r="I36" s="23"/>
      <c r="J36" s="20"/>
      <c r="K36" s="23">
        <v>1999</v>
      </c>
      <c r="L36" s="23"/>
      <c r="M36" s="22"/>
      <c r="N36" s="76">
        <v>2000</v>
      </c>
    </row>
    <row r="37" spans="2:14" ht="12.75">
      <c r="B37" s="20"/>
      <c r="C37" s="20"/>
      <c r="D37" s="20"/>
      <c r="E37" s="23"/>
      <c r="F37" s="23"/>
      <c r="G37" s="20"/>
      <c r="H37" s="23"/>
      <c r="I37" s="23"/>
      <c r="J37" s="20"/>
      <c r="K37" s="23"/>
      <c r="L37" s="23"/>
      <c r="M37" s="22"/>
      <c r="N37" s="22"/>
    </row>
    <row r="38" spans="2:14" ht="12.75">
      <c r="B38" s="20"/>
      <c r="C38" s="20" t="s">
        <v>52</v>
      </c>
      <c r="E38" s="23" t="s">
        <v>53</v>
      </c>
      <c r="F38" s="23"/>
      <c r="G38" s="33"/>
      <c r="H38" s="23" t="s">
        <v>53</v>
      </c>
      <c r="I38" s="23"/>
      <c r="J38" s="33"/>
      <c r="K38" s="23" t="s">
        <v>54</v>
      </c>
      <c r="L38" s="23"/>
      <c r="M38" s="33"/>
      <c r="N38" s="32" t="s">
        <v>191</v>
      </c>
    </row>
    <row r="39" spans="3:14" ht="12.75">
      <c r="C39" s="1" t="s">
        <v>197</v>
      </c>
      <c r="E39" s="62">
        <v>1.84</v>
      </c>
      <c r="F39" s="5"/>
      <c r="G39" s="33"/>
      <c r="H39" s="62">
        <v>1.84</v>
      </c>
      <c r="I39" s="5"/>
      <c r="J39" s="33"/>
      <c r="K39" s="62">
        <v>1.84</v>
      </c>
      <c r="L39" s="5"/>
      <c r="M39" s="33"/>
      <c r="N39" s="62">
        <v>1.84</v>
      </c>
    </row>
    <row r="40" spans="3:14" ht="12.75">
      <c r="C40" s="1" t="s">
        <v>196</v>
      </c>
      <c r="E40" s="5" t="s">
        <v>192</v>
      </c>
      <c r="F40" s="5"/>
      <c r="G40" s="33"/>
      <c r="H40" s="5" t="s">
        <v>192</v>
      </c>
      <c r="I40" s="5"/>
      <c r="J40" s="33"/>
      <c r="K40" s="5" t="s">
        <v>193</v>
      </c>
      <c r="L40" s="5"/>
      <c r="M40" s="33"/>
      <c r="N40" s="62" t="s">
        <v>194</v>
      </c>
    </row>
    <row r="42" ht="12.75">
      <c r="C42" s="1" t="s">
        <v>195</v>
      </c>
    </row>
  </sheetData>
  <printOptions/>
  <pageMargins left="0.75" right="0.75" top="1" bottom="1" header="0.5" footer="0.5"/>
  <pageSetup fitToHeight="1" fitToWidth="1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N92"/>
  <sheetViews>
    <sheetView workbookViewId="0" topLeftCell="A1">
      <selection activeCell="I45" sqref="I45"/>
    </sheetView>
  </sheetViews>
  <sheetFormatPr defaultColWidth="9.140625" defaultRowHeight="12.75"/>
  <cols>
    <col min="1" max="3" width="10.8515625" style="1" customWidth="1"/>
    <col min="4" max="4" width="7.7109375" style="1" customWidth="1"/>
    <col min="5" max="5" width="20.28125" style="1" customWidth="1"/>
    <col min="6" max="6" width="10.8515625" style="1" customWidth="1"/>
    <col min="7" max="7" width="6.00390625" style="1" customWidth="1"/>
    <col min="8" max="8" width="21.421875" style="1" customWidth="1"/>
    <col min="9" max="9" width="10.8515625" style="1" customWidth="1"/>
    <col min="10" max="10" width="5.8515625" style="1" customWidth="1"/>
    <col min="11" max="16384" width="10.8515625" style="1" customWidth="1"/>
  </cols>
  <sheetData>
    <row r="1" ht="12.75">
      <c r="J1" s="2" t="s">
        <v>254</v>
      </c>
    </row>
    <row r="2" ht="12.75">
      <c r="J2" s="2" t="s">
        <v>426</v>
      </c>
    </row>
    <row r="4" ht="12.75">
      <c r="G4" s="4" t="s">
        <v>224</v>
      </c>
    </row>
    <row r="5" ht="12.75">
      <c r="G5" s="4" t="s">
        <v>427</v>
      </c>
    </row>
    <row r="9" spans="4:9" ht="12.75">
      <c r="D9" s="6" t="s">
        <v>73</v>
      </c>
      <c r="F9" s="7" t="s">
        <v>419</v>
      </c>
      <c r="I9" s="7" t="s">
        <v>419</v>
      </c>
    </row>
    <row r="10" spans="5:14" ht="12.75">
      <c r="E10" s="1" t="s">
        <v>74</v>
      </c>
      <c r="F10" s="2">
        <v>60</v>
      </c>
      <c r="H10" s="1" t="s">
        <v>384</v>
      </c>
      <c r="I10" s="2">
        <v>18</v>
      </c>
      <c r="N10" s="1">
        <v>60</v>
      </c>
    </row>
    <row r="11" spans="5:14" ht="12.75">
      <c r="E11" s="1" t="s">
        <v>75</v>
      </c>
      <c r="F11" s="2">
        <v>72</v>
      </c>
      <c r="H11" s="1" t="s">
        <v>385</v>
      </c>
      <c r="I11" s="2">
        <v>84</v>
      </c>
      <c r="N11" s="1">
        <v>72</v>
      </c>
    </row>
    <row r="12" spans="5:14" ht="12.75">
      <c r="E12" s="1" t="s">
        <v>76</v>
      </c>
      <c r="F12" s="2">
        <v>27</v>
      </c>
      <c r="H12" s="1" t="s">
        <v>386</v>
      </c>
      <c r="I12" s="2">
        <v>121</v>
      </c>
      <c r="N12" s="1">
        <v>27</v>
      </c>
    </row>
    <row r="13" spans="5:14" ht="12.75">
      <c r="E13" s="1" t="s">
        <v>77</v>
      </c>
      <c r="F13" s="2">
        <v>76</v>
      </c>
      <c r="H13" s="1" t="s">
        <v>387</v>
      </c>
      <c r="I13" s="2">
        <v>42</v>
      </c>
      <c r="N13" s="1">
        <v>76</v>
      </c>
    </row>
    <row r="14" spans="5:14" ht="12.75">
      <c r="E14" s="1" t="s">
        <v>78</v>
      </c>
      <c r="F14" s="2">
        <v>61</v>
      </c>
      <c r="H14" s="1" t="s">
        <v>388</v>
      </c>
      <c r="I14" s="2">
        <v>15</v>
      </c>
      <c r="N14" s="1">
        <v>61</v>
      </c>
    </row>
    <row r="15" spans="5:14" ht="12.75">
      <c r="E15" s="1" t="s">
        <v>79</v>
      </c>
      <c r="F15" s="2">
        <v>35</v>
      </c>
      <c r="H15" s="1" t="s">
        <v>390</v>
      </c>
      <c r="I15" s="2">
        <v>62</v>
      </c>
      <c r="N15" s="1">
        <v>35</v>
      </c>
    </row>
    <row r="16" spans="5:14" ht="12.75">
      <c r="E16" s="1" t="s">
        <v>80</v>
      </c>
      <c r="F16" s="2" t="s">
        <v>420</v>
      </c>
      <c r="H16" s="1" t="s">
        <v>389</v>
      </c>
      <c r="I16" s="2">
        <v>42</v>
      </c>
      <c r="N16" s="1">
        <v>54</v>
      </c>
    </row>
    <row r="17" spans="5:14" ht="12.75">
      <c r="E17" s="1" t="s">
        <v>81</v>
      </c>
      <c r="F17" s="2">
        <v>0</v>
      </c>
      <c r="H17" s="1" t="s">
        <v>391</v>
      </c>
      <c r="I17" s="2">
        <v>47</v>
      </c>
      <c r="N17" s="1">
        <v>52</v>
      </c>
    </row>
    <row r="18" spans="5:14" ht="12.75">
      <c r="E18" s="1" t="s">
        <v>82</v>
      </c>
      <c r="F18" s="2">
        <v>0</v>
      </c>
      <c r="H18" s="1" t="s">
        <v>392</v>
      </c>
      <c r="I18" s="2">
        <v>62</v>
      </c>
      <c r="N18" s="1">
        <v>41</v>
      </c>
    </row>
    <row r="19" spans="5:14" ht="12.75">
      <c r="E19" s="1" t="s">
        <v>358</v>
      </c>
      <c r="F19" s="2">
        <v>164</v>
      </c>
      <c r="H19" s="1" t="s">
        <v>393</v>
      </c>
      <c r="I19" s="2">
        <v>81</v>
      </c>
      <c r="N19" s="1">
        <v>54</v>
      </c>
    </row>
    <row r="20" spans="5:14" ht="12.75">
      <c r="E20" s="1" t="s">
        <v>359</v>
      </c>
      <c r="F20" s="2">
        <v>54</v>
      </c>
      <c r="H20" s="1" t="s">
        <v>394</v>
      </c>
      <c r="I20" s="2">
        <v>38</v>
      </c>
      <c r="N20" s="1">
        <v>74</v>
      </c>
    </row>
    <row r="21" spans="5:14" ht="12.75">
      <c r="E21" s="1" t="s">
        <v>360</v>
      </c>
      <c r="F21" s="2">
        <v>52</v>
      </c>
      <c r="H21" s="1" t="s">
        <v>395</v>
      </c>
      <c r="I21" s="2">
        <v>0</v>
      </c>
      <c r="N21" s="1">
        <v>42</v>
      </c>
    </row>
    <row r="22" spans="5:14" ht="12.75">
      <c r="E22" s="1" t="s">
        <v>361</v>
      </c>
      <c r="F22" s="2">
        <v>41</v>
      </c>
      <c r="H22" s="1" t="s">
        <v>396</v>
      </c>
      <c r="I22" s="2">
        <v>0</v>
      </c>
      <c r="N22" s="1">
        <v>90</v>
      </c>
    </row>
    <row r="23" spans="5:14" ht="12.75">
      <c r="E23" s="1" t="s">
        <v>362</v>
      </c>
      <c r="F23" s="2">
        <v>147</v>
      </c>
      <c r="H23" s="1" t="s">
        <v>397</v>
      </c>
      <c r="I23" s="2">
        <v>155</v>
      </c>
      <c r="N23" s="1">
        <v>64</v>
      </c>
    </row>
    <row r="24" spans="5:14" ht="12.75">
      <c r="E24" s="1" t="s">
        <v>363</v>
      </c>
      <c r="F24" s="2">
        <v>54</v>
      </c>
      <c r="H24" s="1" t="s">
        <v>398</v>
      </c>
      <c r="I24" s="2">
        <v>25</v>
      </c>
      <c r="N24" s="1">
        <v>41</v>
      </c>
    </row>
    <row r="25" spans="5:14" ht="12.75">
      <c r="E25" s="1" t="s">
        <v>364</v>
      </c>
      <c r="F25" s="2">
        <v>74</v>
      </c>
      <c r="H25" s="1" t="s">
        <v>399</v>
      </c>
      <c r="I25" s="2">
        <v>62</v>
      </c>
      <c r="N25" s="1">
        <v>32</v>
      </c>
    </row>
    <row r="26" spans="5:14" ht="12.75">
      <c r="E26" s="1" t="s">
        <v>365</v>
      </c>
      <c r="F26" s="2">
        <v>42</v>
      </c>
      <c r="H26" s="1" t="s">
        <v>400</v>
      </c>
      <c r="I26" s="2">
        <v>59</v>
      </c>
      <c r="N26" s="1">
        <v>83</v>
      </c>
    </row>
    <row r="27" spans="5:14" ht="12.75">
      <c r="E27" s="1" t="s">
        <v>366</v>
      </c>
      <c r="F27" s="2">
        <v>90</v>
      </c>
      <c r="H27" s="1" t="s">
        <v>401</v>
      </c>
      <c r="I27" s="2">
        <v>0</v>
      </c>
      <c r="N27" s="1">
        <v>72</v>
      </c>
    </row>
    <row r="28" spans="5:14" ht="12.75">
      <c r="E28" s="1" t="s">
        <v>367</v>
      </c>
      <c r="F28" s="2">
        <v>64</v>
      </c>
      <c r="H28" s="1" t="s">
        <v>402</v>
      </c>
      <c r="I28" s="2">
        <v>25</v>
      </c>
      <c r="N28" s="1">
        <v>22</v>
      </c>
    </row>
    <row r="29" spans="5:14" ht="12.75">
      <c r="E29" s="1" t="s">
        <v>368</v>
      </c>
      <c r="F29" s="2">
        <v>41</v>
      </c>
      <c r="H29" s="1" t="s">
        <v>403</v>
      </c>
      <c r="I29" s="2">
        <v>70</v>
      </c>
      <c r="N29" s="1">
        <v>43</v>
      </c>
    </row>
    <row r="30" spans="5:14" ht="12.75">
      <c r="E30" s="1" t="s">
        <v>369</v>
      </c>
      <c r="F30" s="2">
        <v>32</v>
      </c>
      <c r="H30" s="1" t="s">
        <v>404</v>
      </c>
      <c r="I30" s="2">
        <v>20</v>
      </c>
      <c r="N30" s="1">
        <v>88</v>
      </c>
    </row>
    <row r="31" spans="5:14" ht="12.75">
      <c r="E31" s="1" t="s">
        <v>370</v>
      </c>
      <c r="F31" s="2">
        <v>83</v>
      </c>
      <c r="H31" s="1" t="s">
        <v>405</v>
      </c>
      <c r="I31" s="2">
        <v>58</v>
      </c>
      <c r="N31" s="1">
        <v>77</v>
      </c>
    </row>
    <row r="32" spans="5:14" ht="12.75">
      <c r="E32" s="1" t="s">
        <v>371</v>
      </c>
      <c r="F32" s="2">
        <v>72</v>
      </c>
      <c r="H32" s="1" t="s">
        <v>406</v>
      </c>
      <c r="I32" s="2">
        <v>89</v>
      </c>
      <c r="N32" s="1">
        <v>18</v>
      </c>
    </row>
    <row r="33" spans="5:14" ht="12.75">
      <c r="E33" s="1" t="s">
        <v>372</v>
      </c>
      <c r="F33" s="2">
        <v>22</v>
      </c>
      <c r="H33" s="1" t="s">
        <v>407</v>
      </c>
      <c r="I33" s="2">
        <v>56</v>
      </c>
      <c r="N33" s="1">
        <v>85</v>
      </c>
    </row>
    <row r="34" spans="5:14" ht="12.75">
      <c r="E34" s="1" t="s">
        <v>373</v>
      </c>
      <c r="F34" s="2" t="s">
        <v>420</v>
      </c>
      <c r="H34" s="1" t="s">
        <v>408</v>
      </c>
      <c r="I34" s="2">
        <v>79</v>
      </c>
      <c r="N34" s="1">
        <v>68</v>
      </c>
    </row>
    <row r="35" spans="4:14" ht="12.75">
      <c r="D35" s="6" t="s">
        <v>374</v>
      </c>
      <c r="F35" s="2"/>
      <c r="H35" s="1" t="s">
        <v>409</v>
      </c>
      <c r="I35" s="2">
        <v>21</v>
      </c>
      <c r="N35" s="1">
        <v>45</v>
      </c>
    </row>
    <row r="36" spans="5:14" ht="12.75">
      <c r="E36" s="1" t="s">
        <v>375</v>
      </c>
      <c r="F36" s="2">
        <v>0</v>
      </c>
      <c r="H36" s="1" t="s">
        <v>410</v>
      </c>
      <c r="I36" s="2">
        <v>40</v>
      </c>
      <c r="N36" s="1">
        <v>78</v>
      </c>
    </row>
    <row r="37" spans="5:14" ht="12.75">
      <c r="E37" s="1" t="s">
        <v>376</v>
      </c>
      <c r="F37" s="2">
        <v>43</v>
      </c>
      <c r="H37" s="1" t="s">
        <v>411</v>
      </c>
      <c r="I37" s="2" t="s">
        <v>420</v>
      </c>
      <c r="N37" s="1">
        <v>18</v>
      </c>
    </row>
    <row r="38" spans="5:14" ht="12.75">
      <c r="E38" s="1" t="s">
        <v>377</v>
      </c>
      <c r="F38" s="2">
        <v>88</v>
      </c>
      <c r="H38" s="1" t="s">
        <v>412</v>
      </c>
      <c r="I38" s="2">
        <v>62</v>
      </c>
      <c r="N38" s="1">
        <v>84</v>
      </c>
    </row>
    <row r="39" spans="5:14" ht="12.75">
      <c r="E39" s="1" t="s">
        <v>378</v>
      </c>
      <c r="F39" s="2">
        <v>77</v>
      </c>
      <c r="H39" s="1" t="s">
        <v>413</v>
      </c>
      <c r="I39" s="2">
        <v>70</v>
      </c>
      <c r="N39" s="1">
        <v>42</v>
      </c>
    </row>
    <row r="40" spans="5:14" ht="12.75">
      <c r="E40" s="1" t="s">
        <v>379</v>
      </c>
      <c r="F40" s="2">
        <v>18</v>
      </c>
      <c r="H40" s="1" t="s">
        <v>414</v>
      </c>
      <c r="I40" s="2">
        <v>97</v>
      </c>
      <c r="N40" s="1">
        <v>15</v>
      </c>
    </row>
    <row r="41" spans="5:14" ht="12.75">
      <c r="E41" s="1" t="s">
        <v>380</v>
      </c>
      <c r="F41" s="2">
        <v>85</v>
      </c>
      <c r="H41" s="1" t="s">
        <v>422</v>
      </c>
      <c r="I41" s="2">
        <v>40</v>
      </c>
      <c r="N41" s="1">
        <v>62</v>
      </c>
    </row>
    <row r="42" spans="5:14" ht="12.75">
      <c r="E42" s="1" t="s">
        <v>381</v>
      </c>
      <c r="F42" s="2">
        <v>68</v>
      </c>
      <c r="H42" s="1" t="s">
        <v>415</v>
      </c>
      <c r="I42" s="2">
        <v>106</v>
      </c>
      <c r="N42" s="1">
        <v>42</v>
      </c>
    </row>
    <row r="43" spans="5:14" ht="12.75">
      <c r="E43" s="1" t="s">
        <v>421</v>
      </c>
      <c r="F43" s="2" t="s">
        <v>420</v>
      </c>
      <c r="H43" s="1" t="s">
        <v>416</v>
      </c>
      <c r="I43" s="2">
        <v>47</v>
      </c>
      <c r="N43" s="1">
        <v>47</v>
      </c>
    </row>
    <row r="44" spans="5:14" ht="12.75">
      <c r="E44" s="1" t="s">
        <v>382</v>
      </c>
      <c r="F44" s="2">
        <v>45</v>
      </c>
      <c r="H44" s="1" t="s">
        <v>417</v>
      </c>
      <c r="I44" s="2">
        <v>82</v>
      </c>
      <c r="N44" s="1">
        <v>62</v>
      </c>
    </row>
    <row r="45" spans="5:14" ht="12.75">
      <c r="E45" s="1" t="s">
        <v>383</v>
      </c>
      <c r="F45" s="2">
        <v>78</v>
      </c>
      <c r="H45" s="1" t="s">
        <v>418</v>
      </c>
      <c r="I45" s="70">
        <v>66</v>
      </c>
      <c r="N45" s="1">
        <v>81</v>
      </c>
    </row>
    <row r="46" spans="6:14" ht="12.75">
      <c r="F46" s="2"/>
      <c r="I46" s="2"/>
      <c r="N46" s="1">
        <v>38</v>
      </c>
    </row>
    <row r="47" spans="6:14" ht="12.75">
      <c r="F47" s="2"/>
      <c r="H47" s="4" t="s">
        <v>61</v>
      </c>
      <c r="I47" s="69">
        <v>57</v>
      </c>
      <c r="N47" s="1">
        <v>25</v>
      </c>
    </row>
    <row r="48" spans="6:14" ht="12.75">
      <c r="F48" s="2"/>
      <c r="H48" s="4" t="s">
        <v>424</v>
      </c>
      <c r="I48" s="69">
        <v>56</v>
      </c>
      <c r="N48" s="1">
        <v>62</v>
      </c>
    </row>
    <row r="49" spans="6:14" ht="12.75">
      <c r="F49" s="2"/>
      <c r="I49" s="2"/>
      <c r="N49" s="1">
        <v>59</v>
      </c>
    </row>
    <row r="50" spans="5:14" ht="12.75">
      <c r="E50" s="1" t="s">
        <v>425</v>
      </c>
      <c r="F50" s="2"/>
      <c r="I50" s="2"/>
      <c r="N50" s="1">
        <v>25</v>
      </c>
    </row>
    <row r="51" spans="6:14" ht="12.75">
      <c r="F51" s="2"/>
      <c r="I51" s="2"/>
      <c r="N51" s="1">
        <v>70</v>
      </c>
    </row>
    <row r="52" spans="6:14" ht="12.75">
      <c r="F52" s="2"/>
      <c r="I52" s="2"/>
      <c r="N52" s="1">
        <v>20</v>
      </c>
    </row>
    <row r="53" spans="6:14" ht="12.75">
      <c r="F53" s="2"/>
      <c r="I53" s="2"/>
      <c r="N53" s="1">
        <v>58</v>
      </c>
    </row>
    <row r="54" spans="5:14" ht="12.75">
      <c r="E54" s="1" t="s">
        <v>384</v>
      </c>
      <c r="F54" s="2">
        <v>18</v>
      </c>
      <c r="N54" s="1">
        <v>89</v>
      </c>
    </row>
    <row r="55" spans="5:14" ht="12.75">
      <c r="E55" s="1" t="s">
        <v>385</v>
      </c>
      <c r="F55" s="2">
        <v>84</v>
      </c>
      <c r="N55" s="1">
        <v>56</v>
      </c>
    </row>
    <row r="56" spans="5:14" ht="12.75">
      <c r="E56" s="1" t="s">
        <v>386</v>
      </c>
      <c r="F56" s="2">
        <v>121</v>
      </c>
      <c r="N56" s="1">
        <v>79</v>
      </c>
    </row>
    <row r="57" spans="5:14" ht="12.75">
      <c r="E57" s="1" t="s">
        <v>387</v>
      </c>
      <c r="F57" s="2">
        <v>42</v>
      </c>
      <c r="N57" s="1">
        <v>21</v>
      </c>
    </row>
    <row r="58" spans="5:14" ht="12.75">
      <c r="E58" s="1" t="s">
        <v>388</v>
      </c>
      <c r="F58" s="2">
        <v>15</v>
      </c>
      <c r="N58" s="1">
        <v>40</v>
      </c>
    </row>
    <row r="59" spans="5:14" ht="12.75">
      <c r="E59" s="1" t="s">
        <v>390</v>
      </c>
      <c r="F59" s="2">
        <v>62</v>
      </c>
      <c r="N59" s="1">
        <v>62</v>
      </c>
    </row>
    <row r="60" spans="5:14" ht="12.75">
      <c r="E60" s="1" t="s">
        <v>389</v>
      </c>
      <c r="F60" s="2">
        <v>42</v>
      </c>
      <c r="N60" s="1">
        <v>70</v>
      </c>
    </row>
    <row r="61" spans="5:14" ht="12.75">
      <c r="E61" s="1" t="s">
        <v>391</v>
      </c>
      <c r="F61" s="2">
        <v>47</v>
      </c>
      <c r="N61" s="1">
        <v>97</v>
      </c>
    </row>
    <row r="62" spans="5:14" ht="12.75">
      <c r="E62" s="1" t="s">
        <v>392</v>
      </c>
      <c r="F62" s="2">
        <v>62</v>
      </c>
      <c r="N62" s="1">
        <v>40</v>
      </c>
    </row>
    <row r="63" spans="5:14" ht="12.75">
      <c r="E63" s="1" t="s">
        <v>393</v>
      </c>
      <c r="F63" s="2">
        <v>81</v>
      </c>
      <c r="N63" s="1">
        <v>47</v>
      </c>
    </row>
    <row r="64" spans="5:14" ht="12.75">
      <c r="E64" s="1" t="s">
        <v>394</v>
      </c>
      <c r="F64" s="2">
        <v>38</v>
      </c>
      <c r="N64" s="1">
        <v>82</v>
      </c>
    </row>
    <row r="65" spans="5:14" ht="12.75">
      <c r="E65" s="1" t="s">
        <v>395</v>
      </c>
      <c r="F65" s="2">
        <v>0</v>
      </c>
      <c r="N65" s="1">
        <v>66</v>
      </c>
    </row>
    <row r="66" spans="5:6" ht="12.75">
      <c r="E66" s="1" t="s">
        <v>396</v>
      </c>
      <c r="F66" s="2">
        <v>0</v>
      </c>
    </row>
    <row r="67" spans="5:14" ht="12.75">
      <c r="E67" s="1" t="s">
        <v>397</v>
      </c>
      <c r="F67" s="2">
        <v>155</v>
      </c>
      <c r="N67" s="1">
        <f>AVERAGE(N10:N65)</f>
        <v>55.589285714285715</v>
      </c>
    </row>
    <row r="68" spans="5:6" ht="12.75">
      <c r="E68" s="1" t="s">
        <v>398</v>
      </c>
      <c r="F68" s="2">
        <v>25</v>
      </c>
    </row>
    <row r="69" spans="5:6" ht="12.75">
      <c r="E69" s="1" t="s">
        <v>399</v>
      </c>
      <c r="F69" s="2">
        <v>62</v>
      </c>
    </row>
    <row r="70" spans="5:6" ht="12.75">
      <c r="E70" s="1" t="s">
        <v>400</v>
      </c>
      <c r="F70" s="2">
        <v>59</v>
      </c>
    </row>
    <row r="71" spans="5:6" ht="12.75">
      <c r="E71" s="1" t="s">
        <v>401</v>
      </c>
      <c r="F71" s="2">
        <v>0</v>
      </c>
    </row>
    <row r="72" spans="5:6" ht="12.75">
      <c r="E72" s="1" t="s">
        <v>402</v>
      </c>
      <c r="F72" s="2">
        <v>25</v>
      </c>
    </row>
    <row r="73" spans="5:6" ht="12.75">
      <c r="E73" s="1" t="s">
        <v>403</v>
      </c>
      <c r="F73" s="2">
        <v>70</v>
      </c>
    </row>
    <row r="74" spans="5:6" ht="12.75">
      <c r="E74" s="1" t="s">
        <v>404</v>
      </c>
      <c r="F74" s="2">
        <v>20</v>
      </c>
    </row>
    <row r="75" spans="5:6" ht="12.75">
      <c r="E75" s="1" t="s">
        <v>405</v>
      </c>
      <c r="F75" s="2">
        <v>58</v>
      </c>
    </row>
    <row r="76" spans="5:6" ht="12.75">
      <c r="E76" s="1" t="s">
        <v>406</v>
      </c>
      <c r="F76" s="2">
        <v>89</v>
      </c>
    </row>
    <row r="77" spans="5:6" ht="12.75">
      <c r="E77" s="1" t="s">
        <v>407</v>
      </c>
      <c r="F77" s="2">
        <v>56</v>
      </c>
    </row>
    <row r="78" spans="5:6" ht="12.75">
      <c r="E78" s="1" t="s">
        <v>408</v>
      </c>
      <c r="F78" s="2">
        <v>79</v>
      </c>
    </row>
    <row r="79" spans="5:6" ht="12.75">
      <c r="E79" s="1" t="s">
        <v>409</v>
      </c>
      <c r="F79" s="2">
        <v>21</v>
      </c>
    </row>
    <row r="80" spans="5:6" ht="12.75">
      <c r="E80" s="1" t="s">
        <v>410</v>
      </c>
      <c r="F80" s="2">
        <v>40</v>
      </c>
    </row>
    <row r="81" spans="5:6" ht="12.75">
      <c r="E81" s="1" t="s">
        <v>411</v>
      </c>
      <c r="F81" s="2" t="s">
        <v>420</v>
      </c>
    </row>
    <row r="82" spans="5:6" ht="12.75">
      <c r="E82" s="1" t="s">
        <v>412</v>
      </c>
      <c r="F82" s="2">
        <v>62</v>
      </c>
    </row>
    <row r="83" spans="5:6" ht="12.75">
      <c r="E83" s="1" t="s">
        <v>413</v>
      </c>
      <c r="F83" s="2">
        <v>70</v>
      </c>
    </row>
    <row r="84" spans="5:6" ht="12.75">
      <c r="E84" s="1" t="s">
        <v>414</v>
      </c>
      <c r="F84" s="2">
        <v>97</v>
      </c>
    </row>
    <row r="85" spans="5:6" ht="12.75">
      <c r="E85" s="1" t="s">
        <v>422</v>
      </c>
      <c r="F85" s="2">
        <v>40</v>
      </c>
    </row>
    <row r="86" spans="5:6" ht="12.75">
      <c r="E86" s="1" t="s">
        <v>415</v>
      </c>
      <c r="F86" s="2">
        <v>106</v>
      </c>
    </row>
    <row r="87" spans="5:6" ht="12.75">
      <c r="E87" s="1" t="s">
        <v>416</v>
      </c>
      <c r="F87" s="2">
        <v>47</v>
      </c>
    </row>
    <row r="88" spans="5:6" ht="12.75">
      <c r="E88" s="1" t="s">
        <v>417</v>
      </c>
      <c r="F88" s="2">
        <v>82</v>
      </c>
    </row>
    <row r="89" spans="5:6" ht="12.75">
      <c r="E89" s="1" t="s">
        <v>418</v>
      </c>
      <c r="F89" s="2">
        <v>66</v>
      </c>
    </row>
    <row r="91" spans="5:6" ht="12.75">
      <c r="E91" s="5" t="s">
        <v>69</v>
      </c>
      <c r="F91" s="8">
        <f>AVERAGE(F10:F89)</f>
        <v>56.80597014925373</v>
      </c>
    </row>
    <row r="92" spans="5:6" ht="12.75">
      <c r="E92" s="5" t="s">
        <v>423</v>
      </c>
      <c r="F92" s="1">
        <v>56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9"/>
  <sheetViews>
    <sheetView workbookViewId="0" topLeftCell="C15">
      <selection activeCell="O37" sqref="O37"/>
    </sheetView>
  </sheetViews>
  <sheetFormatPr defaultColWidth="9.140625" defaultRowHeight="12.75"/>
  <cols>
    <col min="1" max="2" width="10.8515625" style="1" customWidth="1"/>
    <col min="3" max="3" width="2.28125" style="1" customWidth="1"/>
    <col min="4" max="4" width="13.28125" style="1" customWidth="1"/>
    <col min="5" max="5" width="8.8515625" style="1" customWidth="1"/>
    <col min="6" max="6" width="6.140625" style="1" customWidth="1"/>
    <col min="7" max="7" width="8.8515625" style="1" customWidth="1"/>
    <col min="8" max="8" width="6.140625" style="1" customWidth="1"/>
    <col min="9" max="9" width="8.8515625" style="1" customWidth="1"/>
    <col min="10" max="10" width="6.140625" style="1" customWidth="1"/>
    <col min="11" max="11" width="8.8515625" style="1" customWidth="1"/>
    <col min="12" max="12" width="6.140625" style="1" customWidth="1"/>
    <col min="13" max="13" width="8.8515625" style="1" customWidth="1"/>
    <col min="14" max="14" width="6.00390625" style="1" customWidth="1"/>
    <col min="15" max="15" width="8.8515625" style="1" customWidth="1"/>
    <col min="16" max="16384" width="10.8515625" style="1" customWidth="1"/>
  </cols>
  <sheetData>
    <row r="1" ht="12.75">
      <c r="O1" s="2" t="s">
        <v>222</v>
      </c>
    </row>
    <row r="2" ht="12.75">
      <c r="O2" s="2" t="s">
        <v>430</v>
      </c>
    </row>
    <row r="3" ht="12.75">
      <c r="O3" s="2"/>
    </row>
    <row r="4" ht="12.75">
      <c r="O4" s="2"/>
    </row>
    <row r="5" ht="12.75">
      <c r="I5" s="4" t="s">
        <v>224</v>
      </c>
    </row>
    <row r="6" ht="12.75">
      <c r="I6" s="4" t="s">
        <v>124</v>
      </c>
    </row>
    <row r="7" ht="12.75">
      <c r="I7" s="4" t="s">
        <v>125</v>
      </c>
    </row>
    <row r="12" spans="3:15" ht="12.75">
      <c r="C12" s="1" t="s">
        <v>32</v>
      </c>
      <c r="E12" s="71" t="s">
        <v>126</v>
      </c>
      <c r="F12" s="71"/>
      <c r="G12" s="71">
        <v>2003</v>
      </c>
      <c r="H12" s="71"/>
      <c r="I12" s="71">
        <v>2004</v>
      </c>
      <c r="J12" s="71"/>
      <c r="K12" s="71">
        <v>2005</v>
      </c>
      <c r="L12" s="71"/>
      <c r="M12" s="71">
        <v>2006</v>
      </c>
      <c r="N12" s="71"/>
      <c r="O12" s="71">
        <v>2007</v>
      </c>
    </row>
    <row r="14" spans="4:15" ht="12.75">
      <c r="D14" s="1" t="s">
        <v>428</v>
      </c>
      <c r="E14" s="133"/>
      <c r="F14" s="134"/>
      <c r="G14" s="133"/>
      <c r="H14" s="134"/>
      <c r="I14" s="133"/>
      <c r="J14" s="134"/>
      <c r="K14" s="133"/>
      <c r="L14" s="134"/>
      <c r="M14" s="133"/>
      <c r="N14" s="134"/>
      <c r="O14" s="133"/>
    </row>
    <row r="15" spans="5:15" ht="12.75">
      <c r="E15" s="133"/>
      <c r="F15" s="135"/>
      <c r="G15" s="133"/>
      <c r="H15" s="135"/>
      <c r="I15" s="133"/>
      <c r="J15" s="135"/>
      <c r="K15" s="133"/>
      <c r="L15" s="135"/>
      <c r="M15" s="133"/>
      <c r="N15" s="135"/>
      <c r="O15" s="133"/>
    </row>
    <row r="16" spans="4:15" ht="12.75">
      <c r="D16" s="1" t="s">
        <v>34</v>
      </c>
      <c r="E16" s="133"/>
      <c r="F16" s="135"/>
      <c r="G16" s="133"/>
      <c r="H16" s="135"/>
      <c r="I16" s="133"/>
      <c r="J16" s="135"/>
      <c r="K16" s="133"/>
      <c r="L16" s="135"/>
      <c r="M16" s="133"/>
      <c r="N16" s="135"/>
      <c r="O16" s="133"/>
    </row>
    <row r="17" spans="5:15" ht="12.75">
      <c r="E17" s="133"/>
      <c r="F17" s="135"/>
      <c r="G17" s="133"/>
      <c r="H17" s="135"/>
      <c r="I17" s="133"/>
      <c r="J17" s="135"/>
      <c r="K17" s="133"/>
      <c r="L17" s="135"/>
      <c r="M17" s="133"/>
      <c r="N17" s="135"/>
      <c r="O17" s="133"/>
    </row>
    <row r="18" spans="4:15" ht="12.75">
      <c r="D18" s="1" t="s">
        <v>429</v>
      </c>
      <c r="E18" s="133"/>
      <c r="F18" s="135"/>
      <c r="G18" s="133"/>
      <c r="H18" s="135"/>
      <c r="I18" s="133"/>
      <c r="J18" s="135"/>
      <c r="K18" s="133"/>
      <c r="L18" s="135"/>
      <c r="M18" s="133"/>
      <c r="N18" s="135"/>
      <c r="O18" s="133"/>
    </row>
    <row r="19" spans="5:15" ht="12.75">
      <c r="E19" s="133"/>
      <c r="F19" s="135"/>
      <c r="G19" s="133"/>
      <c r="H19" s="135"/>
      <c r="I19" s="133"/>
      <c r="J19" s="135"/>
      <c r="K19" s="133"/>
      <c r="L19" s="135"/>
      <c r="M19" s="133"/>
      <c r="N19" s="135"/>
      <c r="O19" s="133"/>
    </row>
    <row r="20" spans="4:15" ht="12.75">
      <c r="D20" s="1" t="s">
        <v>36</v>
      </c>
      <c r="E20" s="136"/>
      <c r="F20" s="135"/>
      <c r="G20" s="136"/>
      <c r="H20" s="135"/>
      <c r="I20" s="136"/>
      <c r="J20" s="135"/>
      <c r="K20" s="136"/>
      <c r="L20" s="135"/>
      <c r="M20" s="136"/>
      <c r="N20" s="135"/>
      <c r="O20" s="136"/>
    </row>
    <row r="21" spans="5:15" ht="12.75"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5:15" ht="12.75"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5:15" ht="12.75"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  <row r="24" spans="3:15" ht="12.75">
      <c r="C24" s="1" t="s">
        <v>39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5:15" ht="12.75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pans="4:15" ht="12.75">
      <c r="D26" s="1" t="s">
        <v>428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5:15" ht="12.75"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</row>
    <row r="28" spans="4:15" ht="12.75">
      <c r="D28" s="1" t="s">
        <v>34</v>
      </c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5:15" ht="12.75"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</row>
    <row r="30" spans="4:15" ht="12.75">
      <c r="D30" s="1" t="s">
        <v>429</v>
      </c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5:15" ht="12.75"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</row>
    <row r="32" spans="4:15" ht="12.75">
      <c r="D32" s="1" t="s">
        <v>36</v>
      </c>
      <c r="E32" s="140"/>
      <c r="F32" s="139"/>
      <c r="G32" s="140"/>
      <c r="H32" s="139"/>
      <c r="I32" s="140"/>
      <c r="J32" s="139"/>
      <c r="K32" s="140"/>
      <c r="L32" s="139"/>
      <c r="M32" s="140"/>
      <c r="N32" s="139"/>
      <c r="O32" s="140"/>
    </row>
    <row r="33" spans="5:15" ht="12.75"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5:15" ht="12.75">
      <c r="E34" s="14">
        <v>1</v>
      </c>
      <c r="F34" s="14"/>
      <c r="G34" s="14">
        <v>1</v>
      </c>
      <c r="H34" s="14"/>
      <c r="I34" s="14">
        <v>1</v>
      </c>
      <c r="J34" s="14"/>
      <c r="K34" s="14">
        <v>1</v>
      </c>
      <c r="L34" s="14"/>
      <c r="M34" s="14">
        <v>1</v>
      </c>
      <c r="N34" s="14"/>
      <c r="O34" s="14">
        <v>1</v>
      </c>
    </row>
    <row r="39" ht="12.75">
      <c r="D39" s="1" t="s">
        <v>127</v>
      </c>
    </row>
  </sheetData>
  <printOptions/>
  <pageMargins left="0.75" right="0.75" top="1" bottom="1" header="0.5" footer="0.5"/>
  <pageSetup fitToHeight="1" fitToWidth="1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84"/>
  <sheetViews>
    <sheetView view="pageBreakPreview" zoomScale="60" workbookViewId="0" topLeftCell="A1">
      <selection activeCell="E51" sqref="E51"/>
    </sheetView>
  </sheetViews>
  <sheetFormatPr defaultColWidth="9.140625" defaultRowHeight="12.75"/>
  <cols>
    <col min="1" max="1" width="10.8515625" style="20" customWidth="1"/>
    <col min="2" max="2" width="15.421875" style="20" customWidth="1"/>
    <col min="3" max="3" width="7.140625" style="23" customWidth="1"/>
    <col min="4" max="4" width="8.140625" style="23" customWidth="1"/>
    <col min="5" max="7" width="10.8515625" style="23" customWidth="1"/>
    <col min="8" max="16384" width="10.8515625" style="20" customWidth="1"/>
  </cols>
  <sheetData>
    <row r="2" spans="3:7" ht="12.75">
      <c r="C2" s="23" t="s">
        <v>321</v>
      </c>
      <c r="E2" s="23" t="s">
        <v>130</v>
      </c>
      <c r="F2" s="23" t="s">
        <v>332</v>
      </c>
      <c r="G2" s="23" t="s">
        <v>337</v>
      </c>
    </row>
    <row r="3" spans="2:10" ht="12.75">
      <c r="B3" s="66" t="s">
        <v>128</v>
      </c>
      <c r="C3" s="67" t="s">
        <v>320</v>
      </c>
      <c r="D3" s="67" t="s">
        <v>129</v>
      </c>
      <c r="E3" s="67" t="s">
        <v>331</v>
      </c>
      <c r="F3" s="67" t="s">
        <v>333</v>
      </c>
      <c r="G3" s="67" t="s">
        <v>338</v>
      </c>
      <c r="J3" s="20" t="s">
        <v>346</v>
      </c>
    </row>
    <row r="4" spans="1:7" ht="12.75">
      <c r="A4" s="20" t="s">
        <v>345</v>
      </c>
      <c r="E4" s="20"/>
      <c r="F4" s="20"/>
      <c r="G4" s="20"/>
    </row>
    <row r="5" spans="2:3" ht="12.75">
      <c r="B5" s="20" t="s">
        <v>376</v>
      </c>
      <c r="C5" s="23" t="s">
        <v>131</v>
      </c>
    </row>
    <row r="6" spans="2:10" ht="12.75">
      <c r="B6" s="20" t="s">
        <v>380</v>
      </c>
      <c r="C6" s="23" t="s">
        <v>132</v>
      </c>
      <c r="D6" s="23">
        <v>1987</v>
      </c>
      <c r="E6" s="23" t="s">
        <v>133</v>
      </c>
      <c r="G6" s="23" t="s">
        <v>339</v>
      </c>
      <c r="J6" s="20" t="s">
        <v>134</v>
      </c>
    </row>
    <row r="7" spans="2:10" ht="12.75">
      <c r="B7" s="20" t="s">
        <v>135</v>
      </c>
      <c r="C7" s="23" t="s">
        <v>132</v>
      </c>
      <c r="D7" s="23">
        <v>1995</v>
      </c>
      <c r="E7" s="23" t="s">
        <v>136</v>
      </c>
      <c r="G7" s="23" t="s">
        <v>339</v>
      </c>
      <c r="J7" s="20" t="s">
        <v>134</v>
      </c>
    </row>
    <row r="8" spans="2:10" ht="12.75">
      <c r="B8" s="20" t="s">
        <v>137</v>
      </c>
      <c r="C8" s="23" t="s">
        <v>132</v>
      </c>
      <c r="D8" s="23">
        <v>2000</v>
      </c>
      <c r="E8" s="23" t="s">
        <v>138</v>
      </c>
      <c r="G8" s="23" t="s">
        <v>339</v>
      </c>
      <c r="J8" s="20" t="s">
        <v>134</v>
      </c>
    </row>
    <row r="9" spans="2:3" ht="12.75">
      <c r="B9" s="20" t="s">
        <v>0</v>
      </c>
      <c r="C9" s="23" t="s">
        <v>131</v>
      </c>
    </row>
    <row r="10" spans="2:10" ht="12.75">
      <c r="B10" s="20" t="s">
        <v>140</v>
      </c>
      <c r="C10" s="23" t="s">
        <v>132</v>
      </c>
      <c r="D10" s="23">
        <v>2001</v>
      </c>
      <c r="E10" s="23" t="s">
        <v>141</v>
      </c>
      <c r="G10" s="23" t="s">
        <v>340</v>
      </c>
      <c r="J10" s="20" t="s">
        <v>146</v>
      </c>
    </row>
    <row r="11" spans="2:10" ht="12.75">
      <c r="B11" s="20" t="s">
        <v>147</v>
      </c>
      <c r="C11" s="23" t="s">
        <v>132</v>
      </c>
      <c r="D11" s="23">
        <v>1986</v>
      </c>
      <c r="E11" s="23" t="s">
        <v>148</v>
      </c>
      <c r="G11" s="23" t="s">
        <v>341</v>
      </c>
      <c r="J11" s="20" t="s">
        <v>149</v>
      </c>
    </row>
    <row r="12" spans="2:3" ht="12.75">
      <c r="B12" s="20" t="s">
        <v>150</v>
      </c>
      <c r="C12" s="23" t="s">
        <v>131</v>
      </c>
    </row>
    <row r="13" spans="2:3" ht="12.75">
      <c r="B13" s="20" t="s">
        <v>387</v>
      </c>
      <c r="C13" s="23" t="s">
        <v>131</v>
      </c>
    </row>
    <row r="14" spans="2:10" ht="12.75">
      <c r="B14" s="20" t="s">
        <v>151</v>
      </c>
      <c r="C14" s="23" t="s">
        <v>132</v>
      </c>
      <c r="D14" s="23" t="s">
        <v>322</v>
      </c>
      <c r="E14" s="23" t="s">
        <v>152</v>
      </c>
      <c r="F14" s="23" t="s">
        <v>153</v>
      </c>
      <c r="G14" s="23" t="s">
        <v>339</v>
      </c>
      <c r="J14" s="20" t="s">
        <v>154</v>
      </c>
    </row>
    <row r="15" spans="2:3" ht="12.75">
      <c r="B15" s="20" t="s">
        <v>391</v>
      </c>
      <c r="C15" s="23" t="s">
        <v>131</v>
      </c>
    </row>
    <row r="16" spans="2:10" ht="12.75">
      <c r="B16" s="20" t="s">
        <v>155</v>
      </c>
      <c r="C16" s="23" t="s">
        <v>132</v>
      </c>
      <c r="D16" s="23">
        <v>1994</v>
      </c>
      <c r="E16" s="23" t="s">
        <v>156</v>
      </c>
      <c r="G16" s="23" t="s">
        <v>341</v>
      </c>
      <c r="J16" s="20" t="s">
        <v>149</v>
      </c>
    </row>
    <row r="17" spans="2:10" ht="12.75">
      <c r="B17" s="20" t="s">
        <v>157</v>
      </c>
      <c r="C17" s="23" t="s">
        <v>132</v>
      </c>
      <c r="D17" s="23" t="s">
        <v>323</v>
      </c>
      <c r="E17" s="23" t="s">
        <v>158</v>
      </c>
      <c r="F17" s="23" t="s">
        <v>159</v>
      </c>
      <c r="G17" s="23" t="s">
        <v>339</v>
      </c>
      <c r="J17" s="20" t="s">
        <v>134</v>
      </c>
    </row>
    <row r="18" spans="2:10" ht="12.75">
      <c r="B18" s="20" t="s">
        <v>160</v>
      </c>
      <c r="C18" s="23" t="s">
        <v>132</v>
      </c>
      <c r="D18" s="23" t="s">
        <v>324</v>
      </c>
      <c r="E18" s="23" t="s">
        <v>335</v>
      </c>
      <c r="F18" s="23" t="s">
        <v>336</v>
      </c>
      <c r="G18" s="23" t="s">
        <v>339</v>
      </c>
      <c r="J18" s="20" t="s">
        <v>334</v>
      </c>
    </row>
    <row r="19" spans="2:10" ht="12.75">
      <c r="B19" s="20" t="s">
        <v>398</v>
      </c>
      <c r="C19" s="23" t="s">
        <v>132</v>
      </c>
      <c r="D19" s="23" t="s">
        <v>325</v>
      </c>
      <c r="E19" s="23" t="s">
        <v>161</v>
      </c>
      <c r="F19" s="23" t="s">
        <v>162</v>
      </c>
      <c r="G19" s="23" t="s">
        <v>339</v>
      </c>
      <c r="J19" s="20" t="s">
        <v>134</v>
      </c>
    </row>
    <row r="20" spans="2:3" ht="12.75">
      <c r="B20" s="20" t="s">
        <v>400</v>
      </c>
      <c r="C20" s="23" t="s">
        <v>131</v>
      </c>
    </row>
    <row r="21" spans="2:10" ht="12.75">
      <c r="B21" s="20" t="s">
        <v>402</v>
      </c>
      <c r="C21" s="23" t="s">
        <v>132</v>
      </c>
      <c r="D21" s="23">
        <v>1998</v>
      </c>
      <c r="E21" s="23" t="s">
        <v>163</v>
      </c>
      <c r="G21" s="23" t="s">
        <v>339</v>
      </c>
      <c r="J21" s="20" t="s">
        <v>134</v>
      </c>
    </row>
    <row r="22" spans="2:10" ht="12.75">
      <c r="B22" s="20" t="s">
        <v>164</v>
      </c>
      <c r="C22" s="23" t="s">
        <v>132</v>
      </c>
      <c r="D22" s="23">
        <v>2001</v>
      </c>
      <c r="E22" s="23" t="s">
        <v>165</v>
      </c>
      <c r="G22" s="23" t="s">
        <v>341</v>
      </c>
      <c r="J22" s="20" t="s">
        <v>166</v>
      </c>
    </row>
    <row r="23" spans="2:3" ht="12.75">
      <c r="B23" s="20" t="s">
        <v>403</v>
      </c>
      <c r="C23" s="23" t="s">
        <v>131</v>
      </c>
    </row>
    <row r="24" spans="2:3" ht="12.75">
      <c r="B24" s="20" t="s">
        <v>167</v>
      </c>
      <c r="C24" s="23" t="s">
        <v>131</v>
      </c>
    </row>
    <row r="25" spans="2:10" ht="12.75">
      <c r="B25" s="20" t="s">
        <v>168</v>
      </c>
      <c r="C25" s="23" t="s">
        <v>132</v>
      </c>
      <c r="D25" s="23">
        <v>1998</v>
      </c>
      <c r="E25" s="23" t="s">
        <v>169</v>
      </c>
      <c r="G25" s="23" t="s">
        <v>339</v>
      </c>
      <c r="J25" s="20" t="s">
        <v>134</v>
      </c>
    </row>
    <row r="26" spans="2:10" ht="12.75">
      <c r="B26" s="20" t="s">
        <v>170</v>
      </c>
      <c r="C26" s="23" t="s">
        <v>132</v>
      </c>
      <c r="D26" s="23">
        <v>1999</v>
      </c>
      <c r="E26" s="23" t="s">
        <v>171</v>
      </c>
      <c r="G26" s="23" t="s">
        <v>339</v>
      </c>
      <c r="J26" s="20" t="s">
        <v>134</v>
      </c>
    </row>
    <row r="27" spans="2:3" ht="12.75">
      <c r="B27" s="20" t="s">
        <v>370</v>
      </c>
      <c r="C27" s="23" t="s">
        <v>131</v>
      </c>
    </row>
    <row r="28" spans="2:3" ht="12.75">
      <c r="B28" s="20" t="s">
        <v>412</v>
      </c>
      <c r="C28" s="23" t="s">
        <v>131</v>
      </c>
    </row>
    <row r="29" spans="2:3" ht="12.75">
      <c r="B29" s="20" t="s">
        <v>371</v>
      </c>
      <c r="C29" s="23" t="s">
        <v>131</v>
      </c>
    </row>
    <row r="30" spans="1:4" ht="12.75">
      <c r="A30" s="20" t="s">
        <v>344</v>
      </c>
      <c r="D30" s="72"/>
    </row>
    <row r="31" spans="2:3" ht="12.75">
      <c r="B31" s="20" t="s">
        <v>74</v>
      </c>
      <c r="C31" s="23" t="s">
        <v>131</v>
      </c>
    </row>
    <row r="32" spans="2:3" ht="12.75">
      <c r="B32" s="20" t="s">
        <v>377</v>
      </c>
      <c r="C32" s="23" t="s">
        <v>131</v>
      </c>
    </row>
    <row r="33" spans="2:3" ht="12.75">
      <c r="B33" s="20" t="s">
        <v>378</v>
      </c>
      <c r="C33" s="23" t="s">
        <v>131</v>
      </c>
    </row>
    <row r="34" spans="2:3" ht="12.75">
      <c r="B34" s="20" t="s">
        <v>172</v>
      </c>
      <c r="C34" s="23" t="s">
        <v>131</v>
      </c>
    </row>
    <row r="35" spans="2:10" ht="12.75">
      <c r="B35" s="20" t="s">
        <v>173</v>
      </c>
      <c r="C35" s="23" t="s">
        <v>132</v>
      </c>
      <c r="D35" s="23">
        <v>1984</v>
      </c>
      <c r="E35" s="23" t="s">
        <v>174</v>
      </c>
      <c r="G35" s="23" t="s">
        <v>339</v>
      </c>
      <c r="J35" s="20" t="s">
        <v>175</v>
      </c>
    </row>
    <row r="36" spans="2:3" ht="12.75">
      <c r="B36" s="20" t="s">
        <v>176</v>
      </c>
      <c r="C36" s="23" t="s">
        <v>131</v>
      </c>
    </row>
    <row r="37" spans="2:3" ht="12.75">
      <c r="B37" s="20" t="s">
        <v>78</v>
      </c>
      <c r="C37" s="23" t="s">
        <v>131</v>
      </c>
    </row>
    <row r="38" spans="2:3" ht="12.75">
      <c r="B38" s="20" t="s">
        <v>177</v>
      </c>
      <c r="C38" s="23" t="s">
        <v>131</v>
      </c>
    </row>
    <row r="39" spans="2:3" ht="12.75">
      <c r="B39" s="20" t="s">
        <v>386</v>
      </c>
      <c r="C39" s="23" t="s">
        <v>131</v>
      </c>
    </row>
    <row r="40" spans="2:3" ht="12.75">
      <c r="B40" s="20" t="s">
        <v>178</v>
      </c>
      <c r="C40" s="23" t="s">
        <v>131</v>
      </c>
    </row>
    <row r="41" spans="2:10" ht="12.75">
      <c r="B41" s="20" t="s">
        <v>179</v>
      </c>
      <c r="C41" s="23" t="s">
        <v>132</v>
      </c>
      <c r="D41" s="23">
        <v>1998</v>
      </c>
      <c r="E41" s="23" t="s">
        <v>180</v>
      </c>
      <c r="G41" s="23" t="s">
        <v>339</v>
      </c>
      <c r="J41" s="20" t="s">
        <v>181</v>
      </c>
    </row>
    <row r="42" spans="2:3" ht="12.75">
      <c r="B42" s="20" t="s">
        <v>182</v>
      </c>
      <c r="C42" s="23" t="s">
        <v>131</v>
      </c>
    </row>
    <row r="43" spans="2:10" ht="12.75">
      <c r="B43" s="20" t="s">
        <v>183</v>
      </c>
      <c r="C43" s="23" t="s">
        <v>132</v>
      </c>
      <c r="D43" s="23">
        <v>1985</v>
      </c>
      <c r="E43" s="23" t="s">
        <v>184</v>
      </c>
      <c r="G43" s="23" t="s">
        <v>342</v>
      </c>
      <c r="J43" s="20" t="s">
        <v>185</v>
      </c>
    </row>
    <row r="44" spans="2:3" ht="12.75">
      <c r="B44" s="20" t="s">
        <v>186</v>
      </c>
      <c r="C44" s="23" t="s">
        <v>131</v>
      </c>
    </row>
    <row r="45" spans="2:3" ht="12.75">
      <c r="B45" s="20" t="s">
        <v>187</v>
      </c>
      <c r="C45" s="23" t="s">
        <v>131</v>
      </c>
    </row>
    <row r="46" spans="2:3" ht="12.75">
      <c r="B46" s="20" t="s">
        <v>188</v>
      </c>
      <c r="C46" s="23" t="s">
        <v>131</v>
      </c>
    </row>
    <row r="47" spans="2:3" ht="12.75">
      <c r="B47" s="20" t="s">
        <v>367</v>
      </c>
      <c r="C47" s="23" t="s">
        <v>131</v>
      </c>
    </row>
    <row r="48" spans="2:3" ht="12.75">
      <c r="B48" s="20" t="s">
        <v>407</v>
      </c>
      <c r="C48" s="23" t="s">
        <v>131</v>
      </c>
    </row>
    <row r="49" spans="2:10" ht="12.75">
      <c r="B49" s="20" t="s">
        <v>413</v>
      </c>
      <c r="C49" s="23" t="s">
        <v>132</v>
      </c>
      <c r="D49" s="23">
        <v>1995</v>
      </c>
      <c r="E49" s="23" t="s">
        <v>189</v>
      </c>
      <c r="G49" s="23" t="s">
        <v>339</v>
      </c>
      <c r="J49" s="20" t="s">
        <v>175</v>
      </c>
    </row>
    <row r="50" spans="2:3" ht="12.75">
      <c r="B50" s="20" t="s">
        <v>190</v>
      </c>
      <c r="C50" s="23" t="s">
        <v>131</v>
      </c>
    </row>
    <row r="52" spans="3:7" ht="12.75">
      <c r="C52" s="23" t="s">
        <v>321</v>
      </c>
      <c r="E52" s="23" t="s">
        <v>130</v>
      </c>
      <c r="F52" s="23" t="s">
        <v>332</v>
      </c>
      <c r="G52" s="23" t="s">
        <v>337</v>
      </c>
    </row>
    <row r="53" spans="2:7" ht="12.75">
      <c r="B53" s="66" t="s">
        <v>128</v>
      </c>
      <c r="C53" s="67" t="s">
        <v>320</v>
      </c>
      <c r="D53" s="67" t="s">
        <v>129</v>
      </c>
      <c r="E53" s="67" t="s">
        <v>331</v>
      </c>
      <c r="F53" s="67" t="s">
        <v>333</v>
      </c>
      <c r="G53" s="67" t="s">
        <v>338</v>
      </c>
    </row>
    <row r="54" spans="2:7" ht="12.75">
      <c r="B54" s="66"/>
      <c r="C54" s="67"/>
      <c r="D54" s="67"/>
      <c r="E54" s="67"/>
      <c r="F54" s="67"/>
      <c r="G54" s="67"/>
    </row>
    <row r="55" spans="2:3" ht="12.75">
      <c r="B55" s="20" t="s">
        <v>282</v>
      </c>
      <c r="C55" s="23" t="s">
        <v>131</v>
      </c>
    </row>
    <row r="56" spans="2:3" ht="12.75">
      <c r="B56" s="20" t="s">
        <v>417</v>
      </c>
      <c r="C56" s="23" t="s">
        <v>131</v>
      </c>
    </row>
    <row r="57" spans="2:10" ht="12.75">
      <c r="B57" s="20" t="s">
        <v>373</v>
      </c>
      <c r="C57" s="23" t="s">
        <v>132</v>
      </c>
      <c r="D57" s="23" t="s">
        <v>326</v>
      </c>
      <c r="E57" s="23" t="s">
        <v>283</v>
      </c>
      <c r="F57" s="23" t="s">
        <v>284</v>
      </c>
      <c r="G57" s="23" t="s">
        <v>342</v>
      </c>
      <c r="J57" s="20" t="s">
        <v>285</v>
      </c>
    </row>
    <row r="58" spans="2:10" ht="12.75">
      <c r="B58" s="20" t="s">
        <v>416</v>
      </c>
      <c r="C58" s="23" t="s">
        <v>132</v>
      </c>
      <c r="D58" s="23">
        <v>2000</v>
      </c>
      <c r="E58" s="23" t="s">
        <v>286</v>
      </c>
      <c r="G58" s="23" t="s">
        <v>341</v>
      </c>
      <c r="J58" s="20" t="s">
        <v>287</v>
      </c>
    </row>
    <row r="59" spans="1:4" ht="12.75">
      <c r="A59" s="20" t="s">
        <v>343</v>
      </c>
      <c r="D59" s="72"/>
    </row>
    <row r="60" spans="2:10" ht="12.75">
      <c r="B60" s="20" t="s">
        <v>379</v>
      </c>
      <c r="C60" s="23" t="s">
        <v>132</v>
      </c>
      <c r="D60" s="23">
        <v>1998</v>
      </c>
      <c r="E60" s="23" t="s">
        <v>288</v>
      </c>
      <c r="G60" s="23" t="s">
        <v>341</v>
      </c>
      <c r="J60" s="20" t="s">
        <v>289</v>
      </c>
    </row>
    <row r="61" spans="2:3" ht="12.75">
      <c r="B61" s="20" t="s">
        <v>290</v>
      </c>
      <c r="C61" s="23" t="s">
        <v>131</v>
      </c>
    </row>
    <row r="62" spans="2:10" ht="12.75">
      <c r="B62" s="20" t="s">
        <v>81</v>
      </c>
      <c r="C62" s="23" t="s">
        <v>132</v>
      </c>
      <c r="D62" s="23" t="s">
        <v>327</v>
      </c>
      <c r="E62" s="23" t="s">
        <v>291</v>
      </c>
      <c r="F62" s="23" t="s">
        <v>292</v>
      </c>
      <c r="G62" s="23" t="s">
        <v>341</v>
      </c>
      <c r="J62" s="20" t="s">
        <v>2</v>
      </c>
    </row>
    <row r="63" spans="2:3" ht="12.75">
      <c r="B63" s="20" t="s">
        <v>82</v>
      </c>
      <c r="C63" s="23" t="s">
        <v>131</v>
      </c>
    </row>
    <row r="64" spans="2:3" ht="12.75">
      <c r="B64" s="20" t="s">
        <v>294</v>
      </c>
      <c r="C64" s="23" t="s">
        <v>131</v>
      </c>
    </row>
    <row r="65" spans="2:3" ht="12.75">
      <c r="B65" s="20" t="s">
        <v>295</v>
      </c>
      <c r="C65" s="23" t="s">
        <v>131</v>
      </c>
    </row>
    <row r="66" spans="2:3" ht="12.75">
      <c r="B66" s="20" t="s">
        <v>394</v>
      </c>
      <c r="C66" s="23" t="s">
        <v>131</v>
      </c>
    </row>
    <row r="67" spans="2:10" ht="12.75">
      <c r="B67" s="20" t="s">
        <v>395</v>
      </c>
      <c r="C67" s="23" t="s">
        <v>132</v>
      </c>
      <c r="D67" s="23">
        <v>2000</v>
      </c>
      <c r="E67" s="23" t="s">
        <v>4</v>
      </c>
      <c r="G67" s="23" t="s">
        <v>341</v>
      </c>
      <c r="J67" s="20" t="s">
        <v>5</v>
      </c>
    </row>
    <row r="68" spans="2:10" ht="12.75">
      <c r="B68" s="20" t="s">
        <v>298</v>
      </c>
      <c r="C68" s="23" t="s">
        <v>132</v>
      </c>
      <c r="D68" s="23" t="s">
        <v>328</v>
      </c>
      <c r="E68" s="23" t="s">
        <v>299</v>
      </c>
      <c r="F68" s="23" t="s">
        <v>300</v>
      </c>
      <c r="G68" s="23" t="s">
        <v>174</v>
      </c>
      <c r="J68" s="20" t="s">
        <v>301</v>
      </c>
    </row>
    <row r="69" spans="2:10" ht="12.75">
      <c r="B69" s="20" t="s">
        <v>302</v>
      </c>
      <c r="C69" s="23" t="s">
        <v>132</v>
      </c>
      <c r="D69" s="23">
        <v>1989</v>
      </c>
      <c r="E69" s="23" t="s">
        <v>303</v>
      </c>
      <c r="G69" s="23" t="s">
        <v>341</v>
      </c>
      <c r="J69" s="20" t="s">
        <v>304</v>
      </c>
    </row>
    <row r="70" spans="2:10" ht="12.75">
      <c r="B70" s="20" t="s">
        <v>305</v>
      </c>
      <c r="C70" s="23" t="s">
        <v>132</v>
      </c>
      <c r="D70" s="23" t="s">
        <v>329</v>
      </c>
      <c r="E70" s="23" t="s">
        <v>306</v>
      </c>
      <c r="G70" s="23" t="s">
        <v>342</v>
      </c>
      <c r="J70" s="20" t="s">
        <v>307</v>
      </c>
    </row>
    <row r="71" spans="2:3" ht="12.75">
      <c r="B71" s="20" t="s">
        <v>308</v>
      </c>
      <c r="C71" s="23" t="s">
        <v>131</v>
      </c>
    </row>
    <row r="72" spans="2:10" ht="12.75">
      <c r="B72" s="20" t="s">
        <v>309</v>
      </c>
      <c r="C72" s="23" t="s">
        <v>132</v>
      </c>
      <c r="D72" s="23">
        <v>2000</v>
      </c>
      <c r="E72" s="23" t="s">
        <v>310</v>
      </c>
      <c r="G72" s="23" t="s">
        <v>339</v>
      </c>
      <c r="J72" s="20" t="s">
        <v>311</v>
      </c>
    </row>
    <row r="73" spans="2:10" ht="12.75">
      <c r="B73" s="20" t="s">
        <v>312</v>
      </c>
      <c r="C73" s="23" t="s">
        <v>132</v>
      </c>
      <c r="D73" s="23" t="s">
        <v>330</v>
      </c>
      <c r="E73" s="23" t="s">
        <v>313</v>
      </c>
      <c r="F73" s="23" t="s">
        <v>314</v>
      </c>
      <c r="G73" s="23" t="s">
        <v>339</v>
      </c>
      <c r="J73" s="20" t="s">
        <v>315</v>
      </c>
    </row>
    <row r="74" spans="2:10" ht="12.75">
      <c r="B74" s="20" t="s">
        <v>316</v>
      </c>
      <c r="C74" s="23" t="s">
        <v>132</v>
      </c>
      <c r="D74" s="23">
        <v>1989</v>
      </c>
      <c r="E74" s="23" t="s">
        <v>317</v>
      </c>
      <c r="G74" s="23" t="s">
        <v>339</v>
      </c>
      <c r="J74" s="20" t="s">
        <v>318</v>
      </c>
    </row>
    <row r="75" spans="2:3" ht="12.75">
      <c r="B75" s="20" t="s">
        <v>319</v>
      </c>
      <c r="C75" s="23" t="s">
        <v>131</v>
      </c>
    </row>
    <row r="76" ht="12.75">
      <c r="D76" s="72"/>
    </row>
    <row r="77" spans="2:3" ht="12.75">
      <c r="B77" s="20" t="s">
        <v>347</v>
      </c>
      <c r="C77" s="75" t="s">
        <v>354</v>
      </c>
    </row>
    <row r="79" spans="4:7" ht="12.75">
      <c r="D79" s="72"/>
      <c r="E79" s="21" t="s">
        <v>351</v>
      </c>
      <c r="F79" s="23" t="s">
        <v>352</v>
      </c>
      <c r="G79" s="73"/>
    </row>
    <row r="80" spans="5:11" ht="12.75">
      <c r="E80" s="21" t="s">
        <v>331</v>
      </c>
      <c r="F80" s="23" t="s">
        <v>353</v>
      </c>
      <c r="J80" s="21" t="s">
        <v>348</v>
      </c>
      <c r="K80" s="20">
        <f>(1.6+1.56+1.92+1.42+1.24+1.56+3.08+1.18+1.8+1.54+2.2+1.66+1.67+1.76+1.2+2.12+2.47+1.32+1.37+1.68+1.54+1.42+2.96)/23</f>
        <v>1.7508695652173913</v>
      </c>
    </row>
    <row r="81" spans="5:11" ht="12.75">
      <c r="E81" s="21" t="s">
        <v>356</v>
      </c>
      <c r="F81" s="74">
        <v>0.65</v>
      </c>
      <c r="J81" s="20" t="s">
        <v>349</v>
      </c>
      <c r="K81" s="20">
        <f>(1+1+1.4+1+0.48+0.8+1.9+2.03+1.05+1.2+1.1+1.5+1+1+1+1.1+1.76+1+0.8+0.48+0.88+0.8+1.72)/23</f>
        <v>1.1304347826086958</v>
      </c>
    </row>
    <row r="82" spans="10:11" ht="12.75">
      <c r="J82" s="20" t="s">
        <v>350</v>
      </c>
      <c r="K82" s="20">
        <f>K81/K80</f>
        <v>0.6456419170598461</v>
      </c>
    </row>
    <row r="83" ht="12.75">
      <c r="A83" s="20" t="s">
        <v>355</v>
      </c>
    </row>
    <row r="84" ht="12.75">
      <c r="A84" s="20" t="s">
        <v>357</v>
      </c>
    </row>
  </sheetData>
  <printOptions/>
  <pageMargins left="0.75" right="0.75" top="1.64" bottom="1" header="0.5" footer="0.5"/>
  <pageSetup firstPageNumber="1" useFirstPageNumber="1" orientation="portrait" scale="98" r:id="rId1"/>
  <headerFooter alignWithMargins="0">
    <oddHeader>&amp;C
&amp;"Times,Bold"PUGET SOUND ENERGY, INC,
DIVIDEND REDUCTIONS IN THE ELECTRIC UTILITY INDUSTRY&amp;R&amp;"Times,Regular"Exhibit__(SGH-1)
Schedule 9
Page&amp;P of &amp;[2]
</oddHeader>
  </headerFooter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Moody's Investors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Moody's Investors Service</dc:creator>
  <cp:keywords/>
  <dc:description/>
  <cp:lastModifiedBy>Information Services</cp:lastModifiedBy>
  <cp:lastPrinted>2002-01-29T17:07:38Z</cp:lastPrinted>
  <dcterms:created xsi:type="dcterms:W3CDTF">2001-11-14T18:05:37Z</dcterms:created>
  <dcterms:modified xsi:type="dcterms:W3CDTF">2002-01-31T00:45:20Z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011570</vt:lpwstr>
  </property>
  <property fmtid="{D5CDD505-2E9C-101B-9397-08002B2CF9AE}" pid="6" name="IsConfidenti">
    <vt:lpwstr>0</vt:lpwstr>
  </property>
  <property fmtid="{D5CDD505-2E9C-101B-9397-08002B2CF9AE}" pid="7" name="Dat">
    <vt:lpwstr>2002-01-30T00:00:00Z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