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wrk\30_ava\3046-9 - 2018 GRC\dir\_wps\_fnl\"/>
    </mc:Choice>
  </mc:AlternateContent>
  <bookViews>
    <workbookView xWindow="570" yWindow="-210" windowWidth="20370" windowHeight="12300" tabRatio="838"/>
  </bookViews>
  <sheets>
    <sheet name="Exh. No. BGM-4 1" sheetId="79" r:id="rId1"/>
    <sheet name="Exh. No. BGM-4 2" sheetId="55" r:id="rId2"/>
    <sheet name="Exh. No. BGM-4 3" sheetId="56" r:id="rId3"/>
    <sheet name="Acerno_Cache_XXXXX" sheetId="78" state="veryHidden" r:id="rId4"/>
    <sheet name="Exh. No. BGM 4 4" sheetId="1" r:id="rId5"/>
    <sheet name="Workpapers-&gt;" sheetId="81" r:id="rId6"/>
    <sheet name="Table 2" sheetId="80" r:id="rId7"/>
    <sheet name="LEAD SHEETS-DO NOT ENTER" sheetId="76" r:id="rId8"/>
    <sheet name="ADJ SUMMARY" sheetId="3" r:id="rId9"/>
    <sheet name="DEBT CALC" sheetId="75" r:id="rId10"/>
    <sheet name="ROO INPUT" sheetId="5" r:id="rId11"/>
    <sheet name="Recap Summary" sheetId="69" r:id="rId12"/>
    <sheet name="not used PROP0SED RATES-2018" sheetId="54" r:id="rId13"/>
    <sheet name="not used PROP0SED RATES-2019" sheetId="7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ID_Elec" localSheetId="9">'DEBT CALC'!$A$76:$F$153</definedName>
    <definedName name="ID_Elec" localSheetId="1">[1]DebtCalc!#REF!</definedName>
    <definedName name="ID_Elec" localSheetId="2">[2]DebtCalc!#REF!</definedName>
    <definedName name="ID_Elec" localSheetId="7">#REF!</definedName>
    <definedName name="ID_Elec" localSheetId="12">[1]DebtCalc!#REF!</definedName>
    <definedName name="ID_Elec" localSheetId="13">[1]DebtCalc!#REF!</definedName>
    <definedName name="ID_Elec" localSheetId="11">#REF!</definedName>
    <definedName name="ID_Gas" localSheetId="9">'DEBT CALC'!#REF!</definedName>
    <definedName name="ID_Gas" localSheetId="0">'[3]DEBT CALC'!#REF!</definedName>
    <definedName name="ID_Gas" localSheetId="7">#REF!</definedName>
    <definedName name="ID_Gas">'[4]DEBT CALC'!#REF!</definedName>
    <definedName name="_xlnm.Print_Area" localSheetId="8">'ADJ SUMMARY'!$A$1:$F$45</definedName>
    <definedName name="_xlnm.Print_Area" localSheetId="9">'DEBT CALC'!$A$1:$I$54</definedName>
    <definedName name="_xlnm.Print_Area" localSheetId="4">'Exh. No. BGM 4 4'!$A$1:$AL$88</definedName>
    <definedName name="_xlnm.Print_Area" localSheetId="0">'Exh. No. BGM-4 1'!$A$1:$AF$50</definedName>
    <definedName name="_xlnm.Print_Area" localSheetId="1">'Exh. No. BGM-4 2'!$A$1:$H$41,'Exh. No. BGM-4 2'!$I$1:$N$20</definedName>
    <definedName name="_xlnm.Print_Area" localSheetId="2">'Exh. No. BGM-4 3'!$A$1:$E$29</definedName>
    <definedName name="_xlnm.Print_Area" localSheetId="7">'LEAD SHEETS-DO NOT ENTER'!$A$2:$AJ$82</definedName>
    <definedName name="_xlnm.Print_Area" localSheetId="12">'not used PROP0SED RATES-2018'!$A$2:$J$83</definedName>
    <definedName name="_xlnm.Print_Area" localSheetId="13">'not used PROP0SED RATES-2019'!$A$2:$K$83</definedName>
    <definedName name="_xlnm.Print_Area" localSheetId="11">'Recap Summary'!$A$1:$R$114</definedName>
    <definedName name="_xlnm.Print_Area" localSheetId="10">'ROO INPUT'!$A$3:$G$82</definedName>
    <definedName name="Print_for_CBReport" localSheetId="11">'Recap Summary'!$A$11:$I$101</definedName>
    <definedName name="Print_for_Checking" localSheetId="9">'[5]ADJ SUMMARY'!$A$1:'[5]ADJ SUMMARY'!#REF!</definedName>
    <definedName name="Print_for_Checking" localSheetId="0">'[3]ADJ SUMMARY'!#REF!:'[3]ADJ SUMMARY'!#REF!</definedName>
    <definedName name="Print_for_Checking" localSheetId="11">'Recap Summary'!$A$11:$I$101</definedName>
    <definedName name="Print_for_Checking">'[4]ADJ SUMMARY'!#REF!:'[4]ADJ SUMMARY'!#REF!</definedName>
    <definedName name="_xlnm.Print_Titles" localSheetId="4">'Exh. No. BGM 4 4'!$A:$D,'Exh. No. BGM 4 4'!$2:$11</definedName>
    <definedName name="_xlnm.Print_Titles" localSheetId="0">'Exh. No. BGM-4 1'!$A:$G</definedName>
    <definedName name="_xlnm.Print_Titles" localSheetId="7">'LEAD SHEETS-DO NOT ENTER'!$A:$D,'LEAD SHEETS-DO NOT ENTER'!$2:$11</definedName>
    <definedName name="RRC_Adjustment_Print" localSheetId="0">#REF!</definedName>
    <definedName name="RRC_Rate_Print" localSheetId="0">#REF!</definedName>
    <definedName name="Summary" localSheetId="9">#REF!</definedName>
    <definedName name="Summary" localSheetId="0">#REF!</definedName>
    <definedName name="Summary" localSheetId="7">#REF!</definedName>
    <definedName name="Summary">#REF!</definedName>
    <definedName name="WA_Elec" localSheetId="9">'DEBT CALC'!$A$1:$F$75</definedName>
    <definedName name="WA_Elec" localSheetId="1">[1]DebtCalc!#REF!</definedName>
    <definedName name="WA_Elec" localSheetId="2">[2]DebtCalc!#REF!</definedName>
    <definedName name="WA_Elec" localSheetId="7">#REF!</definedName>
    <definedName name="WA_Elec" localSheetId="12">[1]DebtCalc!#REF!</definedName>
    <definedName name="WA_Elec" localSheetId="13">[1]DebtCalc!#REF!</definedName>
    <definedName name="WA_Elec" localSheetId="11">#REF!</definedName>
    <definedName name="WA_Gas" localSheetId="9">'DEBT CALC'!#REF!</definedName>
    <definedName name="WA_Gas" localSheetId="0">'[3]DEBT CALC'!#REF!</definedName>
    <definedName name="WA_Gas" localSheetId="7">#REF!</definedName>
    <definedName name="WA_Gas">'[4]DEBT CALC'!#REF!</definedName>
    <definedName name="Z_5BE913A1_B14F_11D2_B0DC_0000832CDFF0_.wvu.Cols" localSheetId="4" hidden="1">'Exh. No. BGM 4 4'!$W:$AL</definedName>
    <definedName name="Z_5BE913A1_B14F_11D2_B0DC_0000832CDFF0_.wvu.Cols" localSheetId="7" hidden="1">'LEAD SHEETS-DO NOT ENTER'!$Y:$AA</definedName>
    <definedName name="Z_5BE913A1_B14F_11D2_B0DC_0000832CDFF0_.wvu.PrintArea" localSheetId="8" hidden="1">'ADJ SUMMARY'!$A$1:$G$45</definedName>
    <definedName name="Z_5BE913A1_B14F_11D2_B0DC_0000832CDFF0_.wvu.PrintArea" localSheetId="4" hidden="1">'Exh. No. BGM 4 4'!$E$12:$AL$83</definedName>
    <definedName name="Z_5BE913A1_B14F_11D2_B0DC_0000832CDFF0_.wvu.PrintArea" localSheetId="7" hidden="1">'LEAD SHEETS-DO NOT ENTER'!$E$12:$AA$83</definedName>
    <definedName name="Z_5BE913A1_B14F_11D2_B0DC_0000832CDFF0_.wvu.PrintArea" localSheetId="11" hidden="1">'Recap Summary'!$A$11:$I$101</definedName>
    <definedName name="Z_5BE913A1_B14F_11D2_B0DC_0000832CDFF0_.wvu.PrintArea" localSheetId="10" hidden="1">'ROO INPUT'!$A$3:$G$82</definedName>
    <definedName name="Z_5BE913A1_B14F_11D2_B0DC_0000832CDFF0_.wvu.PrintTitles" localSheetId="4" hidden="1">'Exh. No. BGM 4 4'!$A:$D,'Exh. No. BGM 4 4'!$2:$11</definedName>
    <definedName name="Z_5BE913A1_B14F_11D2_B0DC_0000832CDFF0_.wvu.PrintTitles" localSheetId="7" hidden="1">'LEAD SHEETS-DO NOT ENTER'!$A:$D,'LEAD SHEETS-DO NOT ENTER'!$2:$11</definedName>
    <definedName name="Z_5BE913A1_B14F_11D2_B0DC_0000832CDFF0_.wvu.Rows" localSheetId="8" hidden="1">'ADJ SUMMARY'!$26:$26,'ADJ SUMMARY'!$29:$45,'ADJ SUMMARY'!#REF!</definedName>
    <definedName name="Z_5BE913A1_B14F_11D2_B0DC_0000832CDFF0_.wvu.Rows" localSheetId="11" hidden="1">'Recap Summary'!$31:$31,'Recap Summary'!$35:$61,'Recap Summary'!$94:$95</definedName>
    <definedName name="Z_A15D1964_B049_11D2_8670_0000832CEEE8_.wvu.Cols" localSheetId="4" hidden="1">'Exh. No. BGM 4 4'!$W:$AL</definedName>
    <definedName name="Z_A15D1964_B049_11D2_8670_0000832CEEE8_.wvu.Cols" localSheetId="7" hidden="1">'LEAD SHEETS-DO NOT ENTER'!$Y:$AA</definedName>
    <definedName name="Z_A15D1964_B049_11D2_8670_0000832CEEE8_.wvu.PrintArea" localSheetId="8" hidden="1">'ADJ SUMMARY'!$A$1:$G$45</definedName>
    <definedName name="Z_A15D1964_B049_11D2_8670_0000832CEEE8_.wvu.PrintArea" localSheetId="4" hidden="1">'Exh. No. BGM 4 4'!$E$12:$AL$83</definedName>
    <definedName name="Z_A15D1964_B049_11D2_8670_0000832CEEE8_.wvu.PrintArea" localSheetId="7" hidden="1">'LEAD SHEETS-DO NOT ENTER'!$E$12:$AA$83</definedName>
    <definedName name="Z_A15D1964_B049_11D2_8670_0000832CEEE8_.wvu.PrintArea" localSheetId="11" hidden="1">'Recap Summary'!$A$11:$I$101</definedName>
    <definedName name="Z_A15D1964_B049_11D2_8670_0000832CEEE8_.wvu.PrintArea" localSheetId="10" hidden="1">'ROO INPUT'!$A$3:$G$82</definedName>
    <definedName name="Z_A15D1964_B049_11D2_8670_0000832CEEE8_.wvu.PrintTitles" localSheetId="4" hidden="1">'Exh. No. BGM 4 4'!$A:$D,'Exh. No. BGM 4 4'!$2:$11</definedName>
    <definedName name="Z_A15D1964_B049_11D2_8670_0000832CEEE8_.wvu.PrintTitles" localSheetId="7" hidden="1">'LEAD SHEETS-DO NOT ENTER'!$A:$D,'LEAD SHEETS-DO NOT ENTER'!$2:$11</definedName>
    <definedName name="Z_A15D1964_B049_11D2_8670_0000832CEEE8_.wvu.Rows" localSheetId="8" hidden="1">'ADJ SUMMARY'!$26:$26,'ADJ SUMMARY'!$29:$45,'ADJ SUMMARY'!#REF!</definedName>
    <definedName name="Z_A15D1964_B049_11D2_8670_0000832CEEE8_.wvu.Rows" localSheetId="11" hidden="1">'Recap Summary'!$31:$31,'Recap Summary'!$35:$61,'Recap Summary'!$94:$95</definedName>
  </definedNames>
  <calcPr calcId="171027" calcMode="manual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AJ10" i="79" l="1"/>
  <c r="M12" i="55" s="1"/>
  <c r="F14" i="80" l="1"/>
  <c r="F6" i="80" l="1"/>
  <c r="H6" i="80"/>
  <c r="Z44" i="1" l="1"/>
  <c r="Z40" i="1"/>
  <c r="Z39" i="1"/>
  <c r="Z34" i="1"/>
  <c r="Z23" i="1"/>
  <c r="W33" i="79"/>
  <c r="W41" i="79" l="1"/>
  <c r="AA41" i="79"/>
  <c r="AH74" i="1"/>
  <c r="F9" i="80" l="1"/>
  <c r="R44" i="79" l="1"/>
  <c r="AA43" i="79"/>
  <c r="R36" i="79"/>
  <c r="R16" i="79"/>
  <c r="R17" i="79"/>
  <c r="R25" i="79"/>
  <c r="R11" i="79"/>
  <c r="R12" i="79"/>
  <c r="R13" i="79"/>
  <c r="R19" i="79"/>
  <c r="R20" i="79"/>
  <c r="R21" i="79"/>
  <c r="R27" i="79"/>
  <c r="R10" i="79"/>
  <c r="P7" i="79"/>
  <c r="R7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K7" i="79"/>
  <c r="I7" i="79"/>
  <c r="F11" i="79"/>
  <c r="F12" i="79"/>
  <c r="F13" i="79"/>
  <c r="F14" i="79"/>
  <c r="F15" i="79"/>
  <c r="F16" i="79"/>
  <c r="F17" i="79"/>
  <c r="F18" i="79"/>
  <c r="F19" i="79"/>
  <c r="F20" i="79"/>
  <c r="F21" i="79"/>
  <c r="F22" i="79"/>
  <c r="F23" i="79"/>
  <c r="F24" i="79"/>
  <c r="F25" i="79"/>
  <c r="F26" i="79"/>
  <c r="F27" i="79"/>
  <c r="F10" i="79"/>
  <c r="R42" i="79"/>
  <c r="R41" i="79"/>
  <c r="R40" i="79"/>
  <c r="AA38" i="79"/>
  <c r="AA37" i="79"/>
  <c r="R26" i="79"/>
  <c r="R24" i="79"/>
  <c r="R23" i="79"/>
  <c r="R22" i="79"/>
  <c r="R18" i="79"/>
  <c r="AA15" i="79"/>
  <c r="AA29" i="79" s="1"/>
  <c r="R14" i="79"/>
  <c r="AK11" i="79"/>
  <c r="AI10" i="79"/>
  <c r="AI12" i="79" s="1"/>
  <c r="B10" i="79"/>
  <c r="B11" i="79" s="1"/>
  <c r="AI4" i="79"/>
  <c r="R37" i="79" l="1"/>
  <c r="R38" i="79"/>
  <c r="R43" i="79"/>
  <c r="R39" i="79"/>
  <c r="R15" i="79"/>
  <c r="R29" i="79" s="1"/>
  <c r="K29" i="79"/>
  <c r="K46" i="79" s="1"/>
  <c r="AK16" i="79" s="1"/>
  <c r="AA46" i="79"/>
  <c r="R32" i="79"/>
  <c r="R33" i="79"/>
  <c r="R34" i="79"/>
  <c r="R35" i="79"/>
  <c r="AK10" i="79"/>
  <c r="Y43" i="79" s="1"/>
  <c r="B12" i="79"/>
  <c r="AI8" i="76"/>
  <c r="AI9" i="76"/>
  <c r="AI10" i="76"/>
  <c r="AI12" i="76"/>
  <c r="AI15" i="76"/>
  <c r="AI16" i="76"/>
  <c r="AI17" i="76"/>
  <c r="AI22" i="76"/>
  <c r="AI23" i="76"/>
  <c r="AI24" i="76"/>
  <c r="AI28" i="76"/>
  <c r="AI29" i="76"/>
  <c r="AI30" i="76"/>
  <c r="AI34" i="76"/>
  <c r="AI35" i="76"/>
  <c r="AI36" i="76"/>
  <c r="AI39" i="76"/>
  <c r="AI40" i="76"/>
  <c r="AI41" i="76"/>
  <c r="AI44" i="76"/>
  <c r="AI48" i="76" s="1"/>
  <c r="AI45" i="76"/>
  <c r="AI46" i="76"/>
  <c r="AI47" i="76"/>
  <c r="AI56" i="76"/>
  <c r="AI57" i="76"/>
  <c r="AI63" i="76"/>
  <c r="AI66" i="76" s="1"/>
  <c r="AI64" i="76"/>
  <c r="AI65" i="76"/>
  <c r="AI69" i="76"/>
  <c r="AI70" i="76"/>
  <c r="AI71" i="76"/>
  <c r="AI74" i="76"/>
  <c r="AI76" i="76"/>
  <c r="AI77" i="76"/>
  <c r="AI78" i="76"/>
  <c r="AI79" i="76"/>
  <c r="Y26" i="79" l="1"/>
  <c r="Y18" i="79"/>
  <c r="P18" i="79" s="1"/>
  <c r="Y44" i="79"/>
  <c r="Y40" i="79"/>
  <c r="Y25" i="79"/>
  <c r="Y17" i="79"/>
  <c r="Y32" i="79"/>
  <c r="Y39" i="79"/>
  <c r="Y24" i="79"/>
  <c r="Y16" i="79"/>
  <c r="Y33" i="79"/>
  <c r="Y19" i="79"/>
  <c r="Y23" i="79"/>
  <c r="Y14" i="79"/>
  <c r="Y34" i="79"/>
  <c r="AK12" i="79"/>
  <c r="AC36" i="79" s="1"/>
  <c r="Y22" i="79"/>
  <c r="Y12" i="79"/>
  <c r="Y35" i="79"/>
  <c r="Y10" i="79"/>
  <c r="Y21" i="79"/>
  <c r="Y11" i="79"/>
  <c r="Y36" i="79"/>
  <c r="Y42" i="79"/>
  <c r="Y20" i="79"/>
  <c r="Y41" i="79"/>
  <c r="Y38" i="79"/>
  <c r="Y37" i="79"/>
  <c r="R46" i="79"/>
  <c r="B13" i="79"/>
  <c r="B14" i="79" s="1"/>
  <c r="AI25" i="76"/>
  <c r="AI72" i="76"/>
  <c r="AI73" i="76" s="1"/>
  <c r="AI75" i="76" s="1"/>
  <c r="AI82" i="76" s="1"/>
  <c r="AI37" i="76"/>
  <c r="AI18" i="76"/>
  <c r="AI31" i="76"/>
  <c r="AI49" i="76"/>
  <c r="AI51" i="76" s="1"/>
  <c r="AC22" i="79" l="1"/>
  <c r="AC38" i="79"/>
  <c r="AC24" i="79"/>
  <c r="AC39" i="79"/>
  <c r="AC12" i="79"/>
  <c r="AC37" i="79"/>
  <c r="AC44" i="79"/>
  <c r="AC42" i="79"/>
  <c r="AC17" i="79"/>
  <c r="AC25" i="79"/>
  <c r="AC32" i="79"/>
  <c r="AC14" i="79"/>
  <c r="T7" i="79"/>
  <c r="AC33" i="79"/>
  <c r="H12" i="80" s="1"/>
  <c r="AC41" i="79"/>
  <c r="H10" i="80" s="1"/>
  <c r="AC16" i="79"/>
  <c r="T18" i="79"/>
  <c r="AC19" i="79"/>
  <c r="AC27" i="79"/>
  <c r="H14" i="80" s="1"/>
  <c r="AC34" i="79"/>
  <c r="AC40" i="79"/>
  <c r="AC18" i="79"/>
  <c r="AC10" i="79"/>
  <c r="AC20" i="79"/>
  <c r="M7" i="79"/>
  <c r="AC35" i="79"/>
  <c r="AC23" i="79"/>
  <c r="AC43" i="79"/>
  <c r="H11" i="80" s="1"/>
  <c r="AC26" i="79"/>
  <c r="AC11" i="79"/>
  <c r="AC21" i="79"/>
  <c r="M18" i="79"/>
  <c r="B15" i="79"/>
  <c r="AD72" i="1"/>
  <c r="AD66" i="1"/>
  <c r="AD73" i="1" s="1"/>
  <c r="AD75" i="1" s="1"/>
  <c r="AD82" i="1" s="1"/>
  <c r="AD48" i="1"/>
  <c r="AD37" i="1"/>
  <c r="AD31" i="1"/>
  <c r="AD25" i="1"/>
  <c r="AD18" i="1"/>
  <c r="AB72" i="1"/>
  <c r="AB66" i="1"/>
  <c r="AB48" i="1"/>
  <c r="AB37" i="1"/>
  <c r="AB31" i="1"/>
  <c r="AB25" i="1"/>
  <c r="AB18" i="1"/>
  <c r="Z72" i="1"/>
  <c r="Z66" i="1"/>
  <c r="Z48" i="1"/>
  <c r="Z37" i="1"/>
  <c r="Z31" i="1"/>
  <c r="Z25" i="1"/>
  <c r="Z18" i="1"/>
  <c r="Z11" i="1"/>
  <c r="B16" i="79" l="1"/>
  <c r="B17" i="79" s="1"/>
  <c r="Z73" i="1"/>
  <c r="Z75" i="1" s="1"/>
  <c r="Z82" i="1" s="1"/>
  <c r="AD49" i="1"/>
  <c r="AD51" i="1" s="1"/>
  <c r="AB49" i="1"/>
  <c r="AB51" i="1" s="1"/>
  <c r="AB54" i="1" s="1"/>
  <c r="AB73" i="1"/>
  <c r="AB75" i="1" s="1"/>
  <c r="AB82" i="1" s="1"/>
  <c r="Z49" i="1"/>
  <c r="Z51" i="1" s="1"/>
  <c r="Z54" i="1" s="1"/>
  <c r="AD54" i="1"/>
  <c r="B18" i="79" l="1"/>
  <c r="B19" i="79" s="1"/>
  <c r="B20" i="79" s="1"/>
  <c r="C41" i="3"/>
  <c r="B41" i="75" s="1"/>
  <c r="B41" i="3"/>
  <c r="AJ72" i="1"/>
  <c r="AJ66" i="1"/>
  <c r="AJ48" i="1"/>
  <c r="AJ37" i="1"/>
  <c r="AJ31" i="1"/>
  <c r="AJ25" i="1"/>
  <c r="AJ18" i="1"/>
  <c r="B21" i="79" l="1"/>
  <c r="B22" i="79" s="1"/>
  <c r="B23" i="79" s="1"/>
  <c r="B24" i="79" s="1"/>
  <c r="B25" i="79" s="1"/>
  <c r="B26" i="79" s="1"/>
  <c r="B27" i="79" s="1"/>
  <c r="B29" i="79" s="1"/>
  <c r="B32" i="79" s="1"/>
  <c r="B33" i="79" s="1"/>
  <c r="B34" i="79" s="1"/>
  <c r="B35" i="79" s="1"/>
  <c r="B36" i="79" s="1"/>
  <c r="B37" i="79" s="1"/>
  <c r="AJ73" i="1"/>
  <c r="AJ75" i="1" s="1"/>
  <c r="AJ82" i="1" s="1"/>
  <c r="E41" i="3" s="1"/>
  <c r="F41" i="75" s="1"/>
  <c r="G41" i="75" s="1"/>
  <c r="AJ49" i="1"/>
  <c r="AJ51" i="1" s="1"/>
  <c r="AJ54" i="1" s="1"/>
  <c r="AI54" i="76" s="1"/>
  <c r="B38" i="79" l="1"/>
  <c r="B39" i="79" s="1"/>
  <c r="B40" i="79" s="1"/>
  <c r="B41" i="79" s="1"/>
  <c r="B42" i="79" s="1"/>
  <c r="B43" i="79" s="1"/>
  <c r="B44" i="79" s="1"/>
  <c r="B46" i="7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2" i="1"/>
  <c r="V66" i="1"/>
  <c r="V48" i="1"/>
  <c r="V37" i="1"/>
  <c r="V31" i="1"/>
  <c r="V25" i="1"/>
  <c r="V18" i="1"/>
  <c r="V73" i="1" l="1"/>
  <c r="V75" i="1" s="1"/>
  <c r="V82" i="1" s="1"/>
  <c r="E25" i="3" s="1"/>
  <c r="F28" i="75" s="1"/>
  <c r="G28" i="75" s="1"/>
  <c r="V49" i="1"/>
  <c r="V51" i="1" s="1"/>
  <c r="V54" i="1" s="1"/>
  <c r="V66" i="76"/>
  <c r="V25" i="76"/>
  <c r="V72" i="76"/>
  <c r="V31" i="76"/>
  <c r="V37" i="76"/>
  <c r="V48" i="76"/>
  <c r="V18" i="76"/>
  <c r="V54" i="76" l="1"/>
  <c r="V73" i="76"/>
  <c r="V75" i="76" s="1"/>
  <c r="V82" i="76" s="1"/>
  <c r="V49" i="76"/>
  <c r="V51" i="76" s="1"/>
  <c r="A3" i="76" l="1"/>
  <c r="F296" i="5" l="1"/>
  <c r="F297" i="5"/>
  <c r="AB8" i="76" l="1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T79" i="76"/>
  <c r="T78" i="76"/>
  <c r="T77" i="76"/>
  <c r="T76" i="76"/>
  <c r="T74" i="76"/>
  <c r="T71" i="76"/>
  <c r="T70" i="76"/>
  <c r="T69" i="76"/>
  <c r="T65" i="76"/>
  <c r="T64" i="76"/>
  <c r="T63" i="76"/>
  <c r="T57" i="76"/>
  <c r="T56" i="76"/>
  <c r="T47" i="76"/>
  <c r="T46" i="76"/>
  <c r="T45" i="76"/>
  <c r="T44" i="76"/>
  <c r="T41" i="76"/>
  <c r="T40" i="76"/>
  <c r="T39" i="76"/>
  <c r="T36" i="76"/>
  <c r="T35" i="76"/>
  <c r="T34" i="76"/>
  <c r="T30" i="76"/>
  <c r="T29" i="76"/>
  <c r="T28" i="76"/>
  <c r="T24" i="76"/>
  <c r="T23" i="76"/>
  <c r="T22" i="76"/>
  <c r="T17" i="76"/>
  <c r="T16" i="76"/>
  <c r="T15" i="76"/>
  <c r="T12" i="76"/>
  <c r="T10" i="76"/>
  <c r="T9" i="76"/>
  <c r="T8" i="76"/>
  <c r="T25" i="76" l="1"/>
  <c r="U18" i="76"/>
  <c r="T66" i="76"/>
  <c r="T18" i="76"/>
  <c r="AB66" i="76"/>
  <c r="T37" i="76"/>
  <c r="AB72" i="76"/>
  <c r="AB31" i="76"/>
  <c r="T31" i="76"/>
  <c r="U37" i="76"/>
  <c r="AB37" i="76"/>
  <c r="T48" i="76"/>
  <c r="U31" i="76"/>
  <c r="AB18" i="76"/>
  <c r="U25" i="76"/>
  <c r="AB48" i="76"/>
  <c r="AB25" i="76"/>
  <c r="T72" i="76"/>
  <c r="U48" i="76"/>
  <c r="U66" i="76"/>
  <c r="U72" i="76"/>
  <c r="AJ8" i="76"/>
  <c r="AJ9" i="76"/>
  <c r="AJ10" i="76"/>
  <c r="AJ12" i="76"/>
  <c r="AJ15" i="76"/>
  <c r="AJ16" i="76"/>
  <c r="AJ17" i="76"/>
  <c r="AJ22" i="76"/>
  <c r="AJ23" i="76"/>
  <c r="AJ24" i="76"/>
  <c r="AJ28" i="76"/>
  <c r="AJ29" i="76"/>
  <c r="AJ30" i="76"/>
  <c r="AJ34" i="76"/>
  <c r="AJ35" i="76"/>
  <c r="AJ36" i="76"/>
  <c r="AJ39" i="76"/>
  <c r="AJ40" i="76"/>
  <c r="AJ41" i="76"/>
  <c r="AJ44" i="76"/>
  <c r="AJ45" i="76"/>
  <c r="AJ46" i="76"/>
  <c r="AJ47" i="76"/>
  <c r="AJ56" i="76"/>
  <c r="AJ57" i="76"/>
  <c r="AJ63" i="76"/>
  <c r="AJ64" i="76"/>
  <c r="AJ65" i="76"/>
  <c r="AJ69" i="76"/>
  <c r="AJ70" i="76"/>
  <c r="AJ71" i="76"/>
  <c r="AJ74" i="76"/>
  <c r="AJ76" i="76"/>
  <c r="AJ77" i="76"/>
  <c r="AJ78" i="76"/>
  <c r="AJ79" i="76"/>
  <c r="AD8" i="76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B48" i="69"/>
  <c r="B47" i="69"/>
  <c r="C42" i="3"/>
  <c r="B42" i="75" s="1"/>
  <c r="B42" i="3"/>
  <c r="AK72" i="1"/>
  <c r="AK66" i="1"/>
  <c r="AK48" i="1"/>
  <c r="AK37" i="1"/>
  <c r="AK31" i="1"/>
  <c r="AK25" i="1"/>
  <c r="AK18" i="1"/>
  <c r="T49" i="76" l="1"/>
  <c r="T51" i="76" s="1"/>
  <c r="U73" i="76"/>
  <c r="U75" i="76" s="1"/>
  <c r="U82" i="76" s="1"/>
  <c r="T73" i="76"/>
  <c r="T75" i="76" s="1"/>
  <c r="T82" i="76" s="1"/>
  <c r="AB73" i="76"/>
  <c r="AB75" i="76" s="1"/>
  <c r="AB82" i="76" s="1"/>
  <c r="AB49" i="76"/>
  <c r="AB51" i="76" s="1"/>
  <c r="U49" i="76"/>
  <c r="U51" i="76" s="1"/>
  <c r="AK73" i="1"/>
  <c r="AK75" i="1" s="1"/>
  <c r="AK82" i="1" s="1"/>
  <c r="AD72" i="76"/>
  <c r="AJ66" i="76"/>
  <c r="AD66" i="76"/>
  <c r="AD25" i="76"/>
  <c r="AJ31" i="76"/>
  <c r="AD31" i="76"/>
  <c r="AJ37" i="76"/>
  <c r="AD37" i="76"/>
  <c r="AJ48" i="76"/>
  <c r="AJ18" i="76"/>
  <c r="AD48" i="76"/>
  <c r="AD18" i="76"/>
  <c r="AJ72" i="76"/>
  <c r="AJ25" i="76"/>
  <c r="AK49" i="1"/>
  <c r="AK51" i="1" s="1"/>
  <c r="AK54" i="1" s="1"/>
  <c r="AJ54" i="76" s="1"/>
  <c r="AA11" i="1"/>
  <c r="AB11" i="1" l="1"/>
  <c r="AC11" i="1" s="1"/>
  <c r="E42" i="3"/>
  <c r="F42" i="75" s="1"/>
  <c r="G42" i="75" s="1"/>
  <c r="I47" i="69"/>
  <c r="L47" i="69" s="1"/>
  <c r="AD49" i="76"/>
  <c r="AD51" i="76" s="1"/>
  <c r="AJ73" i="76"/>
  <c r="AJ75" i="76" s="1"/>
  <c r="AJ82" i="76" s="1"/>
  <c r="AD73" i="76"/>
  <c r="AD75" i="76" s="1"/>
  <c r="AD82" i="76" s="1"/>
  <c r="AJ49" i="76"/>
  <c r="AJ51" i="76" s="1"/>
  <c r="AD11" i="1" l="1"/>
  <c r="AE11" i="1" s="1"/>
  <c r="AB11" i="76"/>
  <c r="AF11" i="1"/>
  <c r="AG11" i="1" s="1"/>
  <c r="AH11" i="1" s="1"/>
  <c r="AI11" i="1" s="1"/>
  <c r="AJ11" i="1" s="1"/>
  <c r="AI11" i="76" s="1"/>
  <c r="AD11" i="76"/>
  <c r="I48" i="69"/>
  <c r="L48" i="69" s="1"/>
  <c r="AK11" i="1" l="1"/>
  <c r="A42" i="3" s="1"/>
  <c r="A42" i="75" s="1"/>
  <c r="A41" i="3"/>
  <c r="A41" i="75" s="1"/>
  <c r="AJ11" i="76" l="1"/>
  <c r="A47" i="69"/>
  <c r="A48" i="69"/>
  <c r="J72" i="77"/>
  <c r="J66" i="77"/>
  <c r="J73" i="77" s="1"/>
  <c r="J75" i="77" s="1"/>
  <c r="J81" i="77" s="1"/>
  <c r="J55" i="77"/>
  <c r="J31" i="77"/>
  <c r="J25" i="77"/>
  <c r="AK84" i="77" l="1"/>
  <c r="I72" i="77"/>
  <c r="I66" i="77"/>
  <c r="I55" i="77"/>
  <c r="I31" i="77"/>
  <c r="I25" i="77"/>
  <c r="A5" i="77"/>
  <c r="A4" i="77"/>
  <c r="A3" i="77"/>
  <c r="A2" i="77"/>
  <c r="I73" i="77" l="1"/>
  <c r="I75" i="77" s="1"/>
  <c r="I81" i="77" s="1"/>
  <c r="R39" i="1" l="1"/>
  <c r="R44" i="1"/>
  <c r="N14" i="55" l="1"/>
  <c r="L12" i="55" l="1"/>
  <c r="N12" i="55" s="1"/>
  <c r="AC25" i="1"/>
  <c r="AA48" i="1"/>
  <c r="AC37" i="1"/>
  <c r="B42" i="69" l="1"/>
  <c r="B32" i="69" l="1"/>
  <c r="AF8" i="76"/>
  <c r="X8" i="76"/>
  <c r="AG8" i="76"/>
  <c r="AH8" i="76"/>
  <c r="AF9" i="76"/>
  <c r="X9" i="76"/>
  <c r="AG9" i="76"/>
  <c r="AH9" i="76"/>
  <c r="AF10" i="76"/>
  <c r="X10" i="76"/>
  <c r="AG10" i="76"/>
  <c r="AH10" i="76"/>
  <c r="AF12" i="76"/>
  <c r="X12" i="76"/>
  <c r="AG12" i="76"/>
  <c r="AH12" i="76"/>
  <c r="AF15" i="76"/>
  <c r="X15" i="76"/>
  <c r="AG15" i="76"/>
  <c r="AH15" i="76"/>
  <c r="AF16" i="76"/>
  <c r="X16" i="76"/>
  <c r="AG16" i="76"/>
  <c r="AH16" i="76"/>
  <c r="AF17" i="76"/>
  <c r="X17" i="76"/>
  <c r="AG17" i="76"/>
  <c r="AH17" i="76"/>
  <c r="AF22" i="76"/>
  <c r="X22" i="76"/>
  <c r="AG22" i="76"/>
  <c r="AH22" i="76"/>
  <c r="AF23" i="76"/>
  <c r="X23" i="76"/>
  <c r="AG23" i="76"/>
  <c r="AH23" i="76"/>
  <c r="AF24" i="76"/>
  <c r="X24" i="76"/>
  <c r="AG24" i="76"/>
  <c r="AH24" i="76"/>
  <c r="AF28" i="76"/>
  <c r="X28" i="76"/>
  <c r="AG28" i="76"/>
  <c r="AH28" i="76"/>
  <c r="AF29" i="76"/>
  <c r="X29" i="76"/>
  <c r="AG29" i="76"/>
  <c r="AH29" i="76"/>
  <c r="AF30" i="76"/>
  <c r="X30" i="76"/>
  <c r="AG30" i="76"/>
  <c r="AH30" i="76"/>
  <c r="AF34" i="76"/>
  <c r="X34" i="76"/>
  <c r="AG34" i="76"/>
  <c r="AH34" i="76"/>
  <c r="AF35" i="76"/>
  <c r="X35" i="76"/>
  <c r="AG35" i="76"/>
  <c r="AH35" i="76"/>
  <c r="AF36" i="76"/>
  <c r="X36" i="76"/>
  <c r="AG36" i="76"/>
  <c r="AH36" i="76"/>
  <c r="AF39" i="76"/>
  <c r="X39" i="76"/>
  <c r="AG39" i="76"/>
  <c r="AH39" i="76"/>
  <c r="AF40" i="76"/>
  <c r="X40" i="76"/>
  <c r="AG40" i="76"/>
  <c r="AH40" i="76"/>
  <c r="AF41" i="76"/>
  <c r="X41" i="76"/>
  <c r="AG41" i="76"/>
  <c r="AH41" i="76"/>
  <c r="AF44" i="76"/>
  <c r="X44" i="76"/>
  <c r="AG44" i="76"/>
  <c r="AH44" i="76"/>
  <c r="AF45" i="76"/>
  <c r="X45" i="76"/>
  <c r="AG45" i="76"/>
  <c r="AH45" i="76"/>
  <c r="AF46" i="76"/>
  <c r="X46" i="76"/>
  <c r="AG46" i="76"/>
  <c r="AH46" i="76"/>
  <c r="AF47" i="76"/>
  <c r="X47" i="76"/>
  <c r="AG47" i="76"/>
  <c r="AH47" i="76"/>
  <c r="AF56" i="76"/>
  <c r="X56" i="76"/>
  <c r="AG56" i="76"/>
  <c r="AH56" i="76"/>
  <c r="AF57" i="76"/>
  <c r="X57" i="76"/>
  <c r="AG57" i="76"/>
  <c r="AH57" i="76"/>
  <c r="AF63" i="76"/>
  <c r="X63" i="76"/>
  <c r="AG63" i="76"/>
  <c r="AH63" i="76"/>
  <c r="AF64" i="76"/>
  <c r="X64" i="76"/>
  <c r="AG64" i="76"/>
  <c r="AH64" i="76"/>
  <c r="AF65" i="76"/>
  <c r="X65" i="76"/>
  <c r="AG65" i="76"/>
  <c r="AH65" i="76"/>
  <c r="AF69" i="76"/>
  <c r="X69" i="76"/>
  <c r="AG69" i="76"/>
  <c r="AH69" i="76"/>
  <c r="AF70" i="76"/>
  <c r="X70" i="76"/>
  <c r="AG70" i="76"/>
  <c r="AH70" i="76"/>
  <c r="AF71" i="76"/>
  <c r="X71" i="76"/>
  <c r="AG71" i="76"/>
  <c r="AH71" i="76"/>
  <c r="AF74" i="76"/>
  <c r="X74" i="76"/>
  <c r="AG74" i="76"/>
  <c r="AH74" i="76"/>
  <c r="AF76" i="76"/>
  <c r="X76" i="76"/>
  <c r="AG76" i="76"/>
  <c r="AH76" i="76"/>
  <c r="AF77" i="76"/>
  <c r="X77" i="76"/>
  <c r="AG77" i="76"/>
  <c r="AH77" i="76"/>
  <c r="AF78" i="76"/>
  <c r="X78" i="76"/>
  <c r="AG78" i="76"/>
  <c r="AH78" i="76"/>
  <c r="AF79" i="76"/>
  <c r="X79" i="76"/>
  <c r="AG79" i="76"/>
  <c r="AH79" i="76"/>
  <c r="C36" i="3"/>
  <c r="B36" i="75" s="1"/>
  <c r="B36" i="3"/>
  <c r="AE72" i="1"/>
  <c r="AE66" i="1"/>
  <c r="AE48" i="1"/>
  <c r="AE37" i="1"/>
  <c r="AE31" i="1"/>
  <c r="AE25" i="1"/>
  <c r="AE18" i="1"/>
  <c r="AE73" i="1" l="1"/>
  <c r="AE75" i="1" s="1"/>
  <c r="AE82" i="1" s="1"/>
  <c r="AE49" i="1"/>
  <c r="AE51" i="1" s="1"/>
  <c r="AE54" i="1" s="1"/>
  <c r="AD54" i="76" s="1"/>
  <c r="AF31" i="76"/>
  <c r="AH25" i="76"/>
  <c r="AF48" i="76"/>
  <c r="AH37" i="76"/>
  <c r="AF18" i="76"/>
  <c r="AH31" i="76"/>
  <c r="AG72" i="76"/>
  <c r="AH18" i="76"/>
  <c r="AH48" i="76"/>
  <c r="AF37" i="76"/>
  <c r="AF25" i="76"/>
  <c r="AG66" i="76"/>
  <c r="AG48" i="76"/>
  <c r="AG31" i="76"/>
  <c r="AG18" i="76"/>
  <c r="X48" i="76"/>
  <c r="X31" i="76"/>
  <c r="X18" i="76"/>
  <c r="AH66" i="76"/>
  <c r="AF66" i="76"/>
  <c r="AH72" i="76"/>
  <c r="AF72" i="76"/>
  <c r="X66" i="76"/>
  <c r="AG37" i="76"/>
  <c r="X37" i="76"/>
  <c r="AG25" i="76"/>
  <c r="X25" i="76"/>
  <c r="X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3" i="5"/>
  <c r="F17" i="5" s="1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54" i="5" s="1"/>
  <c r="F210" i="5"/>
  <c r="F56" i="5" s="1"/>
  <c r="F211" i="5"/>
  <c r="F57" i="5" s="1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46" i="5" l="1"/>
  <c r="F29" i="5"/>
  <c r="F23" i="5"/>
  <c r="F18" i="5"/>
  <c r="I42" i="69"/>
  <c r="L42" i="69" s="1"/>
  <c r="F45" i="5"/>
  <c r="F24" i="5"/>
  <c r="F48" i="5"/>
  <c r="E36" i="3"/>
  <c r="F36" i="75" s="1"/>
  <c r="G36" i="75" s="1"/>
  <c r="AG49" i="76"/>
  <c r="AG51" i="76" s="1"/>
  <c r="X49" i="76"/>
  <c r="X51" i="76" s="1"/>
  <c r="AG73" i="76"/>
  <c r="AG75" i="76" s="1"/>
  <c r="AG82" i="76" s="1"/>
  <c r="AF49" i="76"/>
  <c r="AF51" i="76" s="1"/>
  <c r="AH73" i="76"/>
  <c r="AH75" i="76" s="1"/>
  <c r="AH82" i="76" s="1"/>
  <c r="X73" i="76"/>
  <c r="X75" i="76" s="1"/>
  <c r="X82" i="76" s="1"/>
  <c r="AH49" i="76"/>
  <c r="AH51" i="76" s="1"/>
  <c r="AF73" i="76"/>
  <c r="AF75" i="76" s="1"/>
  <c r="AF82" i="76" s="1"/>
  <c r="F31" i="5"/>
  <c r="F37" i="5"/>
  <c r="F25" i="5" l="1"/>
  <c r="F49" i="5" s="1"/>
  <c r="F51" i="5" s="1"/>
  <c r="F59" i="5" s="1"/>
  <c r="Z8" i="76" l="1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Z25" i="76" l="1"/>
  <c r="Z18" i="76"/>
  <c r="Z48" i="76"/>
  <c r="Z66" i="76"/>
  <c r="Z37" i="76"/>
  <c r="Z31" i="76"/>
  <c r="Z72" i="76"/>
  <c r="AA37" i="1"/>
  <c r="Z73" i="76" l="1"/>
  <c r="Z75" i="76" s="1"/>
  <c r="Z82" i="76" s="1"/>
  <c r="Z49" i="76"/>
  <c r="Z51" i="76" s="1"/>
  <c r="AA34" i="76" l="1"/>
  <c r="AA39" i="76"/>
  <c r="AA40" i="76"/>
  <c r="AA44" i="76"/>
  <c r="AA41" i="76"/>
  <c r="Q35" i="76" l="1"/>
  <c r="AF44" i="1"/>
  <c r="AF39" i="1"/>
  <c r="AF36" i="1"/>
  <c r="S44" i="1"/>
  <c r="S39" i="1"/>
  <c r="S36" i="1"/>
  <c r="R36" i="1"/>
  <c r="M18" i="1"/>
  <c r="M25" i="1"/>
  <c r="M31" i="1"/>
  <c r="M37" i="1"/>
  <c r="M48" i="1"/>
  <c r="M66" i="1"/>
  <c r="M72" i="1"/>
  <c r="M49" i="1" l="1"/>
  <c r="M51" i="1" s="1"/>
  <c r="M54" i="1" s="1"/>
  <c r="M73" i="1"/>
  <c r="M75" i="1" s="1"/>
  <c r="M82" i="1" s="1"/>
  <c r="B44" i="69"/>
  <c r="B36" i="69"/>
  <c r="B29" i="69"/>
  <c r="C38" i="3"/>
  <c r="B38" i="75" s="1"/>
  <c r="C30" i="3"/>
  <c r="B30" i="75" s="1"/>
  <c r="B38" i="3"/>
  <c r="B30" i="3"/>
  <c r="C37" i="3"/>
  <c r="B37" i="75" s="1"/>
  <c r="B37" i="3"/>
  <c r="C22" i="3"/>
  <c r="B25" i="75" s="1"/>
  <c r="B22" i="3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Y72" i="1"/>
  <c r="Y66" i="1"/>
  <c r="Y48" i="1"/>
  <c r="Y37" i="1"/>
  <c r="Y31" i="1"/>
  <c r="Y25" i="1"/>
  <c r="Y18" i="1"/>
  <c r="Y73" i="1" l="1"/>
  <c r="Y75" i="1" s="1"/>
  <c r="Y82" i="1" s="1"/>
  <c r="I36" i="69" s="1"/>
  <c r="L36" i="69" s="1"/>
  <c r="Y49" i="1"/>
  <c r="Y51" i="1" s="1"/>
  <c r="S18" i="76"/>
  <c r="S48" i="76"/>
  <c r="S37" i="76"/>
  <c r="S66" i="76"/>
  <c r="S72" i="76"/>
  <c r="S25" i="76"/>
  <c r="S31" i="76"/>
  <c r="S72" i="1"/>
  <c r="S66" i="1"/>
  <c r="S48" i="1"/>
  <c r="S37" i="1"/>
  <c r="S31" i="1"/>
  <c r="S25" i="1"/>
  <c r="S18" i="1"/>
  <c r="E30" i="3" l="1"/>
  <c r="F30" i="75" s="1"/>
  <c r="G30" i="75" s="1"/>
  <c r="S73" i="1"/>
  <c r="S75" i="1" s="1"/>
  <c r="S82" i="1" s="1"/>
  <c r="S73" i="76"/>
  <c r="S75" i="76" s="1"/>
  <c r="S82" i="76" s="1"/>
  <c r="S49" i="76"/>
  <c r="S51" i="76" s="1"/>
  <c r="Y54" i="1"/>
  <c r="X54" i="76" s="1"/>
  <c r="S49" i="1"/>
  <c r="S51" i="1" s="1"/>
  <c r="E22" i="3" l="1"/>
  <c r="F25" i="75" s="1"/>
  <c r="G25" i="75" s="1"/>
  <c r="I29" i="69"/>
  <c r="L29" i="69" s="1"/>
  <c r="S54" i="1"/>
  <c r="S54" i="76" s="1"/>
  <c r="A3" i="54"/>
  <c r="B43" i="69" l="1"/>
  <c r="AE10" i="76"/>
  <c r="AE8" i="76"/>
  <c r="AE9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AF72" i="1"/>
  <c r="AF66" i="1"/>
  <c r="AF48" i="1"/>
  <c r="AF37" i="1"/>
  <c r="AF31" i="1"/>
  <c r="AF25" i="1"/>
  <c r="AF18" i="1"/>
  <c r="AF73" i="1" l="1"/>
  <c r="AF75" i="1" s="1"/>
  <c r="AF82" i="1" s="1"/>
  <c r="E37" i="3" s="1"/>
  <c r="F37" i="75" s="1"/>
  <c r="G37" i="75" s="1"/>
  <c r="AE25" i="76"/>
  <c r="AE18" i="76"/>
  <c r="AE31" i="76"/>
  <c r="AE72" i="76"/>
  <c r="AE37" i="76"/>
  <c r="AE66" i="76"/>
  <c r="AE48" i="76"/>
  <c r="AF49" i="1"/>
  <c r="AF51" i="1" s="1"/>
  <c r="AF54" i="1" l="1"/>
  <c r="AE54" i="76" s="1"/>
  <c r="I43" i="69"/>
  <c r="AE73" i="76"/>
  <c r="AE75" i="76" s="1"/>
  <c r="AE82" i="76" s="1"/>
  <c r="AE49" i="76"/>
  <c r="AE51" i="76" s="1"/>
  <c r="B41" i="69"/>
  <c r="C35" i="3"/>
  <c r="B35" i="75" s="1"/>
  <c r="B35" i="3"/>
  <c r="G8" i="76" l="1"/>
  <c r="H8" i="76"/>
  <c r="I8" i="76"/>
  <c r="J8" i="76"/>
  <c r="K8" i="76"/>
  <c r="L8" i="76"/>
  <c r="M8" i="76"/>
  <c r="N8" i="76"/>
  <c r="O8" i="76"/>
  <c r="P8" i="76"/>
  <c r="Q8" i="76"/>
  <c r="R8" i="76"/>
  <c r="W8" i="76"/>
  <c r="Y8" i="76"/>
  <c r="AA8" i="76"/>
  <c r="AC8" i="76"/>
  <c r="G9" i="76"/>
  <c r="H9" i="76"/>
  <c r="I9" i="76"/>
  <c r="J9" i="76"/>
  <c r="K9" i="76"/>
  <c r="L9" i="76"/>
  <c r="M9" i="76"/>
  <c r="N9" i="76"/>
  <c r="O9" i="76"/>
  <c r="P9" i="76"/>
  <c r="Q9" i="76"/>
  <c r="R9" i="76"/>
  <c r="W9" i="76"/>
  <c r="Y9" i="76"/>
  <c r="AA9" i="76"/>
  <c r="AC9" i="76"/>
  <c r="G10" i="76"/>
  <c r="I10" i="76"/>
  <c r="J10" i="76"/>
  <c r="M10" i="76"/>
  <c r="N10" i="76"/>
  <c r="O10" i="76"/>
  <c r="P10" i="76"/>
  <c r="R10" i="76"/>
  <c r="W10" i="76"/>
  <c r="Y10" i="76"/>
  <c r="AA10" i="76"/>
  <c r="AC10" i="76"/>
  <c r="I11" i="76"/>
  <c r="Y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W12" i="76"/>
  <c r="Y12" i="76"/>
  <c r="AA12" i="76"/>
  <c r="AC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W15" i="76"/>
  <c r="Y15" i="76"/>
  <c r="AA15" i="76"/>
  <c r="AC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W16" i="76"/>
  <c r="Y16" i="76"/>
  <c r="AA16" i="76"/>
  <c r="AC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W17" i="76"/>
  <c r="Y17" i="76"/>
  <c r="AA17" i="76"/>
  <c r="AC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W22" i="76"/>
  <c r="Y22" i="76"/>
  <c r="AA22" i="76"/>
  <c r="AC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W23" i="76"/>
  <c r="AA23" i="76"/>
  <c r="AC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W24" i="76"/>
  <c r="Y24" i="76"/>
  <c r="AA24" i="76"/>
  <c r="AC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W28" i="76"/>
  <c r="AA28" i="76"/>
  <c r="AC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W29" i="76"/>
  <c r="Y29" i="76"/>
  <c r="AA29" i="76"/>
  <c r="AC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W30" i="76"/>
  <c r="Y30" i="76"/>
  <c r="AA30" i="76"/>
  <c r="AC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W34" i="76"/>
  <c r="AC34" i="76"/>
  <c r="G35" i="76"/>
  <c r="H35" i="76"/>
  <c r="I35" i="76"/>
  <c r="J35" i="76"/>
  <c r="K35" i="76"/>
  <c r="L35" i="76"/>
  <c r="M35" i="76"/>
  <c r="N35" i="76"/>
  <c r="O35" i="76"/>
  <c r="P35" i="76"/>
  <c r="R35" i="76"/>
  <c r="W35" i="76"/>
  <c r="Y35" i="76"/>
  <c r="AA35" i="76"/>
  <c r="AC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W36" i="76"/>
  <c r="Y36" i="76"/>
  <c r="AA36" i="76"/>
  <c r="AC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W39" i="76"/>
  <c r="AC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W40" i="76"/>
  <c r="AC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W41" i="76"/>
  <c r="AC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W44" i="76"/>
  <c r="AC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W45" i="76"/>
  <c r="Y45" i="76"/>
  <c r="AA45" i="76"/>
  <c r="AC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W46" i="76"/>
  <c r="Y46" i="76"/>
  <c r="AA46" i="76"/>
  <c r="AC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W47" i="76"/>
  <c r="Y47" i="76"/>
  <c r="AA47" i="76"/>
  <c r="AC47" i="76"/>
  <c r="N54" i="76"/>
  <c r="N55" i="76"/>
  <c r="W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W56" i="76"/>
  <c r="Y56" i="76"/>
  <c r="AA56" i="76"/>
  <c r="AC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W57" i="76"/>
  <c r="Y57" i="76"/>
  <c r="AA57" i="76"/>
  <c r="AC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W63" i="76"/>
  <c r="Y63" i="76"/>
  <c r="AA63" i="76"/>
  <c r="AC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W64" i="76"/>
  <c r="Y64" i="76"/>
  <c r="AA64" i="76"/>
  <c r="AC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W65" i="76"/>
  <c r="Y65" i="76"/>
  <c r="AA65" i="76"/>
  <c r="AC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W69" i="76"/>
  <c r="Y69" i="76"/>
  <c r="AA69" i="76"/>
  <c r="AC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W70" i="76"/>
  <c r="Y70" i="76"/>
  <c r="AA70" i="76"/>
  <c r="AC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W71" i="76"/>
  <c r="Y71" i="76"/>
  <c r="AA71" i="76"/>
  <c r="AC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W74" i="76"/>
  <c r="Y74" i="76"/>
  <c r="AA74" i="76"/>
  <c r="AC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W76" i="76"/>
  <c r="Y76" i="76"/>
  <c r="AA76" i="76"/>
  <c r="AC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W77" i="76"/>
  <c r="Y77" i="76"/>
  <c r="AA77" i="76"/>
  <c r="AC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W78" i="76"/>
  <c r="Y78" i="76"/>
  <c r="AA78" i="76"/>
  <c r="AC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W79" i="76"/>
  <c r="Y79" i="76"/>
  <c r="AA79" i="76"/>
  <c r="AC79" i="76"/>
  <c r="G66" i="76" l="1"/>
  <c r="O18" i="76"/>
  <c r="I18" i="76"/>
  <c r="Y72" i="76"/>
  <c r="J72" i="76"/>
  <c r="N66" i="76"/>
  <c r="G18" i="76"/>
  <c r="H18" i="76"/>
  <c r="AC72" i="76"/>
  <c r="R72" i="76"/>
  <c r="N72" i="76"/>
  <c r="R66" i="76"/>
  <c r="J66" i="76"/>
  <c r="W72" i="76"/>
  <c r="W66" i="76"/>
  <c r="AC31" i="76"/>
  <c r="AC18" i="76"/>
  <c r="L18" i="76"/>
  <c r="AC37" i="76"/>
  <c r="H48" i="76"/>
  <c r="W48" i="76"/>
  <c r="R48" i="76"/>
  <c r="N48" i="76"/>
  <c r="J48" i="76"/>
  <c r="K72" i="76"/>
  <c r="G72" i="76"/>
  <c r="AC66" i="76"/>
  <c r="Y66" i="76"/>
  <c r="H25" i="76"/>
  <c r="W31" i="76"/>
  <c r="K18" i="76"/>
  <c r="G31" i="76"/>
  <c r="Q31" i="76"/>
  <c r="I31" i="76"/>
  <c r="H31" i="76"/>
  <c r="K48" i="76"/>
  <c r="G48" i="76"/>
  <c r="AA37" i="76"/>
  <c r="M37" i="76"/>
  <c r="I37" i="76"/>
  <c r="H37" i="76"/>
  <c r="I25" i="76"/>
  <c r="L48" i="76"/>
  <c r="I48" i="76"/>
  <c r="O37" i="76"/>
  <c r="G37" i="76"/>
  <c r="Q37" i="76"/>
  <c r="M31" i="76"/>
  <c r="AA18" i="76"/>
  <c r="O48" i="76"/>
  <c r="P37" i="76"/>
  <c r="L37" i="76"/>
  <c r="P31" i="76"/>
  <c r="L31" i="76"/>
  <c r="Q25" i="76"/>
  <c r="O25" i="76"/>
  <c r="G25" i="76"/>
  <c r="P48" i="76"/>
  <c r="K31" i="76"/>
  <c r="Q18" i="76"/>
  <c r="M18" i="76"/>
  <c r="Q48" i="76"/>
  <c r="W37" i="76"/>
  <c r="R37" i="76"/>
  <c r="N37" i="76"/>
  <c r="J37" i="76"/>
  <c r="L25" i="76"/>
  <c r="M25" i="76"/>
  <c r="P25" i="76"/>
  <c r="O31" i="76"/>
  <c r="K37" i="76"/>
  <c r="K25" i="76"/>
  <c r="P18" i="76"/>
  <c r="O66" i="76"/>
  <c r="K66" i="76"/>
  <c r="AA48" i="76"/>
  <c r="AA31" i="76"/>
  <c r="AA25" i="76"/>
  <c r="O72" i="76"/>
  <c r="M48" i="76"/>
  <c r="Q72" i="76"/>
  <c r="M72" i="76"/>
  <c r="I72" i="76"/>
  <c r="Q66" i="76"/>
  <c r="M66" i="76"/>
  <c r="I66" i="76"/>
  <c r="AA72" i="76"/>
  <c r="P66" i="76"/>
  <c r="L66" i="76"/>
  <c r="H66" i="76"/>
  <c r="AC48" i="76"/>
  <c r="W25" i="76"/>
  <c r="R25" i="76"/>
  <c r="N25" i="76"/>
  <c r="J25" i="76"/>
  <c r="W18" i="76"/>
  <c r="R18" i="76"/>
  <c r="N18" i="76"/>
  <c r="J18" i="76"/>
  <c r="P72" i="76"/>
  <c r="L72" i="76"/>
  <c r="H72" i="76"/>
  <c r="AA66" i="76"/>
  <c r="AC25" i="76"/>
  <c r="R31" i="76"/>
  <c r="N31" i="76"/>
  <c r="J31" i="76"/>
  <c r="Y18" i="76"/>
  <c r="J73" i="76" l="1"/>
  <c r="J75" i="76" s="1"/>
  <c r="J82" i="76" s="1"/>
  <c r="AC73" i="76"/>
  <c r="AC75" i="76" s="1"/>
  <c r="AC82" i="76" s="1"/>
  <c r="W73" i="76"/>
  <c r="W75" i="76" s="1"/>
  <c r="W82" i="76" s="1"/>
  <c r="G73" i="76"/>
  <c r="G75" i="76" s="1"/>
  <c r="G82" i="76" s="1"/>
  <c r="N73" i="76"/>
  <c r="N75" i="76" s="1"/>
  <c r="N82" i="76" s="1"/>
  <c r="R73" i="76"/>
  <c r="R75" i="76" s="1"/>
  <c r="R82" i="76" s="1"/>
  <c r="Y73" i="76"/>
  <c r="Y75" i="76" s="1"/>
  <c r="Y82" i="76" s="1"/>
  <c r="K73" i="76"/>
  <c r="K75" i="76" s="1"/>
  <c r="K82" i="76" s="1"/>
  <c r="K49" i="76"/>
  <c r="K51" i="76" s="1"/>
  <c r="H49" i="76"/>
  <c r="H51" i="76" s="1"/>
  <c r="Q49" i="76"/>
  <c r="Q51" i="76" s="1"/>
  <c r="W49" i="76"/>
  <c r="W51" i="76" s="1"/>
  <c r="L49" i="76"/>
  <c r="L51" i="76" s="1"/>
  <c r="I49" i="76"/>
  <c r="I51" i="76" s="1"/>
  <c r="M49" i="76"/>
  <c r="M51" i="76" s="1"/>
  <c r="G49" i="76"/>
  <c r="G51" i="76" s="1"/>
  <c r="O49" i="76"/>
  <c r="O51" i="76" s="1"/>
  <c r="P49" i="76"/>
  <c r="P51" i="76" s="1"/>
  <c r="AA73" i="76"/>
  <c r="AA75" i="76" s="1"/>
  <c r="AA82" i="76" s="1"/>
  <c r="P73" i="76"/>
  <c r="P75" i="76" s="1"/>
  <c r="P82" i="76" s="1"/>
  <c r="O73" i="76"/>
  <c r="O75" i="76" s="1"/>
  <c r="O82" i="76" s="1"/>
  <c r="AC49" i="76"/>
  <c r="AC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AA49" i="76"/>
  <c r="AA51" i="76" s="1"/>
  <c r="L73" i="76"/>
  <c r="L75" i="76" s="1"/>
  <c r="L82" i="76" s="1"/>
  <c r="H73" i="76"/>
  <c r="H75" i="76" s="1"/>
  <c r="H82" i="76" s="1"/>
  <c r="N49" i="76"/>
  <c r="N51" i="76" s="1"/>
  <c r="N59" i="76" s="1"/>
  <c r="Y44" i="76"/>
  <c r="Y48" i="76" s="1"/>
  <c r="Y39" i="76"/>
  <c r="Y34" i="76"/>
  <c r="Y37" i="76" s="1"/>
  <c r="Y41" i="76" l="1"/>
  <c r="Y40" i="76"/>
  <c r="Y28" i="76"/>
  <c r="Y31" i="76" s="1"/>
  <c r="Y23" i="76"/>
  <c r="Y25" i="76" s="1"/>
  <c r="I41" i="69" l="1"/>
  <c r="L41" i="69" s="1"/>
  <c r="Y49" i="76"/>
  <c r="Y51" i="76" s="1"/>
  <c r="F79" i="76"/>
  <c r="E35" i="3" l="1"/>
  <c r="F35" i="75" s="1"/>
  <c r="G35" i="75" s="1"/>
  <c r="AC54" i="76"/>
  <c r="F282" i="5"/>
  <c r="J11" i="1" l="1"/>
  <c r="J11" i="76" s="1"/>
  <c r="K11" i="1" l="1"/>
  <c r="K11" i="76" s="1"/>
  <c r="B20" i="69"/>
  <c r="B21" i="69"/>
  <c r="C13" i="3"/>
  <c r="B16" i="75" s="1"/>
  <c r="B13" i="3"/>
  <c r="L11" i="1" l="1"/>
  <c r="J72" i="1"/>
  <c r="J66" i="1"/>
  <c r="J48" i="1"/>
  <c r="J37" i="1"/>
  <c r="J31" i="1"/>
  <c r="J25" i="1"/>
  <c r="J18" i="1"/>
  <c r="L11" i="76" l="1"/>
  <c r="M11" i="1"/>
  <c r="M11" i="76" s="1"/>
  <c r="J73" i="1"/>
  <c r="J75" i="1" s="1"/>
  <c r="J82" i="1" s="1"/>
  <c r="E13" i="3" s="1"/>
  <c r="F16" i="75" s="1"/>
  <c r="G16" i="75" s="1"/>
  <c r="J49" i="1"/>
  <c r="J51" i="1" s="1"/>
  <c r="N11" i="1" l="1"/>
  <c r="N11" i="76" s="1"/>
  <c r="I20" i="69"/>
  <c r="J54" i="1"/>
  <c r="J54" i="76" s="1"/>
  <c r="O11" i="1" l="1"/>
  <c r="O11" i="76" s="1"/>
  <c r="P11" i="1" l="1"/>
  <c r="P11" i="76" s="1"/>
  <c r="AJ84" i="54"/>
  <c r="AB71" i="55"/>
  <c r="Q82" i="56"/>
  <c r="B46" i="69"/>
  <c r="B45" i="69"/>
  <c r="Q11" i="1" l="1"/>
  <c r="Q11" i="76" s="1"/>
  <c r="R11" i="1" l="1"/>
  <c r="S11" i="1" s="1"/>
  <c r="T11" i="1" s="1"/>
  <c r="C40" i="3"/>
  <c r="B40" i="75" s="1"/>
  <c r="B40" i="3"/>
  <c r="C39" i="3"/>
  <c r="B39" i="75" s="1"/>
  <c r="B39" i="3"/>
  <c r="AI72" i="1"/>
  <c r="AI66" i="1"/>
  <c r="AI48" i="1"/>
  <c r="AI37" i="1"/>
  <c r="AI31" i="1"/>
  <c r="AI25" i="1"/>
  <c r="AI18" i="1"/>
  <c r="AG72" i="1"/>
  <c r="AG66" i="1"/>
  <c r="AG48" i="1"/>
  <c r="AG37" i="1"/>
  <c r="AG31" i="1"/>
  <c r="AG25" i="1"/>
  <c r="AG18" i="1"/>
  <c r="AH72" i="1"/>
  <c r="AH66" i="1"/>
  <c r="AH48" i="1"/>
  <c r="AH37" i="1"/>
  <c r="AH31" i="1"/>
  <c r="AH25" i="1"/>
  <c r="AH18" i="1"/>
  <c r="AH73" i="1" l="1"/>
  <c r="AH75" i="1" s="1"/>
  <c r="AH82" i="1" s="1"/>
  <c r="T11" i="76"/>
  <c r="U11" i="1"/>
  <c r="V11" i="1" s="1"/>
  <c r="AI73" i="1"/>
  <c r="AI75" i="1" s="1"/>
  <c r="AI82" i="1" s="1"/>
  <c r="R11" i="76"/>
  <c r="AG73" i="1"/>
  <c r="AG75" i="1" s="1"/>
  <c r="AG82" i="1" s="1"/>
  <c r="AI49" i="1"/>
  <c r="AI51" i="1" s="1"/>
  <c r="AI54" i="1" s="1"/>
  <c r="AH54" i="76" s="1"/>
  <c r="AG49" i="1"/>
  <c r="AG51" i="1" s="1"/>
  <c r="AH49" i="1"/>
  <c r="AH51" i="1" s="1"/>
  <c r="AH54" i="1" s="1"/>
  <c r="AG54" i="76" s="1"/>
  <c r="A25" i="3" l="1"/>
  <c r="A28" i="75" s="1"/>
  <c r="W11" i="1"/>
  <c r="V11" i="76"/>
  <c r="U11" i="76"/>
  <c r="I44" i="69"/>
  <c r="L44" i="69" s="1"/>
  <c r="E38" i="3"/>
  <c r="F38" i="75" s="1"/>
  <c r="G38" i="75" s="1"/>
  <c r="A29" i="69"/>
  <c r="A22" i="3"/>
  <c r="A25" i="75" s="1"/>
  <c r="S11" i="76"/>
  <c r="I45" i="69"/>
  <c r="E40" i="3"/>
  <c r="F40" i="75" s="1"/>
  <c r="G40" i="75" s="1"/>
  <c r="I46" i="69"/>
  <c r="L46" i="69" s="1"/>
  <c r="L43" i="69"/>
  <c r="E39" i="3"/>
  <c r="F39" i="75" s="1"/>
  <c r="G39" i="75" s="1"/>
  <c r="AG54" i="1"/>
  <c r="AF54" i="76" s="1"/>
  <c r="A32" i="69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T37" i="1" l="1"/>
  <c r="T31" i="1"/>
  <c r="T25" i="1"/>
  <c r="T18" i="1"/>
  <c r="P37" i="1" l="1"/>
  <c r="O37" i="1"/>
  <c r="U37" i="1"/>
  <c r="Q37" i="1"/>
  <c r="P31" i="1"/>
  <c r="O31" i="1"/>
  <c r="U31" i="1"/>
  <c r="Q31" i="1"/>
  <c r="P25" i="1"/>
  <c r="O25" i="1"/>
  <c r="U25" i="1"/>
  <c r="Q25" i="1"/>
  <c r="P18" i="1"/>
  <c r="O18" i="1"/>
  <c r="U18" i="1"/>
  <c r="Q18" i="1"/>
  <c r="G49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28" i="5"/>
  <c r="F229" i="5"/>
  <c r="F63" i="5" s="1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64" i="5" s="1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65" i="5" s="1"/>
  <c r="F259" i="5"/>
  <c r="F260" i="5"/>
  <c r="F261" i="5"/>
  <c r="F262" i="5"/>
  <c r="F263" i="5"/>
  <c r="F264" i="5"/>
  <c r="F265" i="5"/>
  <c r="F70" i="5" s="1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3" i="5"/>
  <c r="F284" i="5"/>
  <c r="F285" i="5"/>
  <c r="F74" i="5" s="1"/>
  <c r="F286" i="5"/>
  <c r="F287" i="5"/>
  <c r="F289" i="5"/>
  <c r="F290" i="5"/>
  <c r="F291" i="5"/>
  <c r="F292" i="5"/>
  <c r="F293" i="5"/>
  <c r="F294" i="5"/>
  <c r="F78" i="5" s="1"/>
  <c r="F295" i="5"/>
  <c r="F298" i="5"/>
  <c r="F79" i="5" s="1"/>
  <c r="F299" i="5"/>
  <c r="F300" i="5"/>
  <c r="F301" i="5"/>
  <c r="F302" i="5"/>
  <c r="G73" i="5" l="1"/>
  <c r="G75" i="5" s="1"/>
  <c r="G82" i="5" s="1"/>
  <c r="F66" i="5"/>
  <c r="F76" i="5"/>
  <c r="E76" i="5" s="1"/>
  <c r="F71" i="5"/>
  <c r="E78" i="5"/>
  <c r="F77" i="5"/>
  <c r="E77" i="5" s="1"/>
  <c r="F69" i="5"/>
  <c r="G49" i="5"/>
  <c r="G51" i="5" s="1"/>
  <c r="G59" i="5" s="1"/>
  <c r="E46" i="1"/>
  <c r="E46" i="76" s="1"/>
  <c r="F82" i="76"/>
  <c r="E79" i="5"/>
  <c r="I55" i="54"/>
  <c r="I72" i="54"/>
  <c r="I66" i="54"/>
  <c r="I31" i="54"/>
  <c r="I25" i="54"/>
  <c r="E79" i="1"/>
  <c r="E74" i="5"/>
  <c r="E55" i="1"/>
  <c r="AC18" i="1"/>
  <c r="W18" i="1"/>
  <c r="F18" i="1"/>
  <c r="G18" i="1"/>
  <c r="H18" i="1"/>
  <c r="R18" i="1"/>
  <c r="I18" i="1"/>
  <c r="K18" i="1"/>
  <c r="L18" i="1"/>
  <c r="N18" i="1"/>
  <c r="F72" i="5" l="1"/>
  <c r="F73" i="5" s="1"/>
  <c r="F75" i="5" s="1"/>
  <c r="F82" i="5" s="1"/>
  <c r="F84" i="5" s="1"/>
  <c r="E46" i="5"/>
  <c r="E77" i="1"/>
  <c r="E77" i="76" s="1"/>
  <c r="E78" i="1"/>
  <c r="X78" i="1" s="1"/>
  <c r="I73" i="54"/>
  <c r="I75" i="54" s="1"/>
  <c r="I81" i="54" s="1"/>
  <c r="F79" i="54"/>
  <c r="E79" i="76"/>
  <c r="X46" i="1"/>
  <c r="F46" i="54"/>
  <c r="F55" i="54"/>
  <c r="E55" i="76"/>
  <c r="F77" i="54" l="1"/>
  <c r="E78" i="76"/>
  <c r="F78" i="54"/>
  <c r="A4" i="75"/>
  <c r="A79" i="75" s="1"/>
  <c r="B33" i="3"/>
  <c r="B32" i="3"/>
  <c r="B31" i="3"/>
  <c r="B26" i="3"/>
  <c r="B34" i="3"/>
  <c r="B23" i="3"/>
  <c r="B19" i="3"/>
  <c r="B18" i="3"/>
  <c r="B24" i="3"/>
  <c r="B20" i="3"/>
  <c r="B17" i="3"/>
  <c r="B16" i="3"/>
  <c r="B15" i="3"/>
  <c r="B14" i="3"/>
  <c r="B12" i="3"/>
  <c r="B21" i="3"/>
  <c r="B11" i="3"/>
  <c r="B10" i="3"/>
  <c r="B9" i="3"/>
  <c r="B8" i="3"/>
  <c r="C137" i="75"/>
  <c r="C136" i="75"/>
  <c r="F123" i="75"/>
  <c r="B123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3" i="75"/>
  <c r="B113" i="75"/>
  <c r="A113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B86" i="75"/>
  <c r="A86" i="75"/>
  <c r="F85" i="75"/>
  <c r="B85" i="75"/>
  <c r="A85" i="75"/>
  <c r="F84" i="75"/>
  <c r="B84" i="75"/>
  <c r="A84" i="75"/>
  <c r="F83" i="75"/>
  <c r="F121" i="75" s="1"/>
  <c r="B83" i="75"/>
  <c r="A83" i="75"/>
  <c r="A77" i="75"/>
  <c r="A76" i="75"/>
  <c r="C74" i="75"/>
  <c r="C152" i="75" s="1"/>
  <c r="C73" i="75"/>
  <c r="C151" i="75" s="1"/>
  <c r="C70" i="75"/>
  <c r="C148" i="75" s="1"/>
  <c r="C69" i="75"/>
  <c r="C147" i="75" s="1"/>
  <c r="C66" i="75"/>
  <c r="C144" i="75" s="1"/>
  <c r="C65" i="75"/>
  <c r="C143" i="75" s="1"/>
  <c r="C64" i="75"/>
  <c r="C142" i="75" s="1"/>
  <c r="C60" i="75"/>
  <c r="E67" i="75" s="1"/>
  <c r="I10" i="75"/>
  <c r="F125" i="75" l="1"/>
  <c r="F129" i="75" s="1"/>
  <c r="F132" i="75" s="1"/>
  <c r="C75" i="75"/>
  <c r="D74" i="75" s="1"/>
  <c r="C138" i="75"/>
  <c r="E145" i="75" s="1"/>
  <c r="C145" i="75"/>
  <c r="D144" i="75" s="1"/>
  <c r="C149" i="75"/>
  <c r="D148" i="75" s="1"/>
  <c r="C153" i="75"/>
  <c r="D151" i="75" s="1"/>
  <c r="D153" i="75" s="1"/>
  <c r="C71" i="75"/>
  <c r="D69" i="75" s="1"/>
  <c r="C67" i="75"/>
  <c r="D65" i="75" s="1"/>
  <c r="E65" i="75" s="1"/>
  <c r="E75" i="75" s="1"/>
  <c r="D70" i="75" l="1"/>
  <c r="D71" i="75" s="1"/>
  <c r="D143" i="75"/>
  <c r="D73" i="75"/>
  <c r="D75" i="75" s="1"/>
  <c r="D142" i="75"/>
  <c r="E142" i="75" s="1"/>
  <c r="E149" i="75" s="1"/>
  <c r="E148" i="75" s="1"/>
  <c r="E144" i="75"/>
  <c r="D152" i="75"/>
  <c r="E74" i="75"/>
  <c r="D66" i="75"/>
  <c r="E66" i="75" s="1"/>
  <c r="D64" i="75"/>
  <c r="D147" i="75"/>
  <c r="D145" i="75" l="1"/>
  <c r="E143" i="75"/>
  <c r="E153" i="75" s="1"/>
  <c r="E151" i="75" s="1"/>
  <c r="E73" i="75"/>
  <c r="D67" i="75"/>
  <c r="E64" i="75"/>
  <c r="E71" i="75" s="1"/>
  <c r="E147" i="75"/>
  <c r="D149" i="75"/>
  <c r="E152" i="75" l="1"/>
  <c r="E69" i="75"/>
  <c r="E70" i="75"/>
  <c r="F25" i="1" l="1"/>
  <c r="G25" i="1"/>
  <c r="H25" i="1"/>
  <c r="R25" i="1"/>
  <c r="I25" i="1"/>
  <c r="K25" i="1"/>
  <c r="L25" i="1"/>
  <c r="N25" i="1"/>
  <c r="W25" i="1"/>
  <c r="AA25" i="1"/>
  <c r="AA18" i="1"/>
  <c r="X43" i="1" l="1"/>
  <c r="A4" i="54"/>
  <c r="A5" i="54"/>
  <c r="A2" i="54"/>
  <c r="A5" i="1"/>
  <c r="A4" i="76" s="1"/>
  <c r="A6" i="1"/>
  <c r="A5" i="76" s="1"/>
  <c r="F11" i="1"/>
  <c r="A1" i="3" l="1"/>
  <c r="A2" i="76"/>
  <c r="Z11" i="76"/>
  <c r="C4" i="56"/>
  <c r="A4" i="3"/>
  <c r="A4" i="55"/>
  <c r="G11" i="1"/>
  <c r="G11" i="76" s="1"/>
  <c r="F11" i="76"/>
  <c r="AA11" i="76" l="1"/>
  <c r="H11" i="1"/>
  <c r="H11" i="76" s="1"/>
  <c r="A42" i="69" l="1"/>
  <c r="A36" i="3"/>
  <c r="A36" i="75" s="1"/>
  <c r="A44" i="69"/>
  <c r="A37" i="3"/>
  <c r="A37" i="75" s="1"/>
  <c r="AE11" i="76"/>
  <c r="A43" i="69"/>
  <c r="A38" i="3"/>
  <c r="A38" i="75" s="1"/>
  <c r="E28" i="5"/>
  <c r="E34" i="5"/>
  <c r="AF11" i="76" l="1"/>
  <c r="A35" i="3"/>
  <c r="A35" i="75" s="1"/>
  <c r="A41" i="69"/>
  <c r="AC11" i="76"/>
  <c r="X11" i="76" l="1"/>
  <c r="A30" i="3"/>
  <c r="A30" i="75" s="1"/>
  <c r="A36" i="69"/>
  <c r="C34" i="3"/>
  <c r="B34" i="75" s="1"/>
  <c r="B40" i="69"/>
  <c r="AC72" i="1" l="1"/>
  <c r="AC31" i="1"/>
  <c r="AC48" i="1"/>
  <c r="AC66" i="1"/>
  <c r="X77" i="1"/>
  <c r="A39" i="3" l="1"/>
  <c r="A39" i="75" s="1"/>
  <c r="AG11" i="76"/>
  <c r="A45" i="69"/>
  <c r="AC73" i="1"/>
  <c r="AC75" i="1" s="1"/>
  <c r="AC82" i="1" s="1"/>
  <c r="AC49" i="1"/>
  <c r="AC51" i="1" s="1"/>
  <c r="AC54" i="1" s="1"/>
  <c r="AB54" i="76" s="1"/>
  <c r="X79" i="1"/>
  <c r="E21" i="56"/>
  <c r="E23" i="56" s="1"/>
  <c r="A40" i="3" l="1"/>
  <c r="A40" i="75" s="1"/>
  <c r="A46" i="69"/>
  <c r="AH11" i="76"/>
  <c r="I40" i="69"/>
  <c r="L40" i="69" s="1"/>
  <c r="E34" i="3"/>
  <c r="F34" i="75" s="1"/>
  <c r="G34" i="75" s="1"/>
  <c r="E25" i="56"/>
  <c r="E27" i="56" s="1"/>
  <c r="E63" i="1"/>
  <c r="E63" i="76" s="1"/>
  <c r="E69" i="1"/>
  <c r="E69" i="76" s="1"/>
  <c r="E70" i="1"/>
  <c r="E74" i="1"/>
  <c r="E76" i="1"/>
  <c r="E76" i="76" s="1"/>
  <c r="E15" i="1"/>
  <c r="X15" i="1" s="1"/>
  <c r="E22" i="1"/>
  <c r="E22" i="76" s="1"/>
  <c r="E23" i="1"/>
  <c r="E23" i="76" s="1"/>
  <c r="E28" i="1"/>
  <c r="E30" i="1"/>
  <c r="E30" i="76" s="1"/>
  <c r="E34" i="1"/>
  <c r="E34" i="76" s="1"/>
  <c r="E35" i="1"/>
  <c r="E35" i="76" s="1"/>
  <c r="E36" i="1"/>
  <c r="E39" i="1"/>
  <c r="E39" i="76" s="1"/>
  <c r="E40" i="1"/>
  <c r="E40" i="76" s="1"/>
  <c r="E41" i="1"/>
  <c r="E44" i="1"/>
  <c r="E47" i="1"/>
  <c r="E54" i="1"/>
  <c r="E54" i="76" s="1"/>
  <c r="E56" i="1"/>
  <c r="E57" i="1"/>
  <c r="L56" i="69"/>
  <c r="K56" i="69"/>
  <c r="L55" i="69"/>
  <c r="K55" i="69"/>
  <c r="L54" i="69"/>
  <c r="K54" i="69"/>
  <c r="L53" i="69"/>
  <c r="K53" i="69"/>
  <c r="F106" i="69"/>
  <c r="F99" i="69"/>
  <c r="E99" i="69"/>
  <c r="F91" i="69"/>
  <c r="F76" i="69"/>
  <c r="E76" i="69"/>
  <c r="F75" i="69"/>
  <c r="E75" i="69"/>
  <c r="B106" i="69"/>
  <c r="A106" i="69"/>
  <c r="B105" i="69"/>
  <c r="A105" i="69"/>
  <c r="I104" i="69"/>
  <c r="B104" i="69"/>
  <c r="A104" i="69"/>
  <c r="B103" i="69"/>
  <c r="A103" i="69"/>
  <c r="B102" i="69"/>
  <c r="A102" i="69"/>
  <c r="B101" i="69"/>
  <c r="A101" i="69"/>
  <c r="B100" i="69"/>
  <c r="A100" i="69"/>
  <c r="B99" i="69"/>
  <c r="A99" i="69"/>
  <c r="I93" i="69"/>
  <c r="B93" i="69"/>
  <c r="A93" i="69"/>
  <c r="B92" i="69"/>
  <c r="A92" i="69"/>
  <c r="B91" i="69"/>
  <c r="A91" i="69"/>
  <c r="B90" i="69"/>
  <c r="A90" i="69"/>
  <c r="I89" i="69"/>
  <c r="B89" i="69"/>
  <c r="A89" i="69"/>
  <c r="B88" i="69"/>
  <c r="A88" i="69"/>
  <c r="B87" i="69"/>
  <c r="A87" i="69"/>
  <c r="B86" i="69"/>
  <c r="A86" i="69"/>
  <c r="B85" i="69"/>
  <c r="A85" i="69"/>
  <c r="B84" i="69"/>
  <c r="A84" i="69"/>
  <c r="B80" i="69"/>
  <c r="A80" i="69"/>
  <c r="B79" i="69"/>
  <c r="A79" i="69"/>
  <c r="B78" i="69"/>
  <c r="A78" i="69"/>
  <c r="B77" i="69"/>
  <c r="A77" i="69"/>
  <c r="B76" i="69"/>
  <c r="A76" i="69"/>
  <c r="B75" i="69"/>
  <c r="A75" i="69"/>
  <c r="C66" i="69"/>
  <c r="B39" i="69"/>
  <c r="A39" i="69"/>
  <c r="B38" i="69"/>
  <c r="A38" i="69"/>
  <c r="B37" i="69"/>
  <c r="A37" i="69"/>
  <c r="B31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70" i="69"/>
  <c r="C23" i="3"/>
  <c r="B26" i="75" s="1"/>
  <c r="A33" i="3"/>
  <c r="A33" i="75" s="1"/>
  <c r="C33" i="3"/>
  <c r="B33" i="75" s="1"/>
  <c r="A32" i="3"/>
  <c r="A32" i="75" s="1"/>
  <c r="C32" i="3"/>
  <c r="B32" i="75" s="1"/>
  <c r="E71" i="1"/>
  <c r="E64" i="1"/>
  <c r="E64" i="76" s="1"/>
  <c r="E65" i="1"/>
  <c r="E65" i="76" s="1"/>
  <c r="E45" i="1"/>
  <c r="E45" i="76" s="1"/>
  <c r="E29" i="1"/>
  <c r="E29" i="76" s="1"/>
  <c r="E24" i="1"/>
  <c r="E24" i="76" s="1"/>
  <c r="E16" i="1"/>
  <c r="E16" i="76" s="1"/>
  <c r="A31" i="3"/>
  <c r="A31" i="75" s="1"/>
  <c r="C31" i="3"/>
  <c r="B31" i="75" s="1"/>
  <c r="A10" i="3"/>
  <c r="A13" i="75" s="1"/>
  <c r="C10" i="3"/>
  <c r="B13" i="75" s="1"/>
  <c r="A11" i="3"/>
  <c r="A14" i="75" s="1"/>
  <c r="C11" i="3"/>
  <c r="B14" i="75" s="1"/>
  <c r="C21" i="3"/>
  <c r="B24" i="75" s="1"/>
  <c r="C12" i="3"/>
  <c r="B15" i="75" s="1"/>
  <c r="C14" i="3"/>
  <c r="B17" i="75" s="1"/>
  <c r="C15" i="3"/>
  <c r="B18" i="75" s="1"/>
  <c r="C16" i="3"/>
  <c r="B19" i="75" s="1"/>
  <c r="C17" i="3"/>
  <c r="B20" i="75" s="1"/>
  <c r="C20" i="3"/>
  <c r="B23" i="75" s="1"/>
  <c r="C24" i="3"/>
  <c r="B27" i="75" s="1"/>
  <c r="C18" i="3"/>
  <c r="B21" i="75" s="1"/>
  <c r="C19" i="3"/>
  <c r="B22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41" i="76" l="1"/>
  <c r="F41" i="77"/>
  <c r="F21" i="55"/>
  <c r="G21" i="55" s="1"/>
  <c r="H21" i="55" s="1"/>
  <c r="E15" i="76"/>
  <c r="AL15" i="1"/>
  <c r="X71" i="1"/>
  <c r="E71" i="76"/>
  <c r="X57" i="1"/>
  <c r="E57" i="76"/>
  <c r="F44" i="54"/>
  <c r="E44" i="76"/>
  <c r="X36" i="1"/>
  <c r="E36" i="76"/>
  <c r="E37" i="76" s="1"/>
  <c r="F28" i="54"/>
  <c r="E28" i="76"/>
  <c r="E66" i="76"/>
  <c r="X74" i="1"/>
  <c r="E74" i="76"/>
  <c r="X47" i="1"/>
  <c r="E47" i="76"/>
  <c r="X56" i="1"/>
  <c r="E56" i="76"/>
  <c r="E25" i="76"/>
  <c r="X70" i="1"/>
  <c r="E70" i="76"/>
  <c r="F74" i="54"/>
  <c r="F36" i="54"/>
  <c r="F57" i="54"/>
  <c r="X76" i="1"/>
  <c r="F76" i="54"/>
  <c r="H29" i="5"/>
  <c r="E31" i="5"/>
  <c r="H31" i="5" s="1"/>
  <c r="X69" i="1"/>
  <c r="E72" i="1"/>
  <c r="E25" i="1"/>
  <c r="E48" i="1"/>
  <c r="E66" i="1"/>
  <c r="X44" i="1"/>
  <c r="X28" i="1"/>
  <c r="E31" i="1"/>
  <c r="F29" i="54"/>
  <c r="X29" i="1"/>
  <c r="F47" i="54"/>
  <c r="F39" i="54"/>
  <c r="X39" i="1"/>
  <c r="F30" i="54"/>
  <c r="X30" i="1"/>
  <c r="F24" i="54"/>
  <c r="X24" i="1"/>
  <c r="F64" i="54"/>
  <c r="X64" i="1"/>
  <c r="F54" i="54"/>
  <c r="F40" i="54"/>
  <c r="X40" i="1"/>
  <c r="F34" i="54"/>
  <c r="X34" i="1"/>
  <c r="F22" i="54"/>
  <c r="X22" i="1"/>
  <c r="AL22" i="1" s="1"/>
  <c r="F65" i="54"/>
  <c r="X65" i="1"/>
  <c r="F41" i="54"/>
  <c r="X41" i="1"/>
  <c r="F35" i="54"/>
  <c r="X35" i="1"/>
  <c r="F23" i="54"/>
  <c r="X23" i="1"/>
  <c r="F63" i="54"/>
  <c r="X63" i="1"/>
  <c r="F16" i="54"/>
  <c r="X16" i="1"/>
  <c r="F45" i="54"/>
  <c r="X45" i="1"/>
  <c r="F15" i="54"/>
  <c r="F56" i="54"/>
  <c r="W48" i="1"/>
  <c r="F69" i="54"/>
  <c r="R72" i="1"/>
  <c r="F71" i="54"/>
  <c r="E66" i="5"/>
  <c r="E48" i="5"/>
  <c r="H48" i="5" s="1"/>
  <c r="E18" i="5"/>
  <c r="H18" i="5" s="1"/>
  <c r="H17" i="5"/>
  <c r="E72" i="5"/>
  <c r="H72" i="5" s="1"/>
  <c r="E25" i="5"/>
  <c r="K48" i="1"/>
  <c r="N48" i="1"/>
  <c r="F70" i="54"/>
  <c r="N31" i="1"/>
  <c r="T48" i="1"/>
  <c r="T49" i="1" s="1"/>
  <c r="G37" i="1"/>
  <c r="L31" i="1"/>
  <c r="G31" i="1"/>
  <c r="L37" i="1"/>
  <c r="I37" i="1"/>
  <c r="F31" i="1"/>
  <c r="R37" i="1"/>
  <c r="K37" i="1"/>
  <c r="L48" i="1"/>
  <c r="Q48" i="1"/>
  <c r="U48" i="1"/>
  <c r="O48" i="1"/>
  <c r="P48" i="1"/>
  <c r="T72" i="1"/>
  <c r="P66" i="1"/>
  <c r="L66" i="1"/>
  <c r="H66" i="1"/>
  <c r="R31" i="1"/>
  <c r="I31" i="1"/>
  <c r="AA31" i="1"/>
  <c r="L72" i="1"/>
  <c r="H72" i="1"/>
  <c r="E37" i="1"/>
  <c r="F48" i="1"/>
  <c r="F37" i="1"/>
  <c r="H48" i="1"/>
  <c r="H37" i="1"/>
  <c r="K31" i="1"/>
  <c r="N37" i="1"/>
  <c r="P72" i="1"/>
  <c r="O66" i="1"/>
  <c r="U72" i="1"/>
  <c r="N72" i="1"/>
  <c r="I92" i="69"/>
  <c r="F104" i="69"/>
  <c r="I102" i="69"/>
  <c r="W37" i="1"/>
  <c r="W72" i="1"/>
  <c r="U66" i="1"/>
  <c r="Q72" i="1"/>
  <c r="K72" i="1"/>
  <c r="R66" i="1"/>
  <c r="F66" i="1"/>
  <c r="E37" i="5"/>
  <c r="H37" i="5" s="1"/>
  <c r="W31" i="1"/>
  <c r="H31" i="1"/>
  <c r="W66" i="1"/>
  <c r="Q66" i="1"/>
  <c r="F72" i="1"/>
  <c r="F78" i="69"/>
  <c r="I76" i="69"/>
  <c r="F92" i="69"/>
  <c r="I90" i="69"/>
  <c r="F80" i="69"/>
  <c r="I78" i="69"/>
  <c r="R48" i="1"/>
  <c r="AA66" i="1"/>
  <c r="T66" i="1"/>
  <c r="O72" i="1"/>
  <c r="N66" i="1"/>
  <c r="K66" i="1"/>
  <c r="I72" i="1"/>
  <c r="G72" i="1"/>
  <c r="G48" i="1"/>
  <c r="I48" i="1"/>
  <c r="AA72" i="1"/>
  <c r="I66" i="1"/>
  <c r="G66" i="1"/>
  <c r="E17" i="1"/>
  <c r="I84" i="69"/>
  <c r="F86" i="69"/>
  <c r="I85" i="69"/>
  <c r="F87" i="69"/>
  <c r="I86" i="69"/>
  <c r="F88" i="69"/>
  <c r="F79" i="69"/>
  <c r="I77" i="69"/>
  <c r="I80" i="69"/>
  <c r="F84" i="69"/>
  <c r="I87" i="69"/>
  <c r="F89" i="69"/>
  <c r="I88" i="69"/>
  <c r="F90" i="69"/>
  <c r="I91" i="69"/>
  <c r="F93" i="69"/>
  <c r="W73" i="1" l="1"/>
  <c r="W75" i="1" s="1"/>
  <c r="W82" i="1" s="1"/>
  <c r="I31" i="69" s="1"/>
  <c r="N10" i="69"/>
  <c r="E87" i="1"/>
  <c r="I73" i="1"/>
  <c r="Q73" i="1"/>
  <c r="N73" i="1"/>
  <c r="N75" i="1" s="1"/>
  <c r="K73" i="1"/>
  <c r="K75" i="1" s="1"/>
  <c r="R73" i="1"/>
  <c r="R75" i="1" s="1"/>
  <c r="T73" i="1"/>
  <c r="T75" i="1" s="1"/>
  <c r="U73" i="1"/>
  <c r="G73" i="1"/>
  <c r="G75" i="1" s="1"/>
  <c r="G82" i="1" s="1"/>
  <c r="E73" i="1"/>
  <c r="E75" i="1" s="1"/>
  <c r="E82" i="1" s="1"/>
  <c r="O73" i="1"/>
  <c r="L73" i="1"/>
  <c r="H73" i="1"/>
  <c r="F73" i="1"/>
  <c r="P73" i="1"/>
  <c r="AA73" i="1"/>
  <c r="H66" i="5"/>
  <c r="E73" i="5"/>
  <c r="E75" i="5" s="1"/>
  <c r="E82" i="5" s="1"/>
  <c r="H49" i="1"/>
  <c r="H51" i="1" s="1"/>
  <c r="H54" i="1" s="1"/>
  <c r="H54" i="76" s="1"/>
  <c r="E72" i="76"/>
  <c r="E73" i="76" s="1"/>
  <c r="E31" i="76"/>
  <c r="E48" i="76"/>
  <c r="E18" i="1"/>
  <c r="E17" i="76"/>
  <c r="Q49" i="1"/>
  <c r="Q51" i="1" s="1"/>
  <c r="Q54" i="1" s="1"/>
  <c r="Q54" i="76" s="1"/>
  <c r="K49" i="1"/>
  <c r="K51" i="1" s="1"/>
  <c r="W49" i="1"/>
  <c r="W51" i="1" s="1"/>
  <c r="P49" i="1"/>
  <c r="P51" i="1" s="1"/>
  <c r="O49" i="1"/>
  <c r="O51" i="1" s="1"/>
  <c r="O54" i="1" s="1"/>
  <c r="O54" i="76" s="1"/>
  <c r="F48" i="54"/>
  <c r="F66" i="54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AA49" i="1"/>
  <c r="AA51" i="1" s="1"/>
  <c r="AA54" i="1" s="1"/>
  <c r="Z54" i="76" s="1"/>
  <c r="R49" i="1"/>
  <c r="R51" i="1" s="1"/>
  <c r="G49" i="1"/>
  <c r="U49" i="1"/>
  <c r="U51" i="1" s="1"/>
  <c r="U54" i="1" s="1"/>
  <c r="U54" i="76" s="1"/>
  <c r="Y54" i="76"/>
  <c r="X48" i="1"/>
  <c r="X37" i="1"/>
  <c r="F31" i="54"/>
  <c r="F37" i="54"/>
  <c r="F72" i="54"/>
  <c r="F25" i="54"/>
  <c r="E49" i="5"/>
  <c r="E51" i="5" s="1"/>
  <c r="E59" i="5" s="1"/>
  <c r="E49" i="1"/>
  <c r="X25" i="1"/>
  <c r="X17" i="1"/>
  <c r="H25" i="5"/>
  <c r="T51" i="1"/>
  <c r="T54" i="1" s="1"/>
  <c r="T54" i="76" s="1"/>
  <c r="F102" i="69"/>
  <c r="I100" i="69"/>
  <c r="F103" i="69"/>
  <c r="I101" i="69"/>
  <c r="I79" i="69"/>
  <c r="H78" i="69"/>
  <c r="E80" i="69"/>
  <c r="F101" i="69"/>
  <c r="I99" i="69"/>
  <c r="F105" i="69"/>
  <c r="I103" i="69"/>
  <c r="E84" i="69"/>
  <c r="H80" i="69"/>
  <c r="E79" i="69"/>
  <c r="H77" i="69"/>
  <c r="H105" i="69"/>
  <c r="F17" i="54"/>
  <c r="F18" i="54" s="1"/>
  <c r="I111" i="69" l="1"/>
  <c r="H15" i="54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X18" i="1"/>
  <c r="E49" i="76"/>
  <c r="E18" i="76"/>
  <c r="T82" i="1"/>
  <c r="E23" i="3" s="1"/>
  <c r="F26" i="75" s="1"/>
  <c r="G26" i="75" s="1"/>
  <c r="R82" i="1"/>
  <c r="N82" i="1"/>
  <c r="I24" i="69" s="1"/>
  <c r="K82" i="1"/>
  <c r="H82" i="5"/>
  <c r="AA75" i="1"/>
  <c r="I75" i="1"/>
  <c r="L75" i="1"/>
  <c r="O75" i="1"/>
  <c r="F75" i="1"/>
  <c r="Q75" i="1"/>
  <c r="P54" i="1"/>
  <c r="P54" i="76" s="1"/>
  <c r="P75" i="1"/>
  <c r="P82" i="1" s="1"/>
  <c r="H75" i="1"/>
  <c r="H82" i="1" s="1"/>
  <c r="E11" i="3" s="1"/>
  <c r="F14" i="75" s="1"/>
  <c r="G14" i="75" s="1"/>
  <c r="U75" i="1"/>
  <c r="U82" i="1" s="1"/>
  <c r="F49" i="54"/>
  <c r="F51" i="54" s="1"/>
  <c r="F59" i="54" s="1"/>
  <c r="AA54" i="76"/>
  <c r="R54" i="1"/>
  <c r="R54" i="76" s="1"/>
  <c r="K54" i="1"/>
  <c r="K54" i="76" s="1"/>
  <c r="M54" i="76"/>
  <c r="L45" i="69"/>
  <c r="H51" i="5"/>
  <c r="X72" i="1"/>
  <c r="X31" i="1"/>
  <c r="X49" i="1" s="1"/>
  <c r="L31" i="69"/>
  <c r="H49" i="5"/>
  <c r="I106" i="69"/>
  <c r="X66" i="1"/>
  <c r="G51" i="1"/>
  <c r="I105" i="69"/>
  <c r="I11" i="69"/>
  <c r="E8" i="3"/>
  <c r="E11" i="75" s="1"/>
  <c r="E43" i="75" s="1"/>
  <c r="H106" i="69"/>
  <c r="K108" i="69"/>
  <c r="F77" i="69"/>
  <c r="F82" i="69" s="1"/>
  <c r="I75" i="69"/>
  <c r="I82" i="69" s="1"/>
  <c r="I97" i="69" s="1"/>
  <c r="E51" i="1"/>
  <c r="F15" i="77" l="1"/>
  <c r="H15" i="77"/>
  <c r="I32" i="69"/>
  <c r="L32" i="69" s="1"/>
  <c r="I26" i="69"/>
  <c r="L26" i="69" s="1"/>
  <c r="E17" i="3"/>
  <c r="F20" i="75" s="1"/>
  <c r="G20" i="75" s="1"/>
  <c r="E21" i="3"/>
  <c r="F24" i="75" s="1"/>
  <c r="G24" i="75" s="1"/>
  <c r="X73" i="1"/>
  <c r="X75" i="1" s="1"/>
  <c r="X82" i="1" s="1"/>
  <c r="I21" i="69"/>
  <c r="L21" i="69" s="1"/>
  <c r="E14" i="3"/>
  <c r="F17" i="75" s="1"/>
  <c r="G17" i="75" s="1"/>
  <c r="I28" i="69"/>
  <c r="L28" i="69" s="1"/>
  <c r="E24" i="3"/>
  <c r="F27" i="75" s="1"/>
  <c r="G27" i="75" s="1"/>
  <c r="I23" i="69"/>
  <c r="L23" i="69" s="1"/>
  <c r="E19" i="3"/>
  <c r="F22" i="75" s="1"/>
  <c r="G22" i="75" s="1"/>
  <c r="E51" i="76"/>
  <c r="E59" i="76" s="1"/>
  <c r="I30" i="69"/>
  <c r="L30" i="69" s="1"/>
  <c r="I14" i="69"/>
  <c r="L14" i="69" s="1"/>
  <c r="E16" i="3"/>
  <c r="F19" i="75" s="1"/>
  <c r="G19" i="75" s="1"/>
  <c r="G54" i="1"/>
  <c r="G54" i="76" s="1"/>
  <c r="O82" i="1"/>
  <c r="E18" i="3" s="1"/>
  <c r="F21" i="75" s="1"/>
  <c r="G21" i="75" s="1"/>
  <c r="AA82" i="1"/>
  <c r="I82" i="1"/>
  <c r="L82" i="1"/>
  <c r="Q82" i="1"/>
  <c r="F82" i="1"/>
  <c r="E33" i="3"/>
  <c r="F33" i="75" s="1"/>
  <c r="G33" i="75" s="1"/>
  <c r="I39" i="69"/>
  <c r="L39" i="69" s="1"/>
  <c r="X51" i="1"/>
  <c r="E59" i="1"/>
  <c r="E83" i="1" s="1"/>
  <c r="G11" i="75"/>
  <c r="L24" i="69"/>
  <c r="L20" i="69"/>
  <c r="F85" i="69"/>
  <c r="I108" i="69"/>
  <c r="E77" i="69"/>
  <c r="H75" i="69"/>
  <c r="E89" i="69"/>
  <c r="H87" i="69"/>
  <c r="E105" i="69"/>
  <c r="H103" i="69"/>
  <c r="H76" i="69"/>
  <c r="E78" i="69"/>
  <c r="E86" i="69"/>
  <c r="H84" i="69"/>
  <c r="E93" i="69"/>
  <c r="H91" i="69"/>
  <c r="L11" i="69"/>
  <c r="F97" i="69"/>
  <c r="G15" i="77" l="1"/>
  <c r="G15" i="54"/>
  <c r="I25" i="69"/>
  <c r="L25" i="69" s="1"/>
  <c r="I19" i="69"/>
  <c r="L19" i="69" s="1"/>
  <c r="E20" i="3"/>
  <c r="F23" i="75" s="1"/>
  <c r="G23" i="75" s="1"/>
  <c r="E31" i="3"/>
  <c r="F31" i="75" s="1"/>
  <c r="G31" i="75" s="1"/>
  <c r="I22" i="69"/>
  <c r="L22" i="69" s="1"/>
  <c r="E12" i="3"/>
  <c r="F15" i="75" s="1"/>
  <c r="I27" i="69"/>
  <c r="L27" i="69" s="1"/>
  <c r="N59" i="1"/>
  <c r="E15" i="3"/>
  <c r="F18" i="75" s="1"/>
  <c r="G18" i="75" s="1"/>
  <c r="E32" i="3"/>
  <c r="F32" i="75" s="1"/>
  <c r="G32" i="75" s="1"/>
  <c r="I38" i="69"/>
  <c r="L38" i="69" s="1"/>
  <c r="I37" i="69"/>
  <c r="L37" i="69" s="1"/>
  <c r="I12" i="69"/>
  <c r="E9" i="3"/>
  <c r="F12" i="75" s="1"/>
  <c r="F17" i="69"/>
  <c r="H59" i="5"/>
  <c r="E84" i="5"/>
  <c r="E91" i="69"/>
  <c r="H89" i="69"/>
  <c r="E102" i="69"/>
  <c r="H100" i="69"/>
  <c r="H11" i="69"/>
  <c r="D8" i="3"/>
  <c r="F82" i="54"/>
  <c r="E82" i="69"/>
  <c r="F100" i="69"/>
  <c r="F108" i="69"/>
  <c r="F43" i="75" l="1"/>
  <c r="G15" i="75"/>
  <c r="G12" i="75"/>
  <c r="G43" i="75" s="1"/>
  <c r="D17" i="3"/>
  <c r="H24" i="69"/>
  <c r="K24" i="69" s="1"/>
  <c r="N24" i="69" s="1"/>
  <c r="L12" i="69"/>
  <c r="I17" i="69"/>
  <c r="I34" i="69" s="1"/>
  <c r="I51" i="69" s="1"/>
  <c r="E28" i="3"/>
  <c r="E43" i="3" s="1"/>
  <c r="F34" i="69"/>
  <c r="F51" i="69" s="1"/>
  <c r="F111" i="69" s="1"/>
  <c r="E106" i="69"/>
  <c r="H104" i="69"/>
  <c r="E101" i="69"/>
  <c r="H99" i="69"/>
  <c r="H101" i="69"/>
  <c r="E103" i="69"/>
  <c r="H93" i="69"/>
  <c r="E88" i="69"/>
  <c r="H86" i="69"/>
  <c r="H92" i="69"/>
  <c r="E87" i="69"/>
  <c r="H85" i="69"/>
  <c r="K11" i="69"/>
  <c r="L17" i="69" l="1"/>
  <c r="L34" i="69" s="1"/>
  <c r="E17" i="69"/>
  <c r="E34" i="69" s="1"/>
  <c r="E51" i="69" s="1"/>
  <c r="E90" i="69"/>
  <c r="H88" i="69"/>
  <c r="N11" i="69"/>
  <c r="H79" i="69"/>
  <c r="H82" i="69" s="1"/>
  <c r="E92" i="69"/>
  <c r="H90" i="69"/>
  <c r="I52" i="69" l="1"/>
  <c r="L51" i="69"/>
  <c r="L57" i="69" s="1"/>
  <c r="H102" i="69"/>
  <c r="E104" i="69"/>
  <c r="E85" i="69"/>
  <c r="E97" i="69" s="1"/>
  <c r="H97" i="69"/>
  <c r="E100" i="69" l="1"/>
  <c r="E108" i="69"/>
  <c r="H108" i="69"/>
  <c r="K110" i="69"/>
  <c r="H28" i="3" l="1"/>
  <c r="AL16" i="1" l="1"/>
  <c r="F25" i="55" s="1"/>
  <c r="AL65" i="1"/>
  <c r="AL35" i="1"/>
  <c r="AL23" i="1"/>
  <c r="AL46" i="1"/>
  <c r="AL71" i="1"/>
  <c r="AL36" i="1"/>
  <c r="AL79" i="1"/>
  <c r="AL47" i="1"/>
  <c r="AL41" i="1"/>
  <c r="AL39" i="1"/>
  <c r="AL76" i="1"/>
  <c r="AL28" i="1"/>
  <c r="AL57" i="1"/>
  <c r="AL29" i="1"/>
  <c r="AL45" i="1"/>
  <c r="AL17" i="1"/>
  <c r="AL24" i="1"/>
  <c r="AL56" i="1"/>
  <c r="AL40" i="1"/>
  <c r="AL69" i="1"/>
  <c r="AL70" i="1"/>
  <c r="AL74" i="1"/>
  <c r="AL30" i="1"/>
  <c r="AL64" i="1"/>
  <c r="AL34" i="1"/>
  <c r="AL44" i="1"/>
  <c r="AL77" i="1"/>
  <c r="AL78" i="1"/>
  <c r="AL63" i="1"/>
  <c r="H28" i="54" l="1"/>
  <c r="F28" i="77" s="1"/>
  <c r="H63" i="54"/>
  <c r="F63" i="77" s="1"/>
  <c r="H29" i="54"/>
  <c r="F29" i="77" s="1"/>
  <c r="H23" i="54"/>
  <c r="F23" i="77" s="1"/>
  <c r="H17" i="54"/>
  <c r="F17" i="77" s="1"/>
  <c r="H22" i="54"/>
  <c r="AL37" i="1"/>
  <c r="AL48" i="1"/>
  <c r="AL72" i="1"/>
  <c r="AL25" i="1"/>
  <c r="AL66" i="1"/>
  <c r="AL31" i="1"/>
  <c r="AL18" i="1"/>
  <c r="G22" i="54" l="1"/>
  <c r="F22" i="77"/>
  <c r="H29" i="77"/>
  <c r="H30" i="54"/>
  <c r="F30" i="77" s="1"/>
  <c r="F31" i="77" s="1"/>
  <c r="H16" i="54"/>
  <c r="AL73" i="1"/>
  <c r="AL75" i="1" s="1"/>
  <c r="AL82" i="1" s="1"/>
  <c r="F11" i="55" s="1"/>
  <c r="AL49" i="1"/>
  <c r="AL51" i="1" s="1"/>
  <c r="F16" i="77" l="1"/>
  <c r="F18" i="77" s="1"/>
  <c r="H17" i="77"/>
  <c r="H30" i="77"/>
  <c r="K29" i="77"/>
  <c r="G29" i="77"/>
  <c r="H46" i="54"/>
  <c r="F46" i="77" s="1"/>
  <c r="H77" i="54"/>
  <c r="H57" i="54"/>
  <c r="F57" i="77" s="1"/>
  <c r="H45" i="54"/>
  <c r="F45" i="77" s="1"/>
  <c r="H76" i="54"/>
  <c r="F76" i="77" s="1"/>
  <c r="H24" i="54"/>
  <c r="F24" i="77" s="1"/>
  <c r="H65" i="54"/>
  <c r="F65" i="77" s="1"/>
  <c r="H74" i="54"/>
  <c r="H35" i="54"/>
  <c r="H44" i="54"/>
  <c r="F44" i="77" s="1"/>
  <c r="H39" i="54"/>
  <c r="H41" i="54"/>
  <c r="H47" i="54"/>
  <c r="F47" i="77" s="1"/>
  <c r="H70" i="54"/>
  <c r="H40" i="54"/>
  <c r="F40" i="77" s="1"/>
  <c r="H78" i="54"/>
  <c r="F78" i="77" s="1"/>
  <c r="H36" i="54"/>
  <c r="H69" i="54"/>
  <c r="H79" i="54"/>
  <c r="F79" i="77" s="1"/>
  <c r="H56" i="54"/>
  <c r="F56" i="77" s="1"/>
  <c r="H71" i="54"/>
  <c r="J29" i="54"/>
  <c r="H23" i="77" l="1"/>
  <c r="H47" i="77"/>
  <c r="J35" i="54"/>
  <c r="F35" i="77"/>
  <c r="K30" i="77"/>
  <c r="G30" i="77"/>
  <c r="G71" i="54"/>
  <c r="F71" i="77"/>
  <c r="G69" i="54"/>
  <c r="F69" i="77"/>
  <c r="H16" i="77"/>
  <c r="G39" i="54"/>
  <c r="F39" i="77"/>
  <c r="H28" i="77"/>
  <c r="H77" i="77"/>
  <c r="H56" i="77"/>
  <c r="H79" i="77"/>
  <c r="H36" i="77"/>
  <c r="H41" i="77"/>
  <c r="J74" i="54"/>
  <c r="F74" i="77"/>
  <c r="G77" i="54"/>
  <c r="F77" i="77"/>
  <c r="K17" i="77"/>
  <c r="G17" i="77"/>
  <c r="H22" i="77"/>
  <c r="G36" i="54"/>
  <c r="F36" i="77"/>
  <c r="G70" i="54"/>
  <c r="F70" i="77"/>
  <c r="F48" i="77"/>
  <c r="H76" i="77"/>
  <c r="H57" i="77"/>
  <c r="H46" i="77"/>
  <c r="H78" i="77"/>
  <c r="H74" i="77"/>
  <c r="H71" i="77"/>
  <c r="H65" i="77"/>
  <c r="H63" i="77"/>
  <c r="H45" i="77"/>
  <c r="H34" i="54"/>
  <c r="H64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F25" i="77" s="1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K23" i="77" l="1"/>
  <c r="G23" i="77"/>
  <c r="H39" i="77"/>
  <c r="G39" i="77" s="1"/>
  <c r="F72" i="77"/>
  <c r="G36" i="77"/>
  <c r="G72" i="54"/>
  <c r="K57" i="77"/>
  <c r="G57" i="77"/>
  <c r="K79" i="77"/>
  <c r="G79" i="77"/>
  <c r="K77" i="77"/>
  <c r="G77" i="77"/>
  <c r="G64" i="54"/>
  <c r="G66" i="54" s="1"/>
  <c r="F64" i="77"/>
  <c r="F66" i="77" s="1"/>
  <c r="K22" i="77"/>
  <c r="G22" i="77"/>
  <c r="K46" i="77"/>
  <c r="G46" i="77"/>
  <c r="K76" i="77"/>
  <c r="G76" i="77"/>
  <c r="K41" i="77"/>
  <c r="G41" i="77"/>
  <c r="K56" i="77"/>
  <c r="G56" i="77"/>
  <c r="K28" i="77"/>
  <c r="K31" i="77" s="1"/>
  <c r="G28" i="77"/>
  <c r="G31" i="77" s="1"/>
  <c r="H31" i="77"/>
  <c r="K16" i="77"/>
  <c r="G16" i="77"/>
  <c r="G18" i="77" s="1"/>
  <c r="H18" i="77"/>
  <c r="K47" i="77"/>
  <c r="G47" i="77"/>
  <c r="J34" i="54"/>
  <c r="F34" i="77"/>
  <c r="F37" i="77" s="1"/>
  <c r="F49" i="77" s="1"/>
  <c r="F51" i="77" s="1"/>
  <c r="K78" i="77"/>
  <c r="G78" i="77"/>
  <c r="K74" i="77"/>
  <c r="G74" i="77"/>
  <c r="K71" i="77"/>
  <c r="G71" i="77"/>
  <c r="H70" i="77"/>
  <c r="H69" i="77"/>
  <c r="K65" i="77"/>
  <c r="G65" i="77"/>
  <c r="K63" i="77"/>
  <c r="G63" i="77"/>
  <c r="K45" i="77"/>
  <c r="G45" i="77"/>
  <c r="H35" i="77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H40" i="77" l="1"/>
  <c r="G73" i="54"/>
  <c r="G75" i="54" s="1"/>
  <c r="G81" i="54" s="1"/>
  <c r="F73" i="77"/>
  <c r="F75" i="77" s="1"/>
  <c r="F81" i="77" s="1"/>
  <c r="H24" i="77"/>
  <c r="H44" i="77"/>
  <c r="G44" i="77" s="1"/>
  <c r="K70" i="77"/>
  <c r="G70" i="77"/>
  <c r="K69" i="77"/>
  <c r="G69" i="77"/>
  <c r="H72" i="77"/>
  <c r="H64" i="77"/>
  <c r="K35" i="77"/>
  <c r="G35" i="77"/>
  <c r="G11" i="55"/>
  <c r="J73" i="54"/>
  <c r="J75" i="54" s="1"/>
  <c r="J81" i="54" s="1"/>
  <c r="G49" i="54"/>
  <c r="G51" i="54" s="1"/>
  <c r="K40" i="77" l="1"/>
  <c r="G40" i="77"/>
  <c r="K24" i="77"/>
  <c r="K25" i="77" s="1"/>
  <c r="G24" i="77"/>
  <c r="G25" i="77" s="1"/>
  <c r="H25" i="77"/>
  <c r="G72" i="77"/>
  <c r="K72" i="77"/>
  <c r="G48" i="77"/>
  <c r="H48" i="77"/>
  <c r="K64" i="77"/>
  <c r="K66" i="77" s="1"/>
  <c r="G64" i="77"/>
  <c r="G66" i="77" s="1"/>
  <c r="H66" i="77"/>
  <c r="H73" i="77" s="1"/>
  <c r="H75" i="77" s="1"/>
  <c r="H81" i="77" s="1"/>
  <c r="H34" i="77" l="1"/>
  <c r="G73" i="77"/>
  <c r="G75" i="77" s="1"/>
  <c r="G81" i="77" s="1"/>
  <c r="K73" i="77"/>
  <c r="K75" i="77" s="1"/>
  <c r="K81" i="77" s="1"/>
  <c r="A19" i="69"/>
  <c r="A12" i="3"/>
  <c r="A15" i="75" s="1"/>
  <c r="G34" i="77" l="1"/>
  <c r="G37" i="77" s="1"/>
  <c r="G49" i="77" s="1"/>
  <c r="G51" i="77" s="1"/>
  <c r="H37" i="77"/>
  <c r="H49" i="77" s="1"/>
  <c r="H51" i="77" s="1"/>
  <c r="K34" i="77"/>
  <c r="A13" i="3"/>
  <c r="A16" i="75" s="1"/>
  <c r="A20" i="69"/>
  <c r="A21" i="69" l="1"/>
  <c r="A14" i="3"/>
  <c r="A17" i="75" s="1"/>
  <c r="A22" i="69" l="1"/>
  <c r="A15" i="3"/>
  <c r="A18" i="75" s="1"/>
  <c r="A23" i="69" l="1"/>
  <c r="A16" i="3"/>
  <c r="A19" i="75" s="1"/>
  <c r="A24" i="69" l="1"/>
  <c r="A17" i="3"/>
  <c r="A20" i="75" s="1"/>
  <c r="A25" i="69" l="1"/>
  <c r="A18" i="3"/>
  <c r="A21" i="75" s="1"/>
  <c r="A26" i="69" l="1"/>
  <c r="A19" i="3"/>
  <c r="A22" i="75" s="1"/>
  <c r="A27" i="69" l="1"/>
  <c r="A20" i="3"/>
  <c r="A23" i="75" s="1"/>
  <c r="A21" i="3" l="1"/>
  <c r="A24" i="75" s="1"/>
  <c r="A28" i="69"/>
  <c r="A23" i="3" l="1"/>
  <c r="A26" i="75" s="1"/>
  <c r="A30" i="69"/>
  <c r="A40" i="69" l="1"/>
  <c r="A34" i="3"/>
  <c r="A34" i="75" s="1"/>
  <c r="A31" i="69" l="1"/>
  <c r="E8" i="75"/>
  <c r="A26" i="3"/>
  <c r="A29" i="75" s="1"/>
  <c r="A24" i="3" l="1"/>
  <c r="A27" i="75" s="1"/>
  <c r="L15" i="55"/>
  <c r="N15" i="55" l="1"/>
  <c r="AK18" i="79" s="1"/>
  <c r="P13" i="55"/>
  <c r="AB55" i="1" l="1"/>
  <c r="AB59" i="1" s="1"/>
  <c r="Z55" i="1"/>
  <c r="Z59" i="1" s="1"/>
  <c r="AD55" i="1"/>
  <c r="AD59" i="1" s="1"/>
  <c r="AJ55" i="1"/>
  <c r="V55" i="1"/>
  <c r="AK55" i="1"/>
  <c r="R55" i="1"/>
  <c r="R55" i="76" s="1"/>
  <c r="R59" i="76" s="1"/>
  <c r="E86" i="1"/>
  <c r="G13" i="55"/>
  <c r="G15" i="55" s="1"/>
  <c r="G55" i="1"/>
  <c r="G55" i="76" s="1"/>
  <c r="G59" i="76" s="1"/>
  <c r="AI55" i="1"/>
  <c r="AI59" i="1" s="1"/>
  <c r="AG55" i="1"/>
  <c r="AF55" i="76" s="1"/>
  <c r="AF59" i="76" s="1"/>
  <c r="AE55" i="1"/>
  <c r="O55" i="1"/>
  <c r="O59" i="1" s="1"/>
  <c r="I55" i="1"/>
  <c r="I55" i="76" s="1"/>
  <c r="I59" i="76" s="1"/>
  <c r="Q55" i="1"/>
  <c r="Q59" i="1" s="1"/>
  <c r="L55" i="1"/>
  <c r="L55" i="76" s="1"/>
  <c r="L59" i="76" s="1"/>
  <c r="U55" i="1"/>
  <c r="O10" i="69"/>
  <c r="F13" i="55"/>
  <c r="F15" i="55" s="1"/>
  <c r="J55" i="1"/>
  <c r="J55" i="76" s="1"/>
  <c r="J59" i="76" s="1"/>
  <c r="K55" i="1"/>
  <c r="K59" i="1" s="1"/>
  <c r="M55" i="1"/>
  <c r="M55" i="76" s="1"/>
  <c r="M59" i="76" s="1"/>
  <c r="Y55" i="1"/>
  <c r="X55" i="76" s="1"/>
  <c r="X59" i="76" s="1"/>
  <c r="AH55" i="1"/>
  <c r="AH59" i="1" s="1"/>
  <c r="H55" i="1"/>
  <c r="H55" i="76" s="1"/>
  <c r="H59" i="76" s="1"/>
  <c r="S55" i="1"/>
  <c r="S55" i="76" s="1"/>
  <c r="S59" i="76" s="1"/>
  <c r="AF55" i="1"/>
  <c r="AF59" i="1" s="1"/>
  <c r="AC55" i="1"/>
  <c r="E45" i="75"/>
  <c r="T55" i="1"/>
  <c r="T55" i="76" s="1"/>
  <c r="T59" i="76" s="1"/>
  <c r="AA55" i="1"/>
  <c r="Z55" i="76" s="1"/>
  <c r="Z59" i="76" s="1"/>
  <c r="F55" i="1"/>
  <c r="F59" i="1" s="1"/>
  <c r="P55" i="1"/>
  <c r="P21" i="79" l="1"/>
  <c r="T21" i="79" s="1"/>
  <c r="M21" i="79"/>
  <c r="P19" i="79"/>
  <c r="T19" i="79" s="1"/>
  <c r="M19" i="79"/>
  <c r="M15" i="79"/>
  <c r="P39" i="79"/>
  <c r="T39" i="79" s="1"/>
  <c r="M39" i="79"/>
  <c r="P42" i="79"/>
  <c r="T42" i="79" s="1"/>
  <c r="M42" i="79"/>
  <c r="P37" i="79"/>
  <c r="T37" i="79" s="1"/>
  <c r="M37" i="79"/>
  <c r="P10" i="79"/>
  <c r="M10" i="79"/>
  <c r="P33" i="79"/>
  <c r="T33" i="79" s="1"/>
  <c r="M33" i="79"/>
  <c r="P41" i="79"/>
  <c r="T41" i="79" s="1"/>
  <c r="M41" i="79"/>
  <c r="P35" i="79"/>
  <c r="T35" i="79" s="1"/>
  <c r="M35" i="79"/>
  <c r="AJ59" i="1"/>
  <c r="AJ89" i="1" s="1"/>
  <c r="AJ90" i="1" s="1"/>
  <c r="AJ84" i="1" s="1"/>
  <c r="AI55" i="76"/>
  <c r="AI59" i="76" s="1"/>
  <c r="AC55" i="76"/>
  <c r="AC59" i="76" s="1"/>
  <c r="Z89" i="1"/>
  <c r="Z90" i="1" s="1"/>
  <c r="Z84" i="1" s="1"/>
  <c r="AB89" i="1"/>
  <c r="AB90" i="1" s="1"/>
  <c r="AB84" i="1" s="1"/>
  <c r="AD89" i="1"/>
  <c r="AD90" i="1" s="1"/>
  <c r="AD84" i="1" s="1"/>
  <c r="V55" i="76"/>
  <c r="V59" i="76" s="1"/>
  <c r="V59" i="1"/>
  <c r="I41" i="75"/>
  <c r="I42" i="75"/>
  <c r="I17" i="75"/>
  <c r="I19" i="75"/>
  <c r="I23" i="75"/>
  <c r="I27" i="75"/>
  <c r="I20" i="75"/>
  <c r="I24" i="75"/>
  <c r="I28" i="75"/>
  <c r="I35" i="75"/>
  <c r="I37" i="75"/>
  <c r="I22" i="75"/>
  <c r="I38" i="75"/>
  <c r="I21" i="75"/>
  <c r="I29" i="75"/>
  <c r="I26" i="75"/>
  <c r="I25" i="75"/>
  <c r="I31" i="75"/>
  <c r="I33" i="75"/>
  <c r="I18" i="75"/>
  <c r="I36" i="75"/>
  <c r="I34" i="75"/>
  <c r="I32" i="75"/>
  <c r="I39" i="75"/>
  <c r="I16" i="75"/>
  <c r="I40" i="75"/>
  <c r="V89" i="1"/>
  <c r="V90" i="1" s="1"/>
  <c r="V84" i="1" s="1"/>
  <c r="AC59" i="1"/>
  <c r="AB55" i="76"/>
  <c r="AB59" i="76" s="1"/>
  <c r="U59" i="1"/>
  <c r="U55" i="76"/>
  <c r="U59" i="76" s="1"/>
  <c r="AJ55" i="76"/>
  <c r="AJ59" i="76" s="1"/>
  <c r="AK59" i="1"/>
  <c r="AE59" i="1"/>
  <c r="AD55" i="76"/>
  <c r="AD59" i="76" s="1"/>
  <c r="O47" i="69"/>
  <c r="O48" i="69"/>
  <c r="I30" i="75"/>
  <c r="R59" i="1"/>
  <c r="N89" i="1"/>
  <c r="N90" i="1" s="1"/>
  <c r="N84" i="1" s="1"/>
  <c r="E89" i="1"/>
  <c r="E90" i="1" s="1"/>
  <c r="E84" i="1" s="1"/>
  <c r="G59" i="1"/>
  <c r="O23" i="69"/>
  <c r="O24" i="69"/>
  <c r="P24" i="69" s="1"/>
  <c r="O38" i="69"/>
  <c r="O27" i="69"/>
  <c r="O32" i="69"/>
  <c r="O39" i="69"/>
  <c r="O36" i="69"/>
  <c r="O26" i="69"/>
  <c r="O30" i="69"/>
  <c r="O43" i="69"/>
  <c r="O40" i="69"/>
  <c r="O29" i="69"/>
  <c r="O46" i="69"/>
  <c r="O25" i="69"/>
  <c r="I12" i="75"/>
  <c r="I15" i="75"/>
  <c r="AG55" i="76"/>
  <c r="AG59" i="76" s="1"/>
  <c r="Q55" i="76"/>
  <c r="Q59" i="76" s="1"/>
  <c r="E47" i="75"/>
  <c r="E51" i="75" s="1"/>
  <c r="I13" i="75"/>
  <c r="AH55" i="76"/>
  <c r="AH59" i="76" s="1"/>
  <c r="O44" i="69"/>
  <c r="AG59" i="1"/>
  <c r="AA55" i="76"/>
  <c r="AA59" i="76" s="1"/>
  <c r="I59" i="1"/>
  <c r="F45" i="75"/>
  <c r="F47" i="75" s="1"/>
  <c r="F51" i="75" s="1"/>
  <c r="F54" i="75" s="1"/>
  <c r="I11" i="75"/>
  <c r="L59" i="1"/>
  <c r="I14" i="75"/>
  <c r="F55" i="76"/>
  <c r="F59" i="76" s="1"/>
  <c r="O55" i="76"/>
  <c r="O59" i="76" s="1"/>
  <c r="O14" i="69"/>
  <c r="O13" i="69"/>
  <c r="O21" i="69"/>
  <c r="N56" i="69"/>
  <c r="O55" i="69"/>
  <c r="O19" i="69"/>
  <c r="O56" i="69"/>
  <c r="O41" i="69"/>
  <c r="O20" i="69"/>
  <c r="O12" i="69"/>
  <c r="M59" i="1"/>
  <c r="O45" i="69"/>
  <c r="O31" i="69"/>
  <c r="O37" i="69"/>
  <c r="N55" i="69"/>
  <c r="O42" i="69"/>
  <c r="O11" i="69"/>
  <c r="P11" i="69" s="1"/>
  <c r="O22" i="69"/>
  <c r="O28" i="69"/>
  <c r="J59" i="1"/>
  <c r="Y59" i="1"/>
  <c r="T59" i="1"/>
  <c r="S59" i="1"/>
  <c r="K55" i="76"/>
  <c r="K59" i="76" s="1"/>
  <c r="H59" i="1"/>
  <c r="Y55" i="76"/>
  <c r="Y59" i="76" s="1"/>
  <c r="X55" i="1"/>
  <c r="AA59" i="1"/>
  <c r="P55" i="76"/>
  <c r="P59" i="76" s="1"/>
  <c r="P59" i="1"/>
  <c r="AE55" i="76"/>
  <c r="AE59" i="76" s="1"/>
  <c r="D9" i="3"/>
  <c r="H12" i="69"/>
  <c r="F89" i="1"/>
  <c r="F90" i="1" s="1"/>
  <c r="F84" i="1" s="1"/>
  <c r="D14" i="3"/>
  <c r="H21" i="69"/>
  <c r="K21" i="69" s="1"/>
  <c r="N21" i="69" s="1"/>
  <c r="K89" i="1"/>
  <c r="K90" i="1" s="1"/>
  <c r="K84" i="1" s="1"/>
  <c r="D31" i="3"/>
  <c r="H37" i="69"/>
  <c r="K37" i="69" s="1"/>
  <c r="N37" i="69" s="1"/>
  <c r="H39" i="69"/>
  <c r="K39" i="69" s="1"/>
  <c r="N39" i="69" s="1"/>
  <c r="D33" i="3"/>
  <c r="D39" i="3"/>
  <c r="H45" i="69"/>
  <c r="K45" i="69" s="1"/>
  <c r="N45" i="69" s="1"/>
  <c r="AH89" i="1"/>
  <c r="AH90" i="1" s="1"/>
  <c r="AH84" i="1" s="1"/>
  <c r="D40" i="3"/>
  <c r="H46" i="69"/>
  <c r="K46" i="69" s="1"/>
  <c r="N46" i="69" s="1"/>
  <c r="AI89" i="1"/>
  <c r="AI90" i="1" s="1"/>
  <c r="AI84" i="1" s="1"/>
  <c r="D18" i="3"/>
  <c r="H25" i="69"/>
  <c r="K25" i="69" s="1"/>
  <c r="N25" i="69" s="1"/>
  <c r="O89" i="1"/>
  <c r="O90" i="1" s="1"/>
  <c r="O84" i="1" s="1"/>
  <c r="D37" i="3"/>
  <c r="H43" i="69"/>
  <c r="K43" i="69" s="1"/>
  <c r="N43" i="69" s="1"/>
  <c r="AF89" i="1"/>
  <c r="AF90" i="1" s="1"/>
  <c r="AF84" i="1" s="1"/>
  <c r="D20" i="3"/>
  <c r="H27" i="69"/>
  <c r="K27" i="69" s="1"/>
  <c r="N27" i="69" s="1"/>
  <c r="Q89" i="1"/>
  <c r="Q90" i="1" s="1"/>
  <c r="Q84" i="1" s="1"/>
  <c r="AL55" i="1" l="1"/>
  <c r="D11" i="3"/>
  <c r="H13" i="69"/>
  <c r="K13" i="69" s="1"/>
  <c r="N13" i="69" s="1"/>
  <c r="H42" i="69"/>
  <c r="K42" i="69" s="1"/>
  <c r="N42" i="69" s="1"/>
  <c r="P42" i="69" s="1"/>
  <c r="D38" i="3"/>
  <c r="P44" i="79"/>
  <c r="T44" i="79" s="1"/>
  <c r="M44" i="79"/>
  <c r="D22" i="3"/>
  <c r="D41" i="3"/>
  <c r="T10" i="79"/>
  <c r="H26" i="69"/>
  <c r="K26" i="69" s="1"/>
  <c r="N26" i="69" s="1"/>
  <c r="P26" i="69" s="1"/>
  <c r="D23" i="3"/>
  <c r="D21" i="3"/>
  <c r="D25" i="3"/>
  <c r="D30" i="3"/>
  <c r="D15" i="3"/>
  <c r="U89" i="1"/>
  <c r="U90" i="1" s="1"/>
  <c r="U84" i="1" s="1"/>
  <c r="D32" i="3"/>
  <c r="D13" i="3"/>
  <c r="D16" i="3"/>
  <c r="AC89" i="1"/>
  <c r="AC90" i="1" s="1"/>
  <c r="AC84" i="1" s="1"/>
  <c r="H19" i="69"/>
  <c r="K19" i="69" s="1"/>
  <c r="N19" i="69" s="1"/>
  <c r="P19" i="69" s="1"/>
  <c r="I47" i="75"/>
  <c r="I54" i="75" s="1"/>
  <c r="H55" i="54"/>
  <c r="D34" i="3"/>
  <c r="H40" i="69"/>
  <c r="K40" i="69" s="1"/>
  <c r="N40" i="69" s="1"/>
  <c r="P40" i="69" s="1"/>
  <c r="D24" i="3"/>
  <c r="AE89" i="1"/>
  <c r="AE90" i="1" s="1"/>
  <c r="AE84" i="1" s="1"/>
  <c r="D36" i="3"/>
  <c r="H32" i="69"/>
  <c r="K32" i="69" s="1"/>
  <c r="N32" i="69" s="1"/>
  <c r="P32" i="69" s="1"/>
  <c r="H48" i="69"/>
  <c r="K48" i="69" s="1"/>
  <c r="N48" i="69" s="1"/>
  <c r="P48" i="69" s="1"/>
  <c r="H47" i="69"/>
  <c r="K47" i="69" s="1"/>
  <c r="N47" i="69" s="1"/>
  <c r="P47" i="69" s="1"/>
  <c r="D42" i="3"/>
  <c r="AK89" i="1"/>
  <c r="AK90" i="1" s="1"/>
  <c r="AK84" i="1" s="1"/>
  <c r="R89" i="1"/>
  <c r="R90" i="1" s="1"/>
  <c r="R84" i="1" s="1"/>
  <c r="H28" i="69"/>
  <c r="K28" i="69" s="1"/>
  <c r="N28" i="69" s="1"/>
  <c r="P28" i="69" s="1"/>
  <c r="M89" i="1"/>
  <c r="M90" i="1" s="1"/>
  <c r="M84" i="1" s="1"/>
  <c r="J89" i="1"/>
  <c r="J90" i="1" s="1"/>
  <c r="J84" i="1" s="1"/>
  <c r="D10" i="3"/>
  <c r="G89" i="1"/>
  <c r="G90" i="1" s="1"/>
  <c r="G84" i="1" s="1"/>
  <c r="H44" i="69"/>
  <c r="K44" i="69" s="1"/>
  <c r="N44" i="69" s="1"/>
  <c r="P44" i="69" s="1"/>
  <c r="D35" i="3"/>
  <c r="P27" i="69"/>
  <c r="P39" i="69"/>
  <c r="P46" i="69"/>
  <c r="H41" i="69"/>
  <c r="K41" i="69" s="1"/>
  <c r="N41" i="69" s="1"/>
  <c r="P41" i="69" s="1"/>
  <c r="P43" i="69"/>
  <c r="P25" i="69"/>
  <c r="O17" i="69"/>
  <c r="O34" i="69" s="1"/>
  <c r="O51" i="69" s="1"/>
  <c r="I89" i="1"/>
  <c r="I90" i="1" s="1"/>
  <c r="I84" i="1" s="1"/>
  <c r="AG89" i="1"/>
  <c r="AG90" i="1" s="1"/>
  <c r="AG84" i="1" s="1"/>
  <c r="S89" i="1"/>
  <c r="S90" i="1" s="1"/>
  <c r="S84" i="1" s="1"/>
  <c r="D12" i="3"/>
  <c r="H29" i="69"/>
  <c r="K29" i="69" s="1"/>
  <c r="N29" i="69" s="1"/>
  <c r="P29" i="69" s="1"/>
  <c r="L89" i="1"/>
  <c r="L90" i="1" s="1"/>
  <c r="L84" i="1" s="1"/>
  <c r="P45" i="69"/>
  <c r="G47" i="75"/>
  <c r="H22" i="69"/>
  <c r="K22" i="69" s="1"/>
  <c r="N22" i="69" s="1"/>
  <c r="P22" i="69" s="1"/>
  <c r="H20" i="69"/>
  <c r="K20" i="69" s="1"/>
  <c r="N20" i="69" s="1"/>
  <c r="P20" i="69" s="1"/>
  <c r="H36" i="69"/>
  <c r="K36" i="69" s="1"/>
  <c r="N36" i="69" s="1"/>
  <c r="P36" i="69" s="1"/>
  <c r="P13" i="69"/>
  <c r="Y89" i="1"/>
  <c r="Y90" i="1" s="1"/>
  <c r="Y84" i="1" s="1"/>
  <c r="P37" i="69"/>
  <c r="H23" i="69"/>
  <c r="K23" i="69" s="1"/>
  <c r="N23" i="69" s="1"/>
  <c r="P23" i="69" s="1"/>
  <c r="P21" i="69"/>
  <c r="T89" i="1"/>
  <c r="T90" i="1" s="1"/>
  <c r="T84" i="1" s="1"/>
  <c r="H30" i="69"/>
  <c r="K30" i="69" s="1"/>
  <c r="N30" i="69" s="1"/>
  <c r="P30" i="69" s="1"/>
  <c r="P89" i="1"/>
  <c r="P90" i="1" s="1"/>
  <c r="P84" i="1" s="1"/>
  <c r="H38" i="69"/>
  <c r="K38" i="69" s="1"/>
  <c r="N38" i="69" s="1"/>
  <c r="P38" i="69" s="1"/>
  <c r="H89" i="1"/>
  <c r="H90" i="1" s="1"/>
  <c r="H84" i="1" s="1"/>
  <c r="H14" i="69"/>
  <c r="K14" i="69" s="1"/>
  <c r="N14" i="69" s="1"/>
  <c r="P14" i="69" s="1"/>
  <c r="AA89" i="1"/>
  <c r="AA90" i="1" s="1"/>
  <c r="AA84" i="1" s="1"/>
  <c r="D19" i="3"/>
  <c r="K12" i="69"/>
  <c r="E54" i="75"/>
  <c r="G51" i="75"/>
  <c r="M13" i="79" l="1"/>
  <c r="P34" i="79"/>
  <c r="T34" i="79" s="1"/>
  <c r="M34" i="79"/>
  <c r="P26" i="79"/>
  <c r="T26" i="79" s="1"/>
  <c r="M26" i="79"/>
  <c r="P40" i="79"/>
  <c r="T40" i="79" s="1"/>
  <c r="M40" i="79"/>
  <c r="P36" i="79"/>
  <c r="T36" i="79" s="1"/>
  <c r="M36" i="79"/>
  <c r="P25" i="79"/>
  <c r="T25" i="79" s="1"/>
  <c r="M25" i="79"/>
  <c r="P22" i="79"/>
  <c r="T22" i="79" s="1"/>
  <c r="M22" i="79"/>
  <c r="P43" i="79"/>
  <c r="T43" i="79" s="1"/>
  <c r="M43" i="79"/>
  <c r="P38" i="79"/>
  <c r="T38" i="79" s="1"/>
  <c r="M38" i="79"/>
  <c r="P17" i="79"/>
  <c r="T17" i="79" s="1"/>
  <c r="M17" i="79"/>
  <c r="P16" i="79"/>
  <c r="T16" i="79" s="1"/>
  <c r="M16" i="79"/>
  <c r="P24" i="79"/>
  <c r="T24" i="79" s="1"/>
  <c r="M24" i="79"/>
  <c r="P23" i="79"/>
  <c r="T23" i="79" s="1"/>
  <c r="M23" i="79"/>
  <c r="P11" i="79"/>
  <c r="M11" i="79"/>
  <c r="P14" i="79"/>
  <c r="T14" i="79" s="1"/>
  <c r="M14" i="79"/>
  <c r="P32" i="79"/>
  <c r="T32" i="79" s="1"/>
  <c r="M32" i="79"/>
  <c r="P20" i="79"/>
  <c r="T20" i="79" s="1"/>
  <c r="M20" i="79"/>
  <c r="P12" i="79"/>
  <c r="T12" i="79" s="1"/>
  <c r="M12" i="79"/>
  <c r="F55" i="77"/>
  <c r="J55" i="54"/>
  <c r="G55" i="54"/>
  <c r="H55" i="77"/>
  <c r="H17" i="69"/>
  <c r="N12" i="69"/>
  <c r="K17" i="69"/>
  <c r="G54" i="75"/>
  <c r="W54" i="1"/>
  <c r="J55" i="75" s="1"/>
  <c r="T11" i="79" l="1"/>
  <c r="K55" i="77"/>
  <c r="G55" i="77"/>
  <c r="W59" i="1"/>
  <c r="X54" i="1"/>
  <c r="W54" i="76"/>
  <c r="W59" i="76" s="1"/>
  <c r="P12" i="69"/>
  <c r="N17" i="69"/>
  <c r="P27" i="79" l="1"/>
  <c r="M27" i="79"/>
  <c r="I29" i="79"/>
  <c r="X59" i="1"/>
  <c r="X89" i="1" s="1"/>
  <c r="X90" i="1" s="1"/>
  <c r="X84" i="1" s="1"/>
  <c r="AL54" i="1"/>
  <c r="H31" i="69"/>
  <c r="D26" i="3"/>
  <c r="D28" i="3" s="1"/>
  <c r="D43" i="3" s="1"/>
  <c r="W89" i="1"/>
  <c r="W90" i="1" s="1"/>
  <c r="W84" i="1" s="1"/>
  <c r="I46" i="79" l="1"/>
  <c r="M29" i="79"/>
  <c r="M46" i="79" s="1"/>
  <c r="M50" i="79" s="1"/>
  <c r="H9" i="80" s="1"/>
  <c r="T27" i="79"/>
  <c r="AL59" i="1"/>
  <c r="F17" i="55" s="1"/>
  <c r="K31" i="69"/>
  <c r="H34" i="69"/>
  <c r="H51" i="69" s="1"/>
  <c r="H15" i="80" l="1"/>
  <c r="H17" i="80" s="1"/>
  <c r="F43" i="3"/>
  <c r="AL89" i="1"/>
  <c r="AL90" i="1" s="1"/>
  <c r="AL84" i="1" s="1"/>
  <c r="N31" i="69"/>
  <c r="K34" i="69"/>
  <c r="K51" i="69" s="1"/>
  <c r="K57" i="69" s="1"/>
  <c r="H52" i="69" l="1"/>
  <c r="P31" i="69"/>
  <c r="N34" i="69"/>
  <c r="N51" i="69" s="1"/>
  <c r="O52" i="69" l="1"/>
  <c r="O112" i="69" s="1"/>
  <c r="O114" i="69" s="1"/>
  <c r="N57" i="69"/>
  <c r="H54" i="54"/>
  <c r="F54" i="77" s="1"/>
  <c r="F59" i="77" s="1"/>
  <c r="F82" i="77" s="1"/>
  <c r="G54" i="54" l="1"/>
  <c r="G59" i="54" s="1"/>
  <c r="H59" i="54"/>
  <c r="H82" i="54" s="1"/>
  <c r="F19" i="55"/>
  <c r="O54" i="69"/>
  <c r="O57" i="69" s="1"/>
  <c r="O58" i="69" s="1"/>
  <c r="O60" i="69" s="1"/>
  <c r="F23" i="55" l="1"/>
  <c r="T48" i="79" s="1"/>
  <c r="H20" i="80" s="1"/>
  <c r="F31" i="55" l="1"/>
  <c r="F27" i="55"/>
  <c r="H54" i="77"/>
  <c r="H59" i="77" s="1"/>
  <c r="H82" i="77" s="1"/>
  <c r="H25" i="55"/>
  <c r="H29" i="55"/>
  <c r="O118" i="69"/>
  <c r="P118" i="69" s="1"/>
  <c r="J12" i="56"/>
  <c r="G17" i="55"/>
  <c r="G54" i="77" l="1"/>
  <c r="G59" i="77" s="1"/>
  <c r="G19" i="55"/>
  <c r="H19" i="55" s="1"/>
  <c r="J15" i="56"/>
  <c r="I39" i="77" s="1"/>
  <c r="I15" i="77"/>
  <c r="I15" i="54"/>
  <c r="J15" i="54" s="1"/>
  <c r="J18" i="54" s="1"/>
  <c r="J17" i="56"/>
  <c r="J19" i="56"/>
  <c r="G23" i="55" l="1"/>
  <c r="I18" i="54"/>
  <c r="I39" i="54"/>
  <c r="J39" i="54" s="1"/>
  <c r="I44" i="54"/>
  <c r="I48" i="54" s="1"/>
  <c r="I44" i="77"/>
  <c r="I18" i="77"/>
  <c r="I36" i="54"/>
  <c r="J36" i="54" s="1"/>
  <c r="J37" i="54" s="1"/>
  <c r="I36" i="77"/>
  <c r="J21" i="56"/>
  <c r="J23" i="56" s="1"/>
  <c r="J25" i="56" s="1"/>
  <c r="H23" i="55" l="1"/>
  <c r="H27" i="55" s="1"/>
  <c r="I37" i="54"/>
  <c r="I49" i="54" s="1"/>
  <c r="I51" i="54" s="1"/>
  <c r="J44" i="54"/>
  <c r="J48" i="54" s="1"/>
  <c r="J49" i="54" s="1"/>
  <c r="J51" i="54" s="1"/>
  <c r="I54" i="54"/>
  <c r="J54" i="54" s="1"/>
  <c r="I54" i="77"/>
  <c r="I37" i="77"/>
  <c r="I48" i="77"/>
  <c r="J27" i="56"/>
  <c r="J29" i="56" s="1"/>
  <c r="J30" i="56" s="1"/>
  <c r="H31" i="55" l="1"/>
  <c r="J39" i="77"/>
  <c r="K39" i="77" s="1"/>
  <c r="I49" i="77"/>
  <c r="I51" i="77" s="1"/>
  <c r="I59" i="77" s="1"/>
  <c r="J59" i="54"/>
  <c r="J82" i="54" s="1"/>
  <c r="I59" i="54"/>
  <c r="J44" i="77" l="1"/>
  <c r="J48" i="77" s="1"/>
  <c r="J15" i="77"/>
  <c r="J18" i="77" s="1"/>
  <c r="J36" i="77"/>
  <c r="J37" i="77" s="1"/>
  <c r="J54" i="77"/>
  <c r="K54" i="77" s="1"/>
  <c r="K36" i="77" l="1"/>
  <c r="K37" i="77" s="1"/>
  <c r="J49" i="77"/>
  <c r="J51" i="77" s="1"/>
  <c r="J59" i="77" s="1"/>
  <c r="K44" i="77"/>
  <c r="K48" i="77" s="1"/>
  <c r="K15" i="77"/>
  <c r="K18" i="77" s="1"/>
  <c r="K49" i="77" l="1"/>
  <c r="K51" i="77" s="1"/>
  <c r="K59" i="77" s="1"/>
  <c r="K82" i="77" s="1"/>
  <c r="Y15" i="79" l="1"/>
  <c r="AC15" i="79" s="1"/>
  <c r="P15" i="79" l="1"/>
  <c r="T15" i="79" s="1"/>
  <c r="W29" i="79"/>
  <c r="W46" i="79" s="1"/>
  <c r="Y13" i="79"/>
  <c r="P13" i="79" s="1"/>
  <c r="P29" i="79" l="1"/>
  <c r="P46" i="79" s="1"/>
  <c r="T13" i="79"/>
  <c r="T29" i="79" s="1"/>
  <c r="T46" i="79" s="1"/>
  <c r="T50" i="79" s="1"/>
  <c r="AC13" i="79"/>
  <c r="AC29" i="79" s="1"/>
  <c r="Y29" i="79"/>
  <c r="Y46" i="79" s="1"/>
  <c r="AC46" i="79" s="1"/>
  <c r="F12" i="80" l="1"/>
  <c r="F10" i="80" l="1"/>
  <c r="F11" i="80" l="1"/>
  <c r="F13" i="80" l="1"/>
  <c r="F15" i="80" s="1"/>
  <c r="F17" i="80" s="1"/>
  <c r="F20" i="80" l="1"/>
</calcChain>
</file>

<file path=xl/comments1.xml><?xml version="1.0" encoding="utf-8"?>
<comments xmlns="http://schemas.openxmlformats.org/spreadsheetml/2006/main">
  <authors>
    <author>rzk7kq</author>
  </authors>
  <commentList>
    <comment ref="B57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3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<sst xmlns="http://schemas.openxmlformats.org/spreadsheetml/2006/main" count="1130" uniqueCount="600">
  <si>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</si>
  <si>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</si>
  <si>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</si>
  <si>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</si>
  <si>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</si>
  <si>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</si>
  <si>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</si>
  <si>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</si>
  <si>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</si>
  <si>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</si>
  <si>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</si>
  <si>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</si>
  <si>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</si>
  <si>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</si>
  <si>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</si>
  <si>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</si>
  <si>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</si>
  <si>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</si>
  <si>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</si>
  <si>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</si>
  <si>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</si>
  <si>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</si>
  <si>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</si>
  <si>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</si>
  <si>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</si>
  <si>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</si>
  <si>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</si>
  <si>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</si>
  <si>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</si>
  <si>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</si>
  <si>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</si>
  <si>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</si>
  <si>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</si>
  <si>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</si>
  <si>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</si>
  <si>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</si>
  <si>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</si>
  <si>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</si>
  <si>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</si>
  <si>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</si>
  <si>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</si>
  <si>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</si>
  <si>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</si>
  <si>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</si>
  <si>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</si>
  <si>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</si>
  <si>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</si>
  <si>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</si>
  <si>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</si>
  <si>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</si>
  <si>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</si>
  <si>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</si>
  <si>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</si>
  <si>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</si>
  <si>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</si>
  <si>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</si>
  <si>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</si>
  <si>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</si>
  <si>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</si>
  <si>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</si>
  <si>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</si>
  <si>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</si>
  <si>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</si>
  <si>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</si>
  <si>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</si>
  <si>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</si>
  <si>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</si>
  <si>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</si>
  <si>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</si>
  <si>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</si>
  <si>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</si>
  <si>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</si>
  <si>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</si>
  <si>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</si>
  <si>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</si>
  <si>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</si>
  <si>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</si>
  <si>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</si>
  <si>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</si>
  <si>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</si>
  <si>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</si>
  <si>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</si>
  <si>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</si>
  <si>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</si>
  <si>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</si>
  <si>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</si>
  <si>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</si>
  <si>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</si>
  <si>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</si>
  <si>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</si>
  <si>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</si>
  <si>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</si>
  <si>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</si>
  <si>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</si>
  <si>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</si>
  <si>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</si>
  <si>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</si>
  <si>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</si>
  <si>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</si>
  <si>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</si>
  <si>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</si>
  <si>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</si>
  <si>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</si>
  <si>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</si>
  <si>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</si>
  <si>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</si>
  <si>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</si>
  <si>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</si>
  <si>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</si>
  <si>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</si>
  <si>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</si>
  <si>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</si>
  <si>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</si>
  <si>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</si>
  <si>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</si>
  <si>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</si>
  <si>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</si>
  <si>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</si>
  <si>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</si>
  <si>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</si>
  <si>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</si>
  <si>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</si>
  <si>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</si>
  <si>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</si>
  <si>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</si>
  <si>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</si>
  <si>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</si>
  <si>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</si>
  <si>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</si>
  <si>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</si>
  <si>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</si>
  <si>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</si>
  <si>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</si>
  <si>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</si>
  <si>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</si>
  <si>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</si>
  <si>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</si>
  <si>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</si>
  <si>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</si>
  <si>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</si>
  <si>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</si>
  <si>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</si>
  <si>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</si>
  <si>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</si>
  <si>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</si>
  <si>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</si>
  <si>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</si>
  <si>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</si>
  <si>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</si>
  <si>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</si>
  <si>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</si>
  <si>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</si>
  <si>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</si>
  <si>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</si>
  <si>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</si>
  <si>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</si>
  <si>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</si>
  <si>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</si>
  <si>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</si>
  <si>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</si>
  <si>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</si>
  <si>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</si>
  <si>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</si>
  <si>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</si>
  <si>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</si>
  <si>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</si>
  <si>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</si>
  <si>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</si>
  <si>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</si>
  <si>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</si>
  <si>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ID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</si>
  <si>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</si>
  <si>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</si>
  <si>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</si>
  <si>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</si>
  <si>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</si>
  <si>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</si>
  <si>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</si>
  <si>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</si>
  <si>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</si>
  <si>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</si>
  <si>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</si>
  <si>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</si>
  <si>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</si>
  <si>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</si>
  <si>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</si>
  <si>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</si>
  <si>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</si>
  <si>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</si>
  <si>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</si>
  <si>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</si>
  <si>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</si>
  <si>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</si>
  <si>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</si>
  <si>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rounding</t>
  </si>
  <si>
    <t>flow through</t>
  </si>
  <si>
    <t>Incentive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</si>
  <si>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</si>
  <si>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</si>
  <si>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</si>
  <si>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</si>
  <si>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</si>
  <si>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</si>
  <si>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</si>
  <si>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</si>
  <si>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</si>
  <si>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</si>
  <si>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</si>
  <si>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</si>
  <si>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</si>
  <si>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</si>
  <si>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</si>
  <si>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</si>
  <si>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</si>
  <si>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</si>
  <si>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</si>
  <si>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</si>
  <si>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</si>
  <si>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</si>
  <si>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</si>
  <si>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</si>
  <si>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</si>
  <si>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</si>
  <si>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</si>
  <si>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</si>
  <si>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</si>
  <si>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</si>
  <si>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</si>
  <si>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</si>
  <si>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</si>
  <si>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</si>
  <si>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</si>
  <si>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</si>
  <si>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</si>
  <si>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</si>
  <si>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</si>
  <si>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</si>
  <si>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</si>
  <si>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</si>
  <si>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</si>
  <si>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</si>
  <si>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</si>
  <si>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</si>
  <si>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</si>
  <si>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</si>
  <si>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</si>
  <si>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</si>
  <si>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</si>
  <si>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</si>
  <si>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</si>
  <si>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</si>
  <si>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</si>
  <si>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</si>
  <si>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</si>
  <si>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</si>
  <si>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</si>
  <si>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</si>
  <si>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</si>
  <si>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</si>
  <si>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</si>
  <si>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</si>
  <si>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</si>
  <si>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</si>
  <si>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</si>
  <si>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</si>
  <si>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</si>
  <si>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</si>
  <si>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</si>
  <si>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</si>
  <si>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</si>
  <si>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</si>
  <si>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</si>
  <si>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</si>
  <si>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</si>
  <si>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</si>
  <si>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</si>
  <si>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</si>
  <si>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</si>
  <si>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</si>
  <si>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</si>
  <si>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</si>
  <si>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</si>
  <si>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</si>
  <si>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</si>
  <si>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</si>
  <si>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</si>
  <si>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</si>
  <si>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</si>
  <si>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</si>
  <si>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</si>
  <si>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</si>
  <si>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</si>
  <si>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</si>
  <si>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</si>
  <si>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</si>
  <si>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</si>
  <si>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</si>
  <si>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</si>
  <si>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</si>
  <si>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</si>
  <si>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</si>
  <si>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</si>
  <si>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</si>
  <si>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</si>
  <si>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</si>
  <si>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</si>
  <si>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</si>
  <si>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</si>
  <si>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</si>
  <si>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</si>
  <si>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</si>
  <si>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</si>
  <si>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</si>
  <si>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</si>
  <si>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</si>
  <si>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</si>
  <si>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</si>
  <si>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</si>
  <si>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</si>
  <si>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</si>
  <si>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</si>
  <si>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</si>
  <si>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</si>
  <si>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</si>
  <si>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</si>
  <si>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</si>
  <si>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</si>
  <si>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</si>
  <si>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</si>
  <si>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</si>
  <si>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</si>
  <si>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</si>
  <si>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</si>
  <si>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</si>
  <si>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</si>
  <si>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</si>
  <si>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</si>
  <si>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</si>
  <si>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</si>
  <si>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</si>
  <si>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</si>
  <si>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</si>
  <si>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</si>
  <si>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</si>
  <si>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</si>
  <si>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</si>
  <si>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</si>
  <si>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</si>
  <si>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</si>
  <si>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</si>
  <si>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</si>
  <si>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</si>
  <si>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</si>
  <si>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</si>
  <si>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</si>
  <si>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</si>
  <si>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</si>
  <si>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</si>
  <si>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</si>
  <si>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</si>
  <si>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</si>
  <si>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</si>
  <si>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</si>
  <si>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</si>
  <si>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</si>
  <si>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</si>
  <si>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</si>
  <si>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</si>
  <si>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</si>
  <si>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</si>
  <si>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</si>
  <si>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</si>
  <si>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</si>
  <si>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</si>
  <si>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</si>
  <si>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</si>
  <si>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</si>
  <si>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</si>
  <si>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</si>
  <si>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</si>
  <si>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</si>
  <si>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</si>
  <si>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</si>
  <si>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</si>
  <si>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</si>
  <si>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</si>
  <si>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</si>
  <si>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</si>
  <si>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</si>
  <si>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</si>
  <si>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</si>
  <si>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</si>
  <si>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</si>
  <si>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</si>
  <si>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</si>
  <si>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</si>
  <si>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</si>
  <si>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</si>
  <si>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</si>
  <si>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</si>
  <si>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</si>
  <si>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</si>
  <si>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</si>
  <si>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</si>
  <si>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</si>
  <si>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</si>
  <si>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</si>
  <si>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</si>
  <si>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</si>
  <si>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</si>
  <si>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</si>
  <si>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</si>
  <si>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</si>
  <si>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</si>
  <si>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</si>
  <si>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</si>
  <si>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</si>
  <si>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</si>
  <si>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</si>
  <si>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</si>
  <si>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</si>
  <si>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</si>
  <si>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</si>
  <si>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</si>
  <si>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</si>
  <si>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</si>
  <si>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</si>
  <si>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</si>
  <si>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</si>
  <si>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</si>
  <si>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</si>
  <si>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</si>
  <si>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</si>
  <si>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</si>
  <si>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</si>
  <si>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</si>
  <si>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</si>
  <si>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</si>
  <si>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</si>
  <si>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</si>
  <si>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</si>
  <si>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</si>
  <si>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</si>
  <si>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</si>
  <si>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</si>
  <si>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</si>
  <si>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</si>
  <si>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</si>
  <si>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O&amp;M</t>
  </si>
  <si>
    <t>Offsets</t>
  </si>
  <si>
    <t xml:space="preserve">FIT / </t>
  </si>
  <si>
    <t xml:space="preserve">DFIT </t>
  </si>
  <si>
    <t>Total Debt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</si>
  <si>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</si>
  <si>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</si>
  <si>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</si>
  <si>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</si>
  <si>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</si>
  <si>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</si>
  <si>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</si>
  <si>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 xml:space="preserve">Jen 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</si>
  <si>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</si>
  <si>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</si>
  <si>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</si>
  <si>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</si>
  <si>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</si>
  <si>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</si>
  <si>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</si>
  <si>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</si>
  <si>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</si>
  <si>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</si>
  <si>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</si>
  <si>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</si>
  <si>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</si>
  <si>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</si>
  <si>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</si>
  <si>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</si>
  <si>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</si>
  <si>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</si>
  <si>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Revenue Requirement - 2016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</si>
  <si>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</si>
  <si>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</si>
  <si>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</si>
  <si>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</si>
  <si>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</si>
  <si>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</si>
  <si>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</si>
  <si>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</si>
  <si>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G-PCAP16</t>
  </si>
  <si>
    <t>Capital Adds</t>
  </si>
  <si>
    <t>G-POFF</t>
  </si>
  <si>
    <t>G-PRA</t>
  </si>
  <si>
    <t>G-PAT</t>
  </si>
  <si>
    <t>Restating Adjustments</t>
  </si>
  <si>
    <t xml:space="preserve">Project </t>
  </si>
  <si>
    <t>Compass</t>
  </si>
  <si>
    <t>Deferral</t>
  </si>
  <si>
    <t>G-CD</t>
  </si>
  <si>
    <t>G-WNGC</t>
  </si>
  <si>
    <t>2018</t>
  </si>
  <si>
    <t>Incremental</t>
  </si>
  <si>
    <t>Total Base Distribution Revenues*</t>
  </si>
  <si>
    <t>Total Present Billed Revenue</t>
  </si>
  <si>
    <t>Percentage Billed Revenue Increase</t>
  </si>
  <si>
    <t>Percentage Base Distribution Revenue Increase</t>
  </si>
  <si>
    <t xml:space="preserve">Total </t>
  </si>
  <si>
    <t>g</t>
  </si>
  <si>
    <t>WITH 2018 PROPOSED RATES</t>
  </si>
  <si>
    <t>2018 Proposed</t>
  </si>
  <si>
    <t>(000's of          Dollars)</t>
  </si>
  <si>
    <t>(000's of              Dollars)</t>
  </si>
  <si>
    <t>Total (1)</t>
  </si>
  <si>
    <t>CofDebt change</t>
  </si>
  <si>
    <t>ROR change</t>
  </si>
  <si>
    <t>2019</t>
  </si>
  <si>
    <t>G-PIS</t>
  </si>
  <si>
    <t>Leap Deferral</t>
  </si>
  <si>
    <t>Gas Line Ext.</t>
  </si>
  <si>
    <t>Joel</t>
  </si>
  <si>
    <t xml:space="preserve">Joel </t>
  </si>
  <si>
    <t>G-PLEAP</t>
  </si>
  <si>
    <t>TWELVE MONTHS ENDED DECEMBER 31, 2016</t>
  </si>
  <si>
    <t>WITH 2019 PROPOSED RATES</t>
  </si>
  <si>
    <t>2019 Proposed</t>
  </si>
  <si>
    <t>WA Excess Nat Gas Line Extension</t>
  </si>
  <si>
    <t>DFIT - WA Excess Nat Gas Line Extension</t>
  </si>
  <si>
    <t>Ehrbar Exhibit - 2017 Present Billed Revenue from Ehrbar Exhibit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</si>
  <si>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</si>
  <si>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</si>
  <si>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</si>
  <si>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</si>
  <si>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</si>
  <si>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</si>
  <si>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Director</t>
  </si>
  <si>
    <t>Fees Expense</t>
  </si>
  <si>
    <t>G-PDF</t>
  </si>
  <si>
    <t>Misc. Restating</t>
  </si>
  <si>
    <t>Non-Util / Non-</t>
  </si>
  <si>
    <t>Recurring Expenses</t>
  </si>
  <si>
    <t>IS/IT</t>
  </si>
  <si>
    <t>2017 Threshhold</t>
  </si>
  <si>
    <t>Employee</t>
  </si>
  <si>
    <t>(000's of  Dollars)</t>
  </si>
  <si>
    <t>ACTUAL</t>
  </si>
  <si>
    <t>RESULTS</t>
  </si>
  <si>
    <t xml:space="preserve">WASHINGTON NATURAL GAS - PRO FORMA </t>
  </si>
  <si>
    <t>G-PI</t>
  </si>
  <si>
    <t>&amp; Leak Survey</t>
  </si>
  <si>
    <t>Atmospheric Testing</t>
  </si>
  <si>
    <t>CALCULATION OF TRADITIONAL PRO FORMA STUDY REVENUE REQUIREMENT</t>
  </si>
  <si>
    <t>Per Traditional                              Pro Forma  Study</t>
  </si>
  <si>
    <t>TRADITIONAL PRO FORMA STUDY</t>
  </si>
  <si>
    <t>PF-Ttl</t>
  </si>
  <si>
    <t>TRADITIONAL PRO FORMA COST OF CAPITAL</t>
  </si>
  <si>
    <t>Capital Structure</t>
  </si>
  <si>
    <t>May 1, 2018</t>
  </si>
  <si>
    <t>Company Filing (Rev. Req. at ICNU ROR)</t>
  </si>
  <si>
    <t>Rev. Req. Parameters</t>
  </si>
  <si>
    <t xml:space="preserve">Rev. Req. </t>
  </si>
  <si>
    <t>Pre-Tax</t>
  </si>
  <si>
    <t xml:space="preserve">Adj. </t>
  </si>
  <si>
    <t xml:space="preserve">Net Oper. </t>
  </si>
  <si>
    <t xml:space="preserve">Def. / </t>
  </si>
  <si>
    <t>Revenue Conversion</t>
  </si>
  <si>
    <t xml:space="preserve">No. </t>
  </si>
  <si>
    <t>Income</t>
  </si>
  <si>
    <t>(Suf.)</t>
  </si>
  <si>
    <t>Tax Rate</t>
  </si>
  <si>
    <t>Cost of Capital</t>
  </si>
  <si>
    <t>Restating Adjustments:</t>
  </si>
  <si>
    <t>Common</t>
  </si>
  <si>
    <t xml:space="preserve">Filed Return </t>
  </si>
  <si>
    <t>Filed Rate Base</t>
  </si>
  <si>
    <t>Cost of Capital Impact</t>
  </si>
  <si>
    <t>Restated Results</t>
  </si>
  <si>
    <t>Pro Forma Results (Traditional Rev. Req.)</t>
  </si>
  <si>
    <t>Filed Deficiency:</t>
  </si>
  <si>
    <t>Calculated:</t>
  </si>
  <si>
    <t>ROR Impact:</t>
  </si>
  <si>
    <t>Gas Revenue Requirement Summary ($000)</t>
  </si>
  <si>
    <t>Oppose</t>
  </si>
  <si>
    <t xml:space="preserve">Neutral </t>
  </si>
  <si>
    <t>Company Proposed (Traditional)</t>
  </si>
  <si>
    <t xml:space="preserve">Impact of Contested Adjustments </t>
  </si>
  <si>
    <t>Pro Forma Plant Additions</t>
  </si>
  <si>
    <t>Director Fees</t>
  </si>
  <si>
    <t>Pro Forma Labor (Non-Exec)</t>
  </si>
  <si>
    <t xml:space="preserve">Power Supply </t>
  </si>
  <si>
    <t>Electric</t>
  </si>
  <si>
    <t>Gas</t>
  </si>
  <si>
    <t>Cost of Capital (Gorman)</t>
  </si>
  <si>
    <t>Total Adjustments</t>
  </si>
  <si>
    <t>Initial Recommendation</t>
  </si>
  <si>
    <t>NWIGU Proposed</t>
  </si>
  <si>
    <t>Impact of NWIGU Adjustments</t>
  </si>
  <si>
    <t>NWIGU Position</t>
  </si>
  <si>
    <t>Contested</t>
  </si>
  <si>
    <t>Per Book Results (Y/E Dec. 2016)</t>
  </si>
  <si>
    <t>Update (Cost of Debt)</t>
  </si>
  <si>
    <t>Interest Sych. (Cost of Debt)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</si>
</sst>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0.000"/>
    <numFmt numFmtId="180" formatCode="_(* #,##0.00_);_(* \(#,##0.00\);_(* &quot;-&quot;_);_(@_)"/>
    <numFmt numFmtId="181" formatCode="_(* #,##0.000_);_(* \(#,##0.000\);_(* &quot;-&quot;_);_(@_)"/>
    <numFmt numFmtId="182" formatCode="_(* #,##0.0000_);_(* \(#,##0.0000\);_(* &quot;-&quot;_);_(@_)"/>
  </numFmts>
  <fonts count="68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u/>
      <sz val="10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b/>
      <sz val="10"/>
      <color rgb="FF002060"/>
      <name val="Times New Roman"/>
      <family val="1"/>
    </font>
    <font>
      <sz val="10"/>
      <color rgb="FF002060"/>
      <name val="Times New Roman"/>
      <family val="1"/>
    </font>
    <font>
      <u/>
      <sz val="10"/>
      <color rgb="FF002060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i/>
      <u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4" fillId="0" borderId="0"/>
    <xf numFmtId="44" fontId="1" fillId="0" borderId="0" applyFont="0" applyFill="0" applyBorder="0" applyAlignment="0" applyProtection="0"/>
    <xf numFmtId="0" fontId="50" fillId="4" borderId="0"/>
    <xf numFmtId="0" fontId="3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4" fillId="0" borderId="0"/>
    <xf numFmtId="43" fontId="54" fillId="0" borderId="0" applyFont="0" applyFill="0" applyBorder="0" applyAlignment="0" applyProtection="0"/>
    <xf numFmtId="0" fontId="44" fillId="0" borderId="0"/>
  </cellStyleXfs>
  <cellXfs count="818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0" fontId="5" fillId="0" borderId="0" xfId="0" applyFont="1" applyAlignment="1">
      <alignment horizontal="centerContinuous"/>
    </xf>
    <xf numFmtId="37" fontId="3" fillId="0" borderId="0" xfId="5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left"/>
    </xf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169" fontId="22" fillId="0" borderId="0" xfId="0" applyNumberFormat="1" applyFont="1" applyAlignment="1">
      <alignment horizontal="right"/>
    </xf>
    <xf numFmtId="169" fontId="9" fillId="0" borderId="0" xfId="0" applyNumberFormat="1" applyFont="1"/>
    <xf numFmtId="169" fontId="23" fillId="0" borderId="0" xfId="0" applyNumberFormat="1" applyFont="1" applyAlignment="1">
      <alignment horizontal="center"/>
    </xf>
    <xf numFmtId="169" fontId="10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69" fontId="24" fillId="0" borderId="0" xfId="0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0" fontId="24" fillId="0" borderId="0" xfId="0" applyNumberFormat="1" applyFont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8" fillId="0" borderId="0" xfId="0" applyFont="1"/>
    <xf numFmtId="169" fontId="15" fillId="0" borderId="0" xfId="0" applyNumberFormat="1" applyFont="1"/>
    <xf numFmtId="0" fontId="25" fillId="0" borderId="0" xfId="0" applyFont="1"/>
    <xf numFmtId="0" fontId="0" fillId="0" borderId="0" xfId="0" applyFill="1"/>
    <xf numFmtId="0" fontId="17" fillId="0" borderId="0" xfId="0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26" fillId="0" borderId="0" xfId="0" applyFont="1" applyBorder="1" applyAlignment="1">
      <alignment horizontal="center"/>
    </xf>
    <xf numFmtId="174" fontId="17" fillId="0" borderId="0" xfId="2" applyNumberFormat="1" applyFont="1" applyAlignment="1">
      <alignment horizontal="center"/>
    </xf>
    <xf numFmtId="10" fontId="17" fillId="0" borderId="0" xfId="7" applyNumberFormat="1" applyFont="1" applyAlignment="1">
      <alignment horizontal="center"/>
    </xf>
    <xf numFmtId="10" fontId="17" fillId="0" borderId="0" xfId="0" applyNumberFormat="1" applyFont="1" applyBorder="1"/>
    <xf numFmtId="174" fontId="17" fillId="0" borderId="0" xfId="2" applyNumberFormat="1" applyFont="1" applyBorder="1"/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10" fontId="14" fillId="0" borderId="0" xfId="0" applyNumberFormat="1" applyFont="1" applyFill="1" applyBorder="1"/>
    <xf numFmtId="0" fontId="19" fillId="0" borderId="0" xfId="0" applyFont="1" applyAlignment="1">
      <alignment horizontal="right"/>
    </xf>
    <xf numFmtId="0" fontId="27" fillId="0" borderId="0" xfId="0" applyFont="1" applyFill="1"/>
    <xf numFmtId="3" fontId="29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30" fillId="0" borderId="0" xfId="0" applyFont="1"/>
    <xf numFmtId="5" fontId="17" fillId="0" borderId="0" xfId="0" applyNumberFormat="1" applyFont="1"/>
    <xf numFmtId="5" fontId="15" fillId="0" borderId="0" xfId="0" applyNumberFormat="1" applyFont="1" applyFill="1" applyBorder="1"/>
    <xf numFmtId="5" fontId="15" fillId="0" borderId="10" xfId="0" applyNumberFormat="1" applyFont="1" applyBorder="1"/>
    <xf numFmtId="5" fontId="17" fillId="0" borderId="10" xfId="0" applyNumberFormat="1" applyFont="1" applyBorder="1"/>
    <xf numFmtId="6" fontId="9" fillId="0" borderId="12" xfId="2" applyNumberFormat="1" applyFont="1" applyBorder="1"/>
    <xf numFmtId="0" fontId="26" fillId="0" borderId="0" xfId="0" applyFont="1" applyAlignment="1">
      <alignment horizontal="center"/>
    </xf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9" fillId="0" borderId="0" xfId="0" applyFont="1" applyAlignment="1">
      <alignment horizontal="center"/>
    </xf>
    <xf numFmtId="3" fontId="3" fillId="0" borderId="0" xfId="5" applyNumberFormat="1" applyFont="1"/>
    <xf numFmtId="0" fontId="29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31" fillId="0" borderId="0" xfId="0" applyFont="1"/>
    <xf numFmtId="0" fontId="31" fillId="0" borderId="0" xfId="0" applyFont="1" applyFill="1"/>
    <xf numFmtId="37" fontId="31" fillId="0" borderId="0" xfId="5" applyNumberFormat="1" applyFont="1"/>
    <xf numFmtId="0" fontId="32" fillId="0" borderId="0" xfId="0" applyFont="1" applyFill="1" applyBorder="1" applyAlignment="1">
      <alignment horizontal="center"/>
    </xf>
    <xf numFmtId="37" fontId="31" fillId="0" borderId="0" xfId="5" applyNumberFormat="1" applyFont="1" applyFill="1" applyBorder="1"/>
    <xf numFmtId="5" fontId="34" fillId="0" borderId="0" xfId="0" applyNumberFormat="1" applyFont="1" applyFill="1" applyBorder="1"/>
    <xf numFmtId="173" fontId="31" fillId="0" borderId="0" xfId="1" applyNumberFormat="1" applyFont="1" applyFill="1" applyBorder="1"/>
    <xf numFmtId="5" fontId="31" fillId="0" borderId="0" xfId="0" applyNumberFormat="1" applyFont="1" applyFill="1" applyBorder="1"/>
    <xf numFmtId="0" fontId="32" fillId="0" borderId="0" xfId="0" applyFont="1" applyFill="1" applyBorder="1"/>
    <xf numFmtId="37" fontId="32" fillId="0" borderId="0" xfId="5" applyNumberFormat="1" applyFont="1" applyFill="1" applyBorder="1" applyAlignment="1">
      <alignment horizontal="center"/>
    </xf>
    <xf numFmtId="0" fontId="10" fillId="0" borderId="0" xfId="0" applyFont="1"/>
    <xf numFmtId="0" fontId="36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7" fontId="9" fillId="0" borderId="0" xfId="0" applyNumberFormat="1" applyFont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10" fillId="0" borderId="10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19" fillId="2" borderId="0" xfId="0" applyNumberFormat="1" applyFont="1" applyFill="1"/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9" fillId="0" borderId="0" xfId="0" applyNumberFormat="1" applyFont="1"/>
    <xf numFmtId="3" fontId="40" fillId="0" borderId="0" xfId="6" applyNumberFormat="1" applyFont="1" applyFill="1"/>
    <xf numFmtId="3" fontId="40" fillId="0" borderId="0" xfId="5" applyNumberFormat="1" applyFont="1" applyFill="1"/>
    <xf numFmtId="0" fontId="40" fillId="0" borderId="0" xfId="6" applyNumberFormat="1" applyFont="1" applyAlignment="1">
      <alignment horizontal="left"/>
    </xf>
    <xf numFmtId="0" fontId="40" fillId="0" borderId="0" xfId="6" applyFont="1"/>
    <xf numFmtId="3" fontId="42" fillId="0" borderId="0" xfId="6" applyNumberFormat="1" applyFont="1" applyFill="1"/>
    <xf numFmtId="3" fontId="40" fillId="0" borderId="0" xfId="6" applyNumberFormat="1" applyFont="1"/>
    <xf numFmtId="3" fontId="41" fillId="0" borderId="0" xfId="6" applyNumberFormat="1" applyFont="1"/>
    <xf numFmtId="3" fontId="43" fillId="0" borderId="0" xfId="6" applyNumberFormat="1" applyFont="1"/>
    <xf numFmtId="3" fontId="41" fillId="0" borderId="0" xfId="6" applyNumberFormat="1" applyFont="1" applyAlignment="1"/>
    <xf numFmtId="0" fontId="41" fillId="0" borderId="0" xfId="6" applyNumberFormat="1" applyFont="1" applyAlignment="1">
      <alignment horizontal="center"/>
    </xf>
    <xf numFmtId="0" fontId="41" fillId="0" borderId="0" xfId="6" applyFont="1" applyAlignment="1">
      <alignment horizontal="center"/>
    </xf>
    <xf numFmtId="3" fontId="41" fillId="0" borderId="0" xfId="6" applyNumberFormat="1" applyFont="1" applyAlignment="1">
      <alignment horizontal="center"/>
    </xf>
    <xf numFmtId="0" fontId="41" fillId="0" borderId="1" xfId="6" applyNumberFormat="1" applyFont="1" applyBorder="1" applyAlignment="1">
      <alignment horizontal="center"/>
    </xf>
    <xf numFmtId="0" fontId="41" fillId="0" borderId="2" xfId="6" applyFont="1" applyBorder="1" applyAlignment="1">
      <alignment horizontal="center"/>
    </xf>
    <xf numFmtId="0" fontId="41" fillId="0" borderId="3" xfId="6" applyFont="1" applyBorder="1" applyAlignment="1">
      <alignment horizontal="center"/>
    </xf>
    <xf numFmtId="0" fontId="40" fillId="0" borderId="4" xfId="6" applyFont="1" applyBorder="1"/>
    <xf numFmtId="3" fontId="41" fillId="0" borderId="1" xfId="6" applyNumberFormat="1" applyFont="1" applyBorder="1" applyAlignment="1">
      <alignment horizontal="center"/>
    </xf>
    <xf numFmtId="0" fontId="41" fillId="0" borderId="5" xfId="6" applyNumberFormat="1" applyFont="1" applyBorder="1" applyAlignment="1">
      <alignment horizontal="center"/>
    </xf>
    <xf numFmtId="0" fontId="41" fillId="0" borderId="6" xfId="6" applyFont="1" applyBorder="1" applyAlignment="1">
      <alignment horizontal="center"/>
    </xf>
    <xf numFmtId="0" fontId="41" fillId="0" borderId="0" xfId="6" applyFont="1" applyBorder="1" applyAlignment="1">
      <alignment horizontal="center"/>
    </xf>
    <xf numFmtId="0" fontId="40" fillId="0" borderId="7" xfId="6" applyFont="1" applyBorder="1"/>
    <xf numFmtId="3" fontId="41" fillId="0" borderId="5" xfId="6" applyNumberFormat="1" applyFont="1" applyBorder="1" applyAlignment="1">
      <alignment horizontal="center"/>
    </xf>
    <xf numFmtId="0" fontId="41" fillId="0" borderId="8" xfId="6" applyNumberFormat="1" applyFont="1" applyBorder="1" applyAlignment="1">
      <alignment horizontal="center"/>
    </xf>
    <xf numFmtId="0" fontId="41" fillId="0" borderId="9" xfId="6" applyFont="1" applyBorder="1" applyAlignment="1">
      <alignment horizontal="center"/>
    </xf>
    <xf numFmtId="0" fontId="41" fillId="0" borderId="10" xfId="6" applyFont="1" applyBorder="1" applyAlignment="1">
      <alignment horizontal="center"/>
    </xf>
    <xf numFmtId="0" fontId="41" fillId="0" borderId="11" xfId="6" applyFont="1" applyBorder="1" applyAlignment="1">
      <alignment horizontal="center"/>
    </xf>
    <xf numFmtId="3" fontId="41" fillId="0" borderId="8" xfId="6" applyNumberFormat="1" applyFont="1" applyBorder="1" applyAlignment="1">
      <alignment horizontal="center"/>
    </xf>
    <xf numFmtId="0" fontId="40" fillId="0" borderId="0" xfId="6" applyNumberFormat="1" applyFont="1" applyAlignment="1">
      <alignment horizontal="center"/>
    </xf>
    <xf numFmtId="5" fontId="40" fillId="0" borderId="0" xfId="6" applyNumberFormat="1" applyFont="1"/>
    <xf numFmtId="37" fontId="40" fillId="0" borderId="0" xfId="6" applyNumberFormat="1" applyFont="1"/>
    <xf numFmtId="0" fontId="40" fillId="0" borderId="0" xfId="6" applyNumberFormat="1" applyFont="1" applyBorder="1" applyAlignment="1">
      <alignment horizontal="center"/>
    </xf>
    <xf numFmtId="37" fontId="40" fillId="0" borderId="0" xfId="6" applyNumberFormat="1" applyFont="1" applyBorder="1"/>
    <xf numFmtId="0" fontId="40" fillId="0" borderId="0" xfId="6" applyFont="1" applyBorder="1"/>
    <xf numFmtId="0" fontId="40" fillId="0" borderId="0" xfId="6" applyNumberFormat="1" applyFont="1" applyFill="1" applyAlignment="1">
      <alignment horizontal="left"/>
    </xf>
    <xf numFmtId="0" fontId="40" fillId="0" borderId="0" xfId="6" applyFont="1" applyFill="1"/>
    <xf numFmtId="0" fontId="40" fillId="0" borderId="0" xfId="5" applyFont="1" applyFill="1"/>
    <xf numFmtId="10" fontId="40" fillId="0" borderId="0" xfId="7" applyNumberFormat="1" applyFont="1" applyFill="1"/>
    <xf numFmtId="0" fontId="40" fillId="0" borderId="0" xfId="6" applyNumberFormat="1" applyFont="1" applyFill="1" applyAlignment="1">
      <alignment horizontal="center"/>
    </xf>
    <xf numFmtId="0" fontId="40" fillId="0" borderId="0" xfId="5" applyFont="1" applyFill="1" applyAlignment="1">
      <alignment horizontal="right"/>
    </xf>
    <xf numFmtId="10" fontId="35" fillId="0" borderId="0" xfId="7" applyNumberFormat="1" applyFont="1" applyFill="1" applyBorder="1"/>
    <xf numFmtId="10" fontId="34" fillId="0" borderId="0" xfId="7" applyNumberFormat="1" applyFont="1" applyFill="1" applyBorder="1"/>
    <xf numFmtId="170" fontId="31" fillId="0" borderId="0" xfId="7" applyNumberFormat="1" applyFont="1" applyFill="1" applyBorder="1"/>
    <xf numFmtId="10" fontId="31" fillId="0" borderId="0" xfId="7" applyNumberFormat="1" applyFont="1" applyFill="1" applyBorder="1"/>
    <xf numFmtId="0" fontId="31" fillId="0" borderId="0" xfId="0" applyFont="1" applyFill="1" applyBorder="1"/>
    <xf numFmtId="37" fontId="31" fillId="0" borderId="0" xfId="3" applyNumberFormat="1" applyFont="1" applyFill="1" applyBorder="1"/>
    <xf numFmtId="37" fontId="31" fillId="0" borderId="0" xfId="3" applyNumberFormat="1" applyFont="1" applyFill="1" applyBorder="1" applyAlignment="1">
      <alignment horizontal="center"/>
    </xf>
    <xf numFmtId="0" fontId="40" fillId="0" borderId="0" xfId="6" applyFont="1" applyAlignment="1">
      <alignment horizontal="left"/>
    </xf>
    <xf numFmtId="4" fontId="41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40" fillId="0" borderId="0" xfId="6" applyNumberFormat="1" applyFont="1"/>
    <xf numFmtId="41" fontId="40" fillId="0" borderId="10" xfId="6" applyNumberFormat="1" applyFont="1" applyBorder="1"/>
    <xf numFmtId="41" fontId="40" fillId="0" borderId="0" xfId="6" applyNumberFormat="1" applyFont="1" applyFill="1"/>
    <xf numFmtId="41" fontId="40" fillId="0" borderId="15" xfId="6" applyNumberFormat="1" applyFont="1" applyBorder="1"/>
    <xf numFmtId="41" fontId="40" fillId="0" borderId="0" xfId="6" applyNumberFormat="1" applyFont="1" applyBorder="1"/>
    <xf numFmtId="41" fontId="40" fillId="0" borderId="0" xfId="5" applyNumberFormat="1" applyFont="1" applyFill="1"/>
    <xf numFmtId="41" fontId="45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5" fillId="0" borderId="0" xfId="13" applyNumberFormat="1" applyFont="1" applyAlignment="1">
      <alignment horizontal="center"/>
    </xf>
    <xf numFmtId="3" fontId="25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5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8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9" fillId="0" borderId="0" xfId="13" applyNumberFormat="1" applyFont="1"/>
    <xf numFmtId="0" fontId="18" fillId="0" borderId="0" xfId="13" applyFont="1"/>
    <xf numFmtId="10" fontId="18" fillId="0" borderId="0" xfId="13" applyNumberFormat="1" applyFont="1"/>
    <xf numFmtId="10" fontId="25" fillId="0" borderId="10" xfId="13" applyNumberFormat="1" applyFont="1" applyFill="1" applyBorder="1"/>
    <xf numFmtId="3" fontId="49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40" fillId="0" borderId="0" xfId="7" applyNumberFormat="1" applyFont="1"/>
    <xf numFmtId="42" fontId="40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1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51" fillId="0" borderId="0" xfId="0" applyNumberFormat="1" applyFont="1"/>
    <xf numFmtId="3" fontId="51" fillId="0" borderId="0" xfId="0" applyNumberFormat="1" applyFont="1"/>
    <xf numFmtId="49" fontId="51" fillId="0" borderId="0" xfId="0" applyNumberFormat="1" applyFont="1" applyFill="1" applyAlignment="1">
      <alignment horizontal="center"/>
    </xf>
    <xf numFmtId="3" fontId="51" fillId="0" borderId="0" xfId="0" applyNumberFormat="1" applyFont="1" applyFill="1"/>
    <xf numFmtId="175" fontId="51" fillId="0" borderId="0" xfId="0" applyNumberFormat="1" applyFont="1" applyAlignment="1">
      <alignment horizontal="center"/>
    </xf>
    <xf numFmtId="176" fontId="51" fillId="0" borderId="0" xfId="0" applyNumberFormat="1" applyFont="1"/>
    <xf numFmtId="176" fontId="51" fillId="0" borderId="0" xfId="0" applyNumberFormat="1" applyFont="1" applyAlignment="1">
      <alignment horizontal="center"/>
    </xf>
    <xf numFmtId="0" fontId="51" fillId="0" borderId="0" xfId="0" applyFont="1"/>
    <xf numFmtId="175" fontId="51" fillId="5" borderId="0" xfId="0" applyNumberFormat="1" applyFont="1" applyFill="1"/>
    <xf numFmtId="3" fontId="51" fillId="5" borderId="0" xfId="0" applyNumberFormat="1" applyFont="1" applyFill="1"/>
    <xf numFmtId="176" fontId="51" fillId="5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5" borderId="0" xfId="0" applyNumberFormat="1" applyFill="1" applyAlignment="1">
      <alignment horizontal="center"/>
    </xf>
    <xf numFmtId="3" fontId="0" fillId="5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41" fillId="0" borderId="0" xfId="6" applyNumberFormat="1" applyFont="1"/>
    <xf numFmtId="42" fontId="40" fillId="0" borderId="12" xfId="6" applyNumberFormat="1" applyFont="1" applyBorder="1"/>
    <xf numFmtId="42" fontId="41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0" fontId="3" fillId="0" borderId="10" xfId="7" applyNumberFormat="1" applyFont="1" applyBorder="1"/>
    <xf numFmtId="177" fontId="40" fillId="0" borderId="0" xfId="5" applyNumberFormat="1" applyFont="1" applyFill="1"/>
    <xf numFmtId="10" fontId="40" fillId="3" borderId="0" xfId="7" applyNumberFormat="1" applyFont="1" applyFill="1"/>
    <xf numFmtId="41" fontId="9" fillId="3" borderId="18" xfId="1" applyNumberFormat="1" applyFont="1" applyFill="1" applyBorder="1"/>
    <xf numFmtId="42" fontId="3" fillId="0" borderId="0" xfId="0" applyNumberFormat="1" applyFont="1"/>
    <xf numFmtId="42" fontId="3" fillId="0" borderId="10" xfId="0" applyNumberFormat="1" applyFont="1" applyBorder="1"/>
    <xf numFmtId="42" fontId="3" fillId="0" borderId="0" xfId="0" applyNumberFormat="1" applyFont="1" applyBorder="1"/>
    <xf numFmtId="37" fontId="3" fillId="0" borderId="0" xfId="6" applyNumberFormat="1" applyFont="1" applyFill="1"/>
    <xf numFmtId="41" fontId="3" fillId="0" borderId="0" xfId="6" applyNumberFormat="1" applyFont="1" applyFill="1"/>
    <xf numFmtId="41" fontId="3" fillId="0" borderId="0" xfId="1" applyNumberFormat="1" applyFont="1" applyFill="1"/>
    <xf numFmtId="41" fontId="3" fillId="0" borderId="10" xfId="1" applyNumberFormat="1" applyFont="1" applyFill="1" applyBorder="1"/>
    <xf numFmtId="0" fontId="10" fillId="0" borderId="0" xfId="0" applyFont="1" applyAlignment="1"/>
    <xf numFmtId="0" fontId="10" fillId="0" borderId="0" xfId="0" applyFont="1" applyFill="1"/>
    <xf numFmtId="0" fontId="22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5" fontId="13" fillId="0" borderId="0" xfId="0" applyNumberFormat="1" applyFont="1" applyFill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5" xfId="0" applyFont="1" applyBorder="1"/>
    <xf numFmtId="0" fontId="9" fillId="0" borderId="27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0" fontId="10" fillId="0" borderId="0" xfId="0" applyFont="1" applyBorder="1" applyAlignment="1">
      <alignment horizontal="center"/>
    </xf>
    <xf numFmtId="169" fontId="9" fillId="0" borderId="0" xfId="0" applyNumberFormat="1" applyFont="1"/>
    <xf numFmtId="169" fontId="9" fillId="0" borderId="15" xfId="0" applyNumberFormat="1" applyFont="1" applyBorder="1"/>
    <xf numFmtId="166" fontId="53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10" fontId="5" fillId="0" borderId="16" xfId="7" applyNumberFormat="1" applyFon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3" fontId="3" fillId="0" borderId="0" xfId="6" applyNumberFormat="1" applyFont="1" applyFill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Fill="1" applyBorder="1" applyAlignment="1">
      <alignment horizontal="center"/>
    </xf>
    <xf numFmtId="3" fontId="5" fillId="0" borderId="5" xfId="5" applyNumberFormat="1" applyFont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8" xfId="6" quotePrefix="1" applyNumberFormat="1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3" fillId="0" borderId="0" xfId="4" applyNumberFormat="1" applyFont="1" applyFill="1" applyBorder="1"/>
    <xf numFmtId="41" fontId="3" fillId="0" borderId="10" xfId="4" applyNumberFormat="1" applyFont="1" applyFill="1" applyBorder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18" fillId="0" borderId="0" xfId="0" applyNumberFormat="1" applyFont="1" applyAlignment="1">
      <alignment horizontal="center"/>
    </xf>
    <xf numFmtId="3" fontId="9" fillId="0" borderId="0" xfId="0" applyNumberFormat="1" applyFont="1" applyFill="1" applyAlignment="1">
      <alignment horizontal="center"/>
    </xf>
    <xf numFmtId="10" fontId="9" fillId="0" borderId="0" xfId="0" applyNumberFormat="1" applyFont="1" applyAlignment="1">
      <alignment horizontal="center"/>
    </xf>
    <xf numFmtId="10" fontId="5" fillId="0" borderId="0" xfId="7" quotePrefix="1" applyNumberFormat="1" applyFont="1" applyAlignment="1">
      <alignment horizontal="center"/>
    </xf>
    <xf numFmtId="10" fontId="5" fillId="0" borderId="0" xfId="7" applyNumberFormat="1" applyFont="1" applyBorder="1" applyAlignment="1">
      <alignment horizontal="right"/>
    </xf>
    <xf numFmtId="41" fontId="9" fillId="0" borderId="0" xfId="0" applyNumberFormat="1" applyFont="1"/>
    <xf numFmtId="3" fontId="5" fillId="7" borderId="0" xfId="6" applyNumberFormat="1" applyFont="1" applyFill="1"/>
    <xf numFmtId="10" fontId="5" fillId="7" borderId="0" xfId="7" applyNumberFormat="1" applyFont="1" applyFill="1"/>
    <xf numFmtId="168" fontId="3" fillId="0" borderId="0" xfId="6" applyNumberFormat="1" applyFont="1" applyFill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7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3" fontId="1" fillId="0" borderId="0" xfId="0" applyNumberFormat="1" applyFont="1" applyFill="1" applyAlignment="1">
      <alignment horizontal="left"/>
    </xf>
    <xf numFmtId="169" fontId="9" fillId="0" borderId="0" xfId="17" applyNumberFormat="1" applyFont="1"/>
    <xf numFmtId="169" fontId="24" fillId="0" borderId="0" xfId="17" applyNumberFormat="1" applyFont="1"/>
    <xf numFmtId="168" fontId="3" fillId="0" borderId="10" xfId="6" applyNumberFormat="1" applyFont="1" applyBorder="1"/>
    <xf numFmtId="3" fontId="3" fillId="0" borderId="0" xfId="5" applyNumberFormat="1" applyFont="1" applyFill="1"/>
    <xf numFmtId="42" fontId="3" fillId="0" borderId="0" xfId="4" applyNumberFormat="1" applyFont="1" applyFill="1"/>
    <xf numFmtId="41" fontId="3" fillId="0" borderId="0" xfId="4" applyNumberFormat="1" applyFont="1" applyFill="1"/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10" fontId="3" fillId="0" borderId="0" xfId="7" applyNumberFormat="1" applyFont="1" applyFill="1"/>
    <xf numFmtId="0" fontId="31" fillId="0" borderId="20" xfId="0" applyFont="1" applyFill="1" applyBorder="1"/>
    <xf numFmtId="0" fontId="31" fillId="0" borderId="21" xfId="0" applyFont="1" applyFill="1" applyBorder="1"/>
    <xf numFmtId="37" fontId="31" fillId="0" borderId="22" xfId="5" applyNumberFormat="1" applyFont="1" applyFill="1" applyBorder="1"/>
    <xf numFmtId="0" fontId="33" fillId="0" borderId="22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1" fillId="0" borderId="22" xfId="0" applyFont="1" applyFill="1" applyBorder="1"/>
    <xf numFmtId="167" fontId="35" fillId="0" borderId="0" xfId="7" applyNumberFormat="1" applyFont="1" applyFill="1" applyBorder="1"/>
    <xf numFmtId="10" fontId="31" fillId="0" borderId="16" xfId="7" applyNumberFormat="1" applyFont="1" applyFill="1" applyBorder="1"/>
    <xf numFmtId="0" fontId="31" fillId="0" borderId="25" xfId="0" applyFont="1" applyFill="1" applyBorder="1"/>
    <xf numFmtId="0" fontId="31" fillId="0" borderId="26" xfId="0" applyFont="1" applyFill="1" applyBorder="1"/>
    <xf numFmtId="0" fontId="32" fillId="0" borderId="23" xfId="0" applyFont="1" applyFill="1" applyBorder="1" applyAlignment="1">
      <alignment horizontal="center"/>
    </xf>
    <xf numFmtId="0" fontId="32" fillId="0" borderId="31" xfId="0" applyFont="1" applyFill="1" applyBorder="1" applyAlignment="1">
      <alignment horizontal="center"/>
    </xf>
    <xf numFmtId="37" fontId="31" fillId="0" borderId="23" xfId="5" applyNumberFormat="1" applyFont="1" applyFill="1" applyBorder="1"/>
    <xf numFmtId="10" fontId="35" fillId="0" borderId="23" xfId="7" applyNumberFormat="1" applyFont="1" applyFill="1" applyBorder="1"/>
    <xf numFmtId="10" fontId="31" fillId="0" borderId="32" xfId="7" applyNumberFormat="1" applyFont="1" applyFill="1" applyBorder="1"/>
    <xf numFmtId="0" fontId="31" fillId="0" borderId="27" xfId="0" applyFont="1" applyFill="1" applyBorder="1"/>
    <xf numFmtId="0" fontId="55" fillId="0" borderId="0" xfId="0" applyFont="1" applyAlignment="1">
      <alignment horizontal="left"/>
    </xf>
    <xf numFmtId="3" fontId="55" fillId="0" borderId="0" xfId="0" applyNumberFormat="1" applyFont="1" applyAlignment="1">
      <alignment horizontal="left"/>
    </xf>
    <xf numFmtId="3" fontId="55" fillId="0" borderId="0" xfId="0" applyNumberFormat="1" applyFont="1" applyFill="1" applyAlignment="1">
      <alignment horizontal="left"/>
    </xf>
    <xf numFmtId="49" fontId="55" fillId="0" borderId="0" xfId="0" applyNumberFormat="1" applyFont="1" applyAlignment="1">
      <alignment horizontal="left"/>
    </xf>
    <xf numFmtId="3" fontId="55" fillId="0" borderId="0" xfId="0" applyNumberFormat="1" applyFont="1"/>
    <xf numFmtId="3" fontId="55" fillId="0" borderId="0" xfId="0" applyNumberFormat="1" applyFont="1" applyFill="1"/>
    <xf numFmtId="0" fontId="55" fillId="0" borderId="0" xfId="0" applyFont="1"/>
    <xf numFmtId="3" fontId="55" fillId="5" borderId="0" xfId="0" applyNumberFormat="1" applyFont="1" applyFill="1"/>
    <xf numFmtId="175" fontId="55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1" fontId="5" fillId="0" borderId="0" xfId="2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13" fillId="0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/>
    <xf numFmtId="37" fontId="3" fillId="0" borderId="0" xfId="3" applyNumberFormat="1" applyFont="1" applyFill="1" applyBorder="1"/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7" borderId="9" xfId="6" applyNumberFormat="1" applyFont="1" applyFill="1" applyBorder="1"/>
    <xf numFmtId="3" fontId="56" fillId="0" borderId="0" xfId="22" applyNumberFormat="1" applyFont="1"/>
    <xf numFmtId="3" fontId="5" fillId="7" borderId="6" xfId="6" applyNumberFormat="1" applyFont="1" applyFill="1" applyBorder="1" applyAlignment="1">
      <alignment horizontal="center"/>
    </xf>
    <xf numFmtId="3" fontId="5" fillId="7" borderId="6" xfId="6" applyNumberFormat="1" applyFont="1" applyFill="1" applyBorder="1"/>
    <xf numFmtId="42" fontId="5" fillId="7" borderId="6" xfId="6" applyNumberFormat="1" applyFont="1" applyFill="1" applyBorder="1"/>
    <xf numFmtId="41" fontId="5" fillId="7" borderId="6" xfId="6" applyNumberFormat="1" applyFont="1" applyFill="1" applyBorder="1"/>
    <xf numFmtId="42" fontId="5" fillId="7" borderId="33" xfId="6" applyNumberFormat="1" applyFont="1" applyFill="1" applyBorder="1"/>
    <xf numFmtId="41" fontId="5" fillId="7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5" fontId="13" fillId="0" borderId="0" xfId="0" applyNumberFormat="1" applyFont="1" applyBorder="1"/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7" fillId="0" borderId="0" xfId="0" applyNumberFormat="1" applyFont="1" applyBorder="1"/>
    <xf numFmtId="5" fontId="9" fillId="0" borderId="23" xfId="0" applyNumberFormat="1" applyFont="1" applyFill="1" applyBorder="1"/>
    <xf numFmtId="0" fontId="13" fillId="0" borderId="26" xfId="0" applyFont="1" applyFill="1" applyBorder="1"/>
    <xf numFmtId="37" fontId="13" fillId="0" borderId="26" xfId="0" applyNumberFormat="1" applyFont="1" applyFill="1" applyBorder="1"/>
    <xf numFmtId="0" fontId="9" fillId="0" borderId="26" xfId="0" applyFont="1" applyFill="1" applyBorder="1"/>
    <xf numFmtId="5" fontId="9" fillId="0" borderId="27" xfId="0" applyNumberFormat="1" applyFont="1" applyFill="1" applyBorder="1"/>
    <xf numFmtId="3" fontId="3" fillId="0" borderId="0" xfId="6" applyNumberFormat="1" applyFont="1" applyFill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60" fillId="0" borderId="0" xfId="6" applyNumberFormat="1" applyFont="1" applyAlignment="1">
      <alignment horizontal="center"/>
    </xf>
    <xf numFmtId="41" fontId="60" fillId="0" borderId="0" xfId="6" applyNumberFormat="1" applyFont="1" applyFill="1" applyBorder="1"/>
    <xf numFmtId="0" fontId="61" fillId="0" borderId="0" xfId="0" applyFont="1" applyBorder="1" applyAlignment="1">
      <alignment horizontal="left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169" fontId="3" fillId="0" borderId="0" xfId="0" applyNumberFormat="1" applyFont="1"/>
    <xf numFmtId="178" fontId="3" fillId="0" borderId="0" xfId="5" applyNumberFormat="1" applyFont="1" applyFill="1"/>
    <xf numFmtId="42" fontId="3" fillId="0" borderId="0" xfId="0" applyNumberFormat="1" applyFont="1" applyFill="1" applyBorder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4" fontId="13" fillId="0" borderId="25" xfId="0" applyNumberFormat="1" applyFont="1" applyFill="1" applyBorder="1" applyAlignment="1">
      <alignment horizontal="center"/>
    </xf>
    <xf numFmtId="3" fontId="13" fillId="0" borderId="26" xfId="0" applyNumberFormat="1" applyFont="1" applyFill="1" applyBorder="1"/>
    <xf numFmtId="3" fontId="10" fillId="0" borderId="0" xfId="0" applyNumberFormat="1" applyFont="1" applyFill="1"/>
    <xf numFmtId="3" fontId="5" fillId="0" borderId="1" xfId="0" quotePrefix="1" applyNumberFormat="1" applyFont="1" applyBorder="1" applyAlignment="1">
      <alignment horizontal="center"/>
    </xf>
    <xf numFmtId="173" fontId="3" fillId="0" borderId="10" xfId="1" applyNumberFormat="1" applyFont="1" applyBorder="1"/>
    <xf numFmtId="174" fontId="3" fillId="0" borderId="0" xfId="2" applyNumberFormat="1" applyFont="1"/>
    <xf numFmtId="169" fontId="7" fillId="0" borderId="0" xfId="0" applyNumberFormat="1" applyFont="1"/>
    <xf numFmtId="0" fontId="10" fillId="0" borderId="0" xfId="0" quotePrefix="1" applyFont="1" applyAlignment="1">
      <alignment horizontal="center"/>
    </xf>
    <xf numFmtId="174" fontId="9" fillId="0" borderId="0" xfId="2" applyNumberFormat="1" applyFont="1" applyFill="1" applyBorder="1"/>
    <xf numFmtId="41" fontId="5" fillId="0" borderId="1" xfId="0" quotePrefix="1" applyNumberFormat="1" applyFont="1" applyBorder="1" applyAlignment="1">
      <alignment horizontal="center"/>
    </xf>
    <xf numFmtId="0" fontId="39" fillId="0" borderId="0" xfId="20" applyFont="1"/>
    <xf numFmtId="0" fontId="5" fillId="0" borderId="0" xfId="20" quotePrefix="1" applyFont="1" applyFill="1" applyBorder="1" applyAlignment="1">
      <alignment horizontal="right"/>
    </xf>
    <xf numFmtId="37" fontId="3" fillId="0" borderId="0" xfId="20" applyNumberFormat="1" applyFont="1" applyFill="1"/>
    <xf numFmtId="0" fontId="32" fillId="5" borderId="34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0" borderId="0" xfId="20" applyNumberFormat="1" applyFont="1" applyFill="1"/>
    <xf numFmtId="3" fontId="5" fillId="0" borderId="0" xfId="22" applyNumberFormat="1" applyFont="1" applyFill="1" applyAlignment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Alignment="1">
      <alignment vertical="top" wrapText="1"/>
    </xf>
    <xf numFmtId="3" fontId="3" fillId="0" borderId="0" xfId="6" applyNumberFormat="1" applyFont="1" applyAlignment="1">
      <alignment horizontal="center"/>
    </xf>
    <xf numFmtId="41" fontId="3" fillId="0" borderId="0" xfId="22" applyNumberFormat="1" applyFont="1" applyFill="1" applyAlignment="1">
      <alignment horizontal="center"/>
    </xf>
    <xf numFmtId="41" fontId="5" fillId="7" borderId="2" xfId="4" applyNumberFormat="1" applyFont="1" applyFill="1" applyBorder="1" applyAlignment="1">
      <alignment horizontal="center"/>
    </xf>
    <xf numFmtId="41" fontId="5" fillId="7" borderId="6" xfId="20" applyNumberFormat="1" applyFont="1" applyFill="1" applyBorder="1" applyAlignment="1">
      <alignment horizontal="center"/>
    </xf>
    <xf numFmtId="3" fontId="5" fillId="7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4" fontId="9" fillId="0" borderId="26" xfId="0" applyNumberFormat="1" applyFont="1" applyBorder="1" applyAlignment="1">
      <alignment horizontal="center"/>
    </xf>
    <xf numFmtId="4" fontId="9" fillId="0" borderId="26" xfId="0" applyNumberFormat="1" applyFont="1" applyBorder="1" applyAlignment="1">
      <alignment horizontal="left"/>
    </xf>
    <xf numFmtId="3" fontId="9" fillId="0" borderId="26" xfId="0" applyNumberFormat="1" applyFont="1" applyFill="1" applyBorder="1"/>
    <xf numFmtId="37" fontId="9" fillId="0" borderId="26" xfId="0" applyNumberFormat="1" applyFont="1" applyBorder="1"/>
    <xf numFmtId="0" fontId="9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37" fontId="39" fillId="0" borderId="0" xfId="5" applyNumberFormat="1" applyFont="1" applyBorder="1" applyAlignment="1">
      <alignment vertical="top"/>
    </xf>
    <xf numFmtId="5" fontId="5" fillId="0" borderId="18" xfId="0" applyNumberFormat="1" applyFont="1" applyFill="1" applyBorder="1"/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5" fontId="13" fillId="0" borderId="26" xfId="0" applyNumberFormat="1" applyFont="1" applyFill="1" applyBorder="1"/>
    <xf numFmtId="5" fontId="15" fillId="0" borderId="26" xfId="0" applyNumberFormat="1" applyFont="1" applyFill="1" applyBorder="1"/>
    <xf numFmtId="5" fontId="17" fillId="0" borderId="26" xfId="0" applyNumberFormat="1" applyFont="1" applyFill="1" applyBorder="1"/>
    <xf numFmtId="0" fontId="9" fillId="0" borderId="0" xfId="0" applyFont="1" applyAlignment="1">
      <alignment horizontal="center"/>
    </xf>
    <xf numFmtId="176" fontId="55" fillId="5" borderId="0" xfId="0" applyNumberFormat="1" applyFont="1" applyFill="1" applyAlignment="1">
      <alignment horizontal="center"/>
    </xf>
    <xf numFmtId="0" fontId="62" fillId="0" borderId="0" xfId="6" applyNumberFormat="1" applyFont="1" applyFill="1" applyAlignment="1">
      <alignment horizontal="center"/>
    </xf>
    <xf numFmtId="3" fontId="5" fillId="0" borderId="0" xfId="6" applyNumberFormat="1" applyFont="1" applyFill="1" applyAlignment="1">
      <alignment vertical="top" wrapText="1"/>
    </xf>
    <xf numFmtId="3" fontId="5" fillId="0" borderId="10" xfId="6" applyNumberFormat="1" applyFont="1" applyFill="1" applyBorder="1" applyAlignment="1">
      <alignment vertical="top" wrapText="1"/>
    </xf>
    <xf numFmtId="3" fontId="3" fillId="0" borderId="0" xfId="22" applyNumberFormat="1" applyFont="1" applyFill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63" fillId="0" borderId="0" xfId="0" applyFont="1"/>
    <xf numFmtId="0" fontId="63" fillId="0" borderId="26" xfId="0" applyFont="1" applyBorder="1" applyAlignment="1">
      <alignment horizontal="center"/>
    </xf>
    <xf numFmtId="41" fontId="65" fillId="0" borderId="0" xfId="4" applyNumberFormat="1" applyFont="1" applyFill="1"/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3" fontId="3" fillId="0" borderId="0" xfId="1" applyNumberFormat="1" applyFont="1" applyFill="1"/>
    <xf numFmtId="0" fontId="58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8" borderId="0" xfId="0" applyFont="1" applyFill="1"/>
    <xf numFmtId="0" fontId="10" fillId="8" borderId="0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8" borderId="10" xfId="0" quotePrefix="1" applyFont="1" applyFill="1" applyBorder="1" applyAlignment="1">
      <alignment horizontal="center"/>
    </xf>
    <xf numFmtId="42" fontId="3" fillId="8" borderId="0" xfId="0" applyNumberFormat="1" applyFont="1" applyFill="1"/>
    <xf numFmtId="5" fontId="3" fillId="8" borderId="0" xfId="0" applyNumberFormat="1" applyFont="1" applyFill="1"/>
    <xf numFmtId="10" fontId="3" fillId="8" borderId="10" xfId="7" applyNumberFormat="1" applyFont="1" applyFill="1" applyBorder="1"/>
    <xf numFmtId="10" fontId="3" fillId="8" borderId="0" xfId="7" applyNumberFormat="1" applyFont="1" applyFill="1" applyBorder="1"/>
    <xf numFmtId="42" fontId="3" fillId="8" borderId="10" xfId="0" applyNumberFormat="1" applyFont="1" applyFill="1" applyBorder="1"/>
    <xf numFmtId="42" fontId="3" fillId="8" borderId="0" xfId="0" applyNumberFormat="1" applyFont="1" applyFill="1" applyBorder="1"/>
    <xf numFmtId="0" fontId="3" fillId="8" borderId="0" xfId="0" applyFont="1" applyFill="1"/>
    <xf numFmtId="169" fontId="3" fillId="8" borderId="0" xfId="0" applyNumberFormat="1" applyFont="1" applyFill="1"/>
    <xf numFmtId="0" fontId="3" fillId="8" borderId="0" xfId="0" applyFont="1" applyFill="1" applyBorder="1"/>
    <xf numFmtId="0" fontId="5" fillId="8" borderId="0" xfId="0" applyFont="1" applyFill="1" applyBorder="1" applyAlignment="1">
      <alignment horizontal="center" wrapText="1"/>
    </xf>
    <xf numFmtId="5" fontId="3" fillId="8" borderId="0" xfId="0" applyNumberFormat="1" applyFont="1" applyFill="1" applyBorder="1"/>
    <xf numFmtId="5" fontId="10" fillId="8" borderId="18" xfId="0" applyNumberFormat="1" applyFont="1" applyFill="1" applyBorder="1"/>
    <xf numFmtId="0" fontId="9" fillId="8" borderId="0" xfId="0" applyFont="1" applyFill="1" applyBorder="1"/>
    <xf numFmtId="42" fontId="9" fillId="8" borderId="0" xfId="0" applyNumberFormat="1" applyFont="1" applyFill="1" applyBorder="1"/>
    <xf numFmtId="10" fontId="7" fillId="8" borderId="0" xfId="7" applyNumberFormat="1" applyFont="1" applyFill="1" applyBorder="1" applyAlignment="1">
      <alignment horizontal="right"/>
    </xf>
    <xf numFmtId="10" fontId="5" fillId="8" borderId="16" xfId="7" applyNumberFormat="1" applyFont="1" applyFill="1" applyBorder="1"/>
    <xf numFmtId="37" fontId="3" fillId="8" borderId="0" xfId="5" applyNumberFormat="1" applyFont="1" applyFill="1" applyBorder="1"/>
    <xf numFmtId="42" fontId="9" fillId="8" borderId="0" xfId="0" applyNumberFormat="1" applyFont="1" applyFill="1"/>
    <xf numFmtId="0" fontId="10" fillId="8" borderId="0" xfId="0" quotePrefix="1" applyFont="1" applyFill="1" applyAlignment="1">
      <alignment horizontal="center"/>
    </xf>
    <xf numFmtId="0" fontId="5" fillId="8" borderId="0" xfId="20" quotePrefix="1" applyFont="1" applyFill="1" applyBorder="1" applyAlignment="1">
      <alignment horizontal="right"/>
    </xf>
    <xf numFmtId="3" fontId="52" fillId="9" borderId="0" xfId="13" applyNumberFormat="1" applyFont="1" applyFill="1"/>
    <xf numFmtId="3" fontId="9" fillId="9" borderId="0" xfId="13" applyNumberFormat="1" applyFont="1" applyFill="1"/>
    <xf numFmtId="0" fontId="9" fillId="0" borderId="0" xfId="0" applyFont="1" applyAlignment="1">
      <alignment horizontal="center"/>
    </xf>
    <xf numFmtId="0" fontId="48" fillId="0" borderId="0" xfId="0" applyFont="1" applyAlignment="1"/>
    <xf numFmtId="0" fontId="10" fillId="0" borderId="10" xfId="0" applyFont="1" applyBorder="1" applyAlignment="1">
      <alignment horizontal="center" vertical="center" wrapText="1"/>
    </xf>
    <xf numFmtId="0" fontId="31" fillId="0" borderId="22" xfId="0" applyFont="1" applyFill="1" applyBorder="1" applyAlignment="1">
      <alignment vertical="top"/>
    </xf>
    <xf numFmtId="5" fontId="34" fillId="0" borderId="0" xfId="0" applyNumberFormat="1" applyFont="1" applyFill="1" applyBorder="1" applyAlignment="1">
      <alignment vertical="top"/>
    </xf>
    <xf numFmtId="167" fontId="35" fillId="0" borderId="0" xfId="7" applyNumberFormat="1" applyFont="1" applyFill="1" applyBorder="1" applyAlignment="1">
      <alignment vertical="top"/>
    </xf>
    <xf numFmtId="10" fontId="35" fillId="0" borderId="0" xfId="7" applyNumberFormat="1" applyFont="1" applyFill="1" applyBorder="1" applyAlignment="1">
      <alignment vertical="top"/>
    </xf>
    <xf numFmtId="10" fontId="35" fillId="0" borderId="23" xfId="7" applyNumberFormat="1" applyFont="1" applyFill="1" applyBorder="1" applyAlignment="1">
      <alignment vertical="top"/>
    </xf>
    <xf numFmtId="3" fontId="56" fillId="0" borderId="5" xfId="22" applyNumberFormat="1" applyFont="1" applyBorder="1" applyAlignment="1">
      <alignment horizontal="center" vertical="center"/>
    </xf>
    <xf numFmtId="0" fontId="3" fillId="0" borderId="0" xfId="20" applyNumberFormat="1" applyFont="1" applyAlignment="1">
      <alignment horizontal="left"/>
    </xf>
    <xf numFmtId="4" fontId="9" fillId="0" borderId="10" xfId="13" applyNumberFormat="1" applyFont="1" applyBorder="1" applyAlignment="1">
      <alignment horizontal="center"/>
    </xf>
    <xf numFmtId="0" fontId="9" fillId="0" borderId="10" xfId="13" applyFont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3" fontId="5" fillId="0" borderId="5" xfId="6" applyNumberFormat="1" applyFont="1" applyFill="1" applyBorder="1" applyAlignment="1">
      <alignment horizontal="left"/>
    </xf>
    <xf numFmtId="15" fontId="10" fillId="6" borderId="10" xfId="0" quotePrefix="1" applyNumberFormat="1" applyFont="1" applyFill="1" applyBorder="1" applyAlignment="1">
      <alignment horizontal="center"/>
    </xf>
    <xf numFmtId="0" fontId="10" fillId="0" borderId="0" xfId="17" applyFont="1"/>
    <xf numFmtId="0" fontId="9" fillId="0" borderId="0" xfId="17" applyFont="1"/>
    <xf numFmtId="0" fontId="18" fillId="0" borderId="0" xfId="17" applyFont="1" applyFill="1" applyBorder="1"/>
    <xf numFmtId="0" fontId="18" fillId="0" borderId="0" xfId="17" applyFont="1" applyBorder="1"/>
    <xf numFmtId="0" fontId="10" fillId="0" borderId="0" xfId="17" applyFont="1" applyBorder="1"/>
    <xf numFmtId="0" fontId="9" fillId="0" borderId="0" xfId="17" applyFont="1" applyFill="1" applyBorder="1"/>
    <xf numFmtId="0" fontId="9" fillId="0" borderId="0" xfId="17" applyFont="1" applyBorder="1"/>
    <xf numFmtId="0" fontId="9" fillId="0" borderId="0" xfId="17" applyFont="1" applyAlignment="1">
      <alignment horizontal="center"/>
    </xf>
    <xf numFmtId="0" fontId="18" fillId="0" borderId="0" xfId="17" applyFont="1"/>
    <xf numFmtId="0" fontId="18" fillId="0" borderId="6" xfId="17" applyFont="1" applyBorder="1"/>
    <xf numFmtId="0" fontId="67" fillId="0" borderId="0" xfId="17" applyFont="1" applyBorder="1"/>
    <xf numFmtId="0" fontId="9" fillId="0" borderId="10" xfId="17" applyFont="1" applyBorder="1"/>
    <xf numFmtId="0" fontId="48" fillId="0" borderId="10" xfId="17" applyFont="1" applyBorder="1"/>
    <xf numFmtId="0" fontId="10" fillId="0" borderId="10" xfId="17" applyFont="1" applyBorder="1"/>
    <xf numFmtId="0" fontId="11" fillId="0" borderId="10" xfId="17" applyFont="1" applyBorder="1" applyAlignment="1">
      <alignment horizontal="center"/>
    </xf>
    <xf numFmtId="0" fontId="67" fillId="0" borderId="10" xfId="17" applyFont="1" applyBorder="1"/>
    <xf numFmtId="0" fontId="9" fillId="0" borderId="0" xfId="17" applyFont="1" applyFill="1" applyBorder="1" applyAlignment="1">
      <alignment horizontal="center"/>
    </xf>
    <xf numFmtId="0" fontId="18" fillId="0" borderId="10" xfId="17" applyFont="1" applyBorder="1"/>
    <xf numFmtId="0" fontId="9" fillId="0" borderId="0" xfId="17" applyFont="1" applyBorder="1" applyAlignment="1">
      <alignment horizontal="center"/>
    </xf>
    <xf numFmtId="0" fontId="10" fillId="0" borderId="0" xfId="17" applyFont="1" applyAlignment="1">
      <alignment horizontal="center"/>
    </xf>
    <xf numFmtId="170" fontId="9" fillId="0" borderId="0" xfId="17" applyNumberFormat="1" applyFont="1"/>
    <xf numFmtId="0" fontId="10" fillId="0" borderId="10" xfId="17" applyFont="1" applyBorder="1" applyAlignment="1">
      <alignment horizontal="center"/>
    </xf>
    <xf numFmtId="0" fontId="9" fillId="0" borderId="10" xfId="17" applyFont="1" applyBorder="1" applyAlignment="1">
      <alignment horizontal="center"/>
    </xf>
    <xf numFmtId="9" fontId="9" fillId="0" borderId="0" xfId="17" applyNumberFormat="1" applyFont="1"/>
    <xf numFmtId="2" fontId="10" fillId="0" borderId="0" xfId="17" quotePrefix="1" applyNumberFormat="1" applyFont="1"/>
    <xf numFmtId="41" fontId="10" fillId="0" borderId="0" xfId="17" applyNumberFormat="1" applyFont="1"/>
    <xf numFmtId="2" fontId="9" fillId="0" borderId="0" xfId="17" applyNumberFormat="1" applyFont="1"/>
    <xf numFmtId="41" fontId="9" fillId="0" borderId="0" xfId="17" applyNumberFormat="1" applyFont="1"/>
    <xf numFmtId="0" fontId="67" fillId="0" borderId="0" xfId="17" applyFont="1"/>
    <xf numFmtId="41" fontId="9" fillId="0" borderId="0" xfId="17" applyNumberFormat="1" applyFont="1" applyBorder="1"/>
    <xf numFmtId="41" fontId="9" fillId="0" borderId="0" xfId="17" applyNumberFormat="1" applyFont="1" applyFill="1"/>
    <xf numFmtId="41" fontId="18" fillId="0" borderId="0" xfId="17" applyNumberFormat="1" applyFont="1"/>
    <xf numFmtId="10" fontId="9" fillId="0" borderId="0" xfId="17" applyNumberFormat="1" applyFont="1"/>
    <xf numFmtId="179" fontId="9" fillId="0" borderId="0" xfId="17" applyNumberFormat="1" applyFont="1"/>
    <xf numFmtId="0" fontId="9" fillId="0" borderId="0" xfId="17" applyFont="1" applyAlignment="1">
      <alignment horizontal="right"/>
    </xf>
    <xf numFmtId="180" fontId="9" fillId="0" borderId="0" xfId="17" applyNumberFormat="1" applyFont="1"/>
    <xf numFmtId="41" fontId="9" fillId="0" borderId="10" xfId="17" applyNumberFormat="1" applyFont="1" applyBorder="1"/>
    <xf numFmtId="41" fontId="9" fillId="0" borderId="10" xfId="17" applyNumberFormat="1" applyFont="1" applyFill="1" applyBorder="1"/>
    <xf numFmtId="41" fontId="10" fillId="0" borderId="12" xfId="17" applyNumberFormat="1" applyFont="1" applyBorder="1"/>
    <xf numFmtId="5" fontId="10" fillId="0" borderId="12" xfId="17" applyNumberFormat="1" applyFont="1" applyBorder="1"/>
    <xf numFmtId="0" fontId="18" fillId="0" borderId="0" xfId="17" applyFont="1" applyAlignment="1">
      <alignment horizontal="right"/>
    </xf>
    <xf numFmtId="0" fontId="9" fillId="5" borderId="2" xfId="0" applyFont="1" applyFill="1" applyBorder="1"/>
    <xf numFmtId="0" fontId="9" fillId="5" borderId="3" xfId="0" applyFont="1" applyFill="1" applyBorder="1"/>
    <xf numFmtId="0" fontId="9" fillId="5" borderId="4" xfId="0" applyFont="1" applyFill="1" applyBorder="1"/>
    <xf numFmtId="0" fontId="9" fillId="5" borderId="6" xfId="0" applyFont="1" applyFill="1" applyBorder="1"/>
    <xf numFmtId="0" fontId="9" fillId="5" borderId="0" xfId="0" applyFont="1" applyFill="1" applyBorder="1"/>
    <xf numFmtId="0" fontId="9" fillId="5" borderId="10" xfId="0" applyFont="1" applyFill="1" applyBorder="1"/>
    <xf numFmtId="0" fontId="9" fillId="5" borderId="7" xfId="0" applyFont="1" applyFill="1" applyBorder="1"/>
    <xf numFmtId="41" fontId="9" fillId="5" borderId="0" xfId="0" applyNumberFormat="1" applyFont="1" applyFill="1" applyBorder="1"/>
    <xf numFmtId="41" fontId="9" fillId="5" borderId="10" xfId="0" applyNumberFormat="1" applyFont="1" applyFill="1" applyBorder="1"/>
    <xf numFmtId="0" fontId="9" fillId="5" borderId="9" xfId="0" applyFont="1" applyFill="1" applyBorder="1"/>
    <xf numFmtId="0" fontId="9" fillId="5" borderId="11" xfId="0" applyFont="1" applyFill="1" applyBorder="1"/>
    <xf numFmtId="0" fontId="10" fillId="5" borderId="0" xfId="0" applyFont="1" applyFill="1" applyBorder="1"/>
    <xf numFmtId="41" fontId="10" fillId="5" borderId="0" xfId="0" applyNumberFormat="1" applyFont="1" applyFill="1" applyBorder="1"/>
    <xf numFmtId="41" fontId="10" fillId="5" borderId="12" xfId="0" applyNumberFormat="1" applyFont="1" applyFill="1" applyBorder="1"/>
    <xf numFmtId="181" fontId="10" fillId="5" borderId="0" xfId="0" applyNumberFormat="1" applyFont="1" applyFill="1" applyBorder="1"/>
    <xf numFmtId="181" fontId="9" fillId="5" borderId="0" xfId="0" applyNumberFormat="1" applyFont="1" applyFill="1" applyBorder="1"/>
    <xf numFmtId="41" fontId="5" fillId="10" borderId="10" xfId="20" applyNumberFormat="1" applyFont="1" applyFill="1" applyBorder="1" applyAlignment="1">
      <alignment horizontal="center" vertical="top" wrapText="1"/>
    </xf>
    <xf numFmtId="182" fontId="9" fillId="0" borderId="0" xfId="0" applyNumberFormat="1" applyFont="1"/>
    <xf numFmtId="0" fontId="9" fillId="5" borderId="1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0" xfId="5" applyNumberFormat="1" applyFont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5" fillId="8" borderId="1" xfId="0" applyFont="1" applyFill="1" applyBorder="1" applyAlignment="1">
      <alignment horizontal="center" wrapText="1"/>
    </xf>
    <xf numFmtId="0" fontId="5" fillId="8" borderId="8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0" fontId="9" fillId="0" borderId="30" xfId="13" applyFont="1" applyBorder="1" applyAlignment="1">
      <alignment horizontal="center"/>
    </xf>
    <xf numFmtId="4" fontId="46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7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41" fontId="36" fillId="7" borderId="13" xfId="0" quotePrefix="1" applyNumberFormat="1" applyFont="1" applyFill="1" applyBorder="1" applyAlignment="1">
      <alignment horizontal="center"/>
    </xf>
    <xf numFmtId="41" fontId="36" fillId="7" borderId="15" xfId="0" quotePrefix="1" applyNumberFormat="1" applyFont="1" applyFill="1" applyBorder="1" applyAlignment="1">
      <alignment horizontal="center"/>
    </xf>
    <xf numFmtId="41" fontId="36" fillId="7" borderId="14" xfId="0" quotePrefix="1" applyNumberFormat="1" applyFont="1" applyFill="1" applyBorder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84</xdr:row>
      <xdr:rowOff>2117</xdr:rowOff>
    </xdr:from>
    <xdr:to>
      <xdr:col>23</xdr:col>
      <xdr:colOff>552449</xdr:colOff>
      <xdr:row>87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858250" y="12870392"/>
          <a:ext cx="6419849" cy="5408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12/31/2016 Test Period Commission Basis results of operation on a normalized basis (CBR basis). Difference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exists due to inclusion of proposed cost of debt (pro forma versus CBR cost of debt) impacting Adjustment 2.15 above</a:t>
          </a:r>
          <a:endParaRPr lang="en-US" sz="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disc/BR1/Attachment%20Bench%20Request%201/Exhibit%20No.%20BGM-13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E-170485-UG-170486_Exh.%20BGM-3_Mullins%20(ICNU-NWIGU)(10.27.1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reb/Staff/Staff%20Exhibits%208-17-16%20-%20CONF/Huang%20Exh%20JH-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9%20-%202018%20GRC/dir/_wps/_wps/3.03%20(WA%202017)%20FLB%20Forecast%20Labor%20Non-Executive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9%20-%202018%20GRC/dir/_wps/_wps/1a)%20PF%20CAP%20SUMMARY-WA%20EOP%202017%20AMA%20St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3R"/>
      <sheetName val="Exh. No. BGM-13R -2"/>
      <sheetName val="Exh. No. BGM-13R -3"/>
      <sheetName val="Exh. No. BGM-13R -4"/>
      <sheetName val="Exh. No. BGM-13R -5"/>
      <sheetName val="DEBT CALC"/>
      <sheetName val="LEAD SHEETS-DO NOT ENTER"/>
      <sheetName val="ADJ SUMMARY"/>
      <sheetName val="ROO INPUT"/>
      <sheetName val="COMPARISON"/>
    </sheetNames>
    <sheetDataSet>
      <sheetData sheetId="0">
        <row r="25">
          <cell r="W25">
            <v>330.47300000000001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3 1"/>
      <sheetName val="Exh. No. BGM-3 2"/>
      <sheetName val="Exh. No. BGM-3 3"/>
      <sheetName val="Exh. No. BGM-3 4"/>
      <sheetName val="Acerno_Cache_XXXXX"/>
      <sheetName val="Workpapers-&gt;"/>
      <sheetName val="ADJ SUMMARY"/>
      <sheetName val="LEAD SHEETS-DO NOT ENTER"/>
      <sheetName val="ROO INPUT"/>
      <sheetName val="DEBT CALC"/>
      <sheetName val="COMPARISON"/>
      <sheetName val="PROPOSED RATES-2018-NOT USED"/>
      <sheetName val="RETAIL REVENUE CREDIT-not used"/>
      <sheetName val="PROPOSED RATES-2019-not used"/>
    </sheetNames>
    <sheetDataSet>
      <sheetData sheetId="0">
        <row r="10">
          <cell r="AJ10">
            <v>5.1948000000000001E-2</v>
          </cell>
        </row>
        <row r="29">
          <cell r="AC29">
            <v>1750.9097041722159</v>
          </cell>
        </row>
        <row r="36">
          <cell r="AC36">
            <v>-1121.2191219751605</v>
          </cell>
        </row>
        <row r="44">
          <cell r="AC44">
            <v>-6598.9550250631319</v>
          </cell>
        </row>
        <row r="46">
          <cell r="AC46">
            <v>-393.51773372531738</v>
          </cell>
        </row>
        <row r="49">
          <cell r="AC49">
            <v>-16608.54712445493</v>
          </cell>
        </row>
        <row r="51">
          <cell r="T51">
            <v>196.52700000000237</v>
          </cell>
        </row>
        <row r="53">
          <cell r="M53">
            <v>37500.877322561792</v>
          </cell>
        </row>
        <row r="55">
          <cell r="M55">
            <v>-14333.021021515498</v>
          </cell>
        </row>
      </sheetData>
      <sheetData sheetId="1">
        <row r="10">
          <cell r="M10">
            <v>5.1948000000000001E-2</v>
          </cell>
        </row>
      </sheetData>
      <sheetData sheetId="2">
        <row r="12">
          <cell r="E12">
            <v>6.5779999999999996E-3</v>
          </cell>
        </row>
        <row r="24">
          <cell r="E24">
            <v>0.61941299999999999</v>
          </cell>
        </row>
      </sheetData>
      <sheetData sheetId="3">
        <row r="14">
          <cell r="AC14">
            <v>492413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"/>
      <sheetName val="ROO "/>
      <sheetName val="2018"/>
      <sheetName val="RR SUMMARY"/>
      <sheetName val="CF "/>
      <sheetName val="ADJ DETAIL-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 xml:space="preserve">AVISTA UTILITIES  </v>
          </cell>
        </row>
        <row r="10">
          <cell r="B10" t="str">
            <v xml:space="preserve">Adjustment Number </v>
          </cell>
          <cell r="E10">
            <v>1</v>
          </cell>
          <cell r="F10">
            <v>1.01</v>
          </cell>
          <cell r="G10">
            <v>1.02</v>
          </cell>
          <cell r="H10">
            <v>1.03</v>
          </cell>
          <cell r="I10">
            <v>1.04</v>
          </cell>
          <cell r="J10">
            <v>2.0099999999999998</v>
          </cell>
          <cell r="K10">
            <v>2.0199999999999996</v>
          </cell>
          <cell r="L10">
            <v>2.0299999999999994</v>
          </cell>
          <cell r="M10">
            <v>2.0399999999999991</v>
          </cell>
          <cell r="N10">
            <v>2.0499999999999989</v>
          </cell>
          <cell r="O10">
            <v>2.0599999999999987</v>
          </cell>
          <cell r="P10">
            <v>2.0699999999999985</v>
          </cell>
          <cell r="Q10">
            <v>2.0799999999999983</v>
          </cell>
          <cell r="R10">
            <v>2.0899999999999981</v>
          </cell>
          <cell r="S10">
            <v>2.0999999999999979</v>
          </cell>
          <cell r="T10">
            <v>2.1099999999999977</v>
          </cell>
          <cell r="U10">
            <v>2.1199999999999974</v>
          </cell>
          <cell r="V10">
            <v>2.1299999999999972</v>
          </cell>
          <cell r="W10">
            <v>2.139999999999997</v>
          </cell>
          <cell r="X10">
            <v>2.1499999999999968</v>
          </cell>
          <cell r="Y10">
            <v>2.1599999999999966</v>
          </cell>
          <cell r="Z10">
            <v>2.1599999999999966</v>
          </cell>
          <cell r="AA10">
            <v>2.1699999999999964</v>
          </cell>
          <cell r="AB10" t="str">
            <v>R-Ttl</v>
          </cell>
          <cell r="AC10">
            <v>3</v>
          </cell>
          <cell r="AD10">
            <v>3.01</v>
          </cell>
          <cell r="AE10">
            <v>3.0199999999999996</v>
          </cell>
          <cell r="AF10">
            <v>3.0299999999999994</v>
          </cell>
          <cell r="AG10">
            <v>3.0399999999999991</v>
          </cell>
          <cell r="AH10">
            <v>3.0499999999999989</v>
          </cell>
          <cell r="AI10">
            <v>3.0599999999999987</v>
          </cell>
          <cell r="AJ10">
            <v>3.0699999999999985</v>
          </cell>
          <cell r="AK10">
            <v>3.0799999999999983</v>
          </cell>
          <cell r="AL10">
            <v>3.0899999999999981</v>
          </cell>
          <cell r="AM10">
            <v>3.0999999999999979</v>
          </cell>
          <cell r="AN10">
            <v>3.1099999999999977</v>
          </cell>
          <cell r="AO10">
            <v>3.1199999999999974</v>
          </cell>
          <cell r="AP10"/>
          <cell r="AQ10" t="str">
            <v>PF-Ttl</v>
          </cell>
          <cell r="AR10">
            <v>4</v>
          </cell>
          <cell r="AS10">
            <v>4.01</v>
          </cell>
          <cell r="AT10">
            <v>4.0199999999999996</v>
          </cell>
          <cell r="AU10">
            <v>4.0299999999999994</v>
          </cell>
          <cell r="AV10">
            <v>4.0399999999999991</v>
          </cell>
          <cell r="AW10">
            <v>4.0499999999999989</v>
          </cell>
          <cell r="AX10">
            <v>4.0599999999999987</v>
          </cell>
          <cell r="AY10" t="str">
            <v>17CC-Ttl</v>
          </cell>
          <cell r="AZ10">
            <v>4.0699999999999985</v>
          </cell>
          <cell r="BA10">
            <v>4.08</v>
          </cell>
          <cell r="BB10" t="str">
            <v>17AA/CC-Ttl</v>
          </cell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</row>
        <row r="80">
          <cell r="A80">
            <v>49</v>
          </cell>
          <cell r="B80" t="str">
            <v xml:space="preserve">TOTAL RATE BASE  </v>
          </cell>
          <cell r="E80">
            <v>1309195</v>
          </cell>
          <cell r="F80">
            <v>-6556</v>
          </cell>
          <cell r="G80">
            <v>-6302</v>
          </cell>
          <cell r="H80">
            <v>4352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1300689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21609</v>
          </cell>
          <cell r="AM80">
            <v>60831</v>
          </cell>
          <cell r="AN80">
            <v>0</v>
          </cell>
          <cell r="AO80">
            <v>0</v>
          </cell>
          <cell r="AP80">
            <v>0</v>
          </cell>
          <cell r="AQ80">
            <v>1383129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1383129</v>
          </cell>
          <cell r="AZ80">
            <v>0</v>
          </cell>
          <cell r="BA80">
            <v>70184.498224010153</v>
          </cell>
          <cell r="BB80">
            <v>1453313.4982240102</v>
          </cell>
          <cell r="BC80"/>
          <cell r="BD80"/>
          <cell r="BE80"/>
          <cell r="BF80"/>
          <cell r="BG80"/>
          <cell r="BH80"/>
          <cell r="BI80"/>
          <cell r="BJ80"/>
          <cell r="BK80"/>
          <cell r="BL80"/>
          <cell r="BM80"/>
          <cell r="BN80"/>
          <cell r="BO80"/>
          <cell r="BP80"/>
          <cell r="BQ80"/>
          <cell r="BR80"/>
          <cell r="BS80"/>
          <cell r="BT80"/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shington Electric PF"/>
      <sheetName val="AN Electric"/>
      <sheetName val="Idaho Electric"/>
      <sheetName val="Total Electric Download"/>
      <sheetName val="Washington Gas PF"/>
      <sheetName val="AN Gas"/>
      <sheetName val="Idaho Gas"/>
      <sheetName val="Gas North Download"/>
      <sheetName val="Pro-Forma Increases"/>
    </sheetNames>
    <sheetDataSet>
      <sheetData sheetId="0">
        <row r="53">
          <cell r="I53">
            <v>72214</v>
          </cell>
        </row>
      </sheetData>
      <sheetData sheetId="1"/>
      <sheetData sheetId="2"/>
      <sheetData sheetId="3"/>
      <sheetData sheetId="4">
        <row r="15">
          <cell r="I15">
            <v>2249</v>
          </cell>
          <cell r="J15">
            <v>13950</v>
          </cell>
        </row>
        <row r="44">
          <cell r="I44">
            <v>37286</v>
          </cell>
          <cell r="J44">
            <v>164334</v>
          </cell>
        </row>
        <row r="51">
          <cell r="I51">
            <v>17022</v>
          </cell>
          <cell r="J51">
            <v>91861</v>
          </cell>
        </row>
        <row r="57">
          <cell r="I57">
            <v>1315</v>
          </cell>
          <cell r="J57">
            <v>8157</v>
          </cell>
        </row>
        <row r="76">
          <cell r="I76">
            <v>18446</v>
          </cell>
          <cell r="J76">
            <v>114421</v>
          </cell>
        </row>
        <row r="78">
          <cell r="K78">
            <v>303525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CAP SUMMARY"/>
      <sheetName val="G-CAP SUMMARY"/>
      <sheetName val="E-CAP17, G-CAP17 PF"/>
    </sheetNames>
    <sheetDataSet>
      <sheetData sheetId="0">
        <row r="18">
          <cell r="Q18">
            <v>3092</v>
          </cell>
        </row>
      </sheetData>
      <sheetData sheetId="1">
        <row r="17">
          <cell r="P17">
            <v>-1217</v>
          </cell>
        </row>
        <row r="41">
          <cell r="D41">
            <v>-2602</v>
          </cell>
        </row>
        <row r="43">
          <cell r="P43">
            <v>6096.388415391657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tabSelected="1" zoomScale="85" zoomScaleNormal="85" zoomScaleSheetLayoutView="100" workbookViewId="0"/>
  </sheetViews>
  <sheetFormatPr defaultRowHeight="12.75"/>
  <cols>
    <col min="1" max="1" width="1.42578125" style="729" customWidth="1"/>
    <col min="2" max="2" width="5.7109375" style="729" customWidth="1"/>
    <col min="3" max="3" width="1.42578125" style="729" customWidth="1"/>
    <col min="4" max="4" width="5.7109375" style="729" customWidth="1"/>
    <col min="5" max="5" width="1.42578125" style="729" customWidth="1"/>
    <col min="6" max="6" width="41.42578125" style="729" customWidth="1"/>
    <col min="7" max="7" width="1.42578125" style="736" customWidth="1"/>
    <col min="8" max="8" width="1.42578125" style="731" customWidth="1"/>
    <col min="9" max="9" width="10.42578125" style="729" customWidth="1"/>
    <col min="10" max="10" width="1.42578125" style="729" customWidth="1"/>
    <col min="11" max="11" width="10.42578125" style="729" customWidth="1"/>
    <col min="12" max="12" width="1.42578125" style="729" customWidth="1"/>
    <col min="13" max="13" width="10.42578125" style="729" customWidth="1"/>
    <col min="14" max="14" width="1.42578125" style="736" customWidth="1"/>
    <col min="15" max="15" width="1.42578125" style="734" customWidth="1"/>
    <col min="16" max="16" width="10.42578125" style="729" customWidth="1"/>
    <col min="17" max="17" width="1.42578125" style="729" customWidth="1"/>
    <col min="18" max="18" width="10.42578125" style="729" customWidth="1"/>
    <col min="19" max="19" width="1.42578125" style="729" customWidth="1"/>
    <col min="20" max="20" width="10.42578125" style="729" customWidth="1"/>
    <col min="21" max="21" width="1.42578125" style="729" customWidth="1"/>
    <col min="22" max="22" width="1.42578125" style="734" customWidth="1"/>
    <col min="23" max="23" width="10.42578125" style="736" customWidth="1"/>
    <col min="24" max="24" width="1.42578125" style="736" customWidth="1"/>
    <col min="25" max="25" width="10.42578125" style="736" customWidth="1"/>
    <col min="26" max="26" width="1.28515625" style="736" customWidth="1"/>
    <col min="27" max="27" width="10.42578125" style="736" customWidth="1"/>
    <col min="28" max="28" width="1.42578125" style="736" customWidth="1"/>
    <col min="29" max="29" width="10.42578125" style="736" customWidth="1"/>
    <col min="30" max="30" width="1.42578125" style="736" customWidth="1"/>
    <col min="31" max="31" width="20.85546875" style="736" customWidth="1"/>
    <col min="32" max="33" width="2.7109375" style="736" customWidth="1"/>
    <col min="34" max="34" width="21.140625" style="736" customWidth="1"/>
    <col min="35" max="37" width="11.85546875" style="729" customWidth="1"/>
    <col min="38" max="16384" width="9.140625" style="729"/>
  </cols>
  <sheetData>
    <row r="1" spans="1:39">
      <c r="A1" s="728" t="s">
        <v>579</v>
      </c>
      <c r="B1" s="728"/>
      <c r="C1" s="728"/>
      <c r="E1" s="728"/>
      <c r="F1" s="728"/>
      <c r="G1" s="730"/>
      <c r="I1" s="731"/>
      <c r="J1" s="732"/>
      <c r="K1" s="732"/>
      <c r="L1" s="732"/>
      <c r="M1" s="732"/>
      <c r="N1" s="730"/>
      <c r="O1" s="732"/>
      <c r="P1" s="728"/>
      <c r="Q1" s="728"/>
      <c r="R1" s="728"/>
      <c r="S1" s="728"/>
      <c r="T1" s="728"/>
      <c r="U1" s="733"/>
      <c r="W1" s="731"/>
      <c r="X1" s="735"/>
      <c r="Y1" s="731"/>
      <c r="Z1" s="731"/>
      <c r="AA1" s="731"/>
      <c r="AB1" s="731"/>
      <c r="AC1" s="731"/>
      <c r="AD1" s="731"/>
      <c r="AE1" s="731"/>
      <c r="AG1" s="737"/>
      <c r="AH1" s="731"/>
      <c r="AI1" s="731"/>
      <c r="AJ1" s="731"/>
      <c r="AK1" s="731"/>
      <c r="AL1" s="736"/>
      <c r="AM1" s="736"/>
    </row>
    <row r="2" spans="1:39">
      <c r="B2" s="728"/>
      <c r="C2" s="728"/>
      <c r="D2" s="728"/>
      <c r="E2" s="728"/>
      <c r="F2" s="728"/>
      <c r="G2" s="730"/>
      <c r="H2" s="738"/>
      <c r="I2" s="739" t="s">
        <v>556</v>
      </c>
      <c r="J2" s="740"/>
      <c r="K2" s="740"/>
      <c r="L2" s="740"/>
      <c r="M2" s="740"/>
      <c r="N2" s="730"/>
      <c r="O2" s="732"/>
      <c r="P2" s="739" t="s">
        <v>593</v>
      </c>
      <c r="Q2" s="741"/>
      <c r="R2" s="741"/>
      <c r="S2" s="741"/>
      <c r="T2" s="741"/>
      <c r="U2" s="733"/>
      <c r="W2" s="739" t="s">
        <v>594</v>
      </c>
      <c r="X2" s="742"/>
      <c r="Y2" s="743"/>
      <c r="Z2" s="743"/>
      <c r="AA2" s="743"/>
      <c r="AB2" s="743"/>
      <c r="AC2" s="743"/>
      <c r="AD2" s="744"/>
      <c r="AE2" s="744"/>
      <c r="AG2" s="737"/>
      <c r="AH2" s="745" t="s">
        <v>557</v>
      </c>
      <c r="AI2" s="745"/>
      <c r="AJ2" s="745"/>
      <c r="AK2" s="745"/>
      <c r="AL2" s="736"/>
      <c r="AM2" s="736"/>
    </row>
    <row r="3" spans="1:39">
      <c r="B3" s="728"/>
      <c r="C3" s="728"/>
      <c r="D3" s="728"/>
      <c r="E3" s="728"/>
      <c r="F3" s="728"/>
      <c r="G3" s="730"/>
      <c r="I3" s="735"/>
      <c r="J3" s="735"/>
      <c r="K3" s="735"/>
      <c r="L3" s="735"/>
      <c r="M3" s="735" t="s">
        <v>558</v>
      </c>
      <c r="N3" s="730"/>
      <c r="P3" s="735"/>
      <c r="Q3" s="735"/>
      <c r="R3" s="735"/>
      <c r="S3" s="735"/>
      <c r="T3" s="735" t="s">
        <v>558</v>
      </c>
      <c r="U3" s="733"/>
      <c r="W3" s="735" t="s">
        <v>559</v>
      </c>
      <c r="X3" s="735"/>
      <c r="Y3" s="735"/>
      <c r="Z3" s="735"/>
      <c r="AA3" s="735"/>
      <c r="AB3" s="746"/>
      <c r="AC3" s="735" t="s">
        <v>558</v>
      </c>
      <c r="AD3" s="744"/>
      <c r="AE3" s="744"/>
      <c r="AG3" s="737"/>
      <c r="AH3" s="729"/>
    </row>
    <row r="4" spans="1:39">
      <c r="B4" s="728"/>
      <c r="C4" s="728"/>
      <c r="D4" s="747" t="s">
        <v>560</v>
      </c>
      <c r="E4" s="728"/>
      <c r="F4" s="728"/>
      <c r="G4" s="730"/>
      <c r="I4" s="735" t="s">
        <v>561</v>
      </c>
      <c r="J4" s="735"/>
      <c r="K4" s="735"/>
      <c r="L4" s="735"/>
      <c r="M4" s="744" t="s">
        <v>562</v>
      </c>
      <c r="N4" s="730"/>
      <c r="P4" s="735" t="s">
        <v>561</v>
      </c>
      <c r="Q4" s="735"/>
      <c r="R4" s="735"/>
      <c r="S4" s="735"/>
      <c r="T4" s="744" t="s">
        <v>562</v>
      </c>
      <c r="U4" s="733"/>
      <c r="W4" s="735" t="s">
        <v>561</v>
      </c>
      <c r="X4" s="735"/>
      <c r="Y4" s="735" t="s">
        <v>561</v>
      </c>
      <c r="Z4" s="735"/>
      <c r="AA4" s="735"/>
      <c r="AB4" s="735"/>
      <c r="AC4" s="744" t="s">
        <v>562</v>
      </c>
      <c r="AD4" s="744"/>
      <c r="AE4" s="744"/>
      <c r="AG4" s="737"/>
      <c r="AH4" s="729" t="s">
        <v>563</v>
      </c>
      <c r="AI4" s="748">
        <f>+'[4]Exh. No. BGM-3 3'!E24</f>
        <v>0.61941299999999999</v>
      </c>
    </row>
    <row r="5" spans="1:39">
      <c r="B5" s="741" t="s">
        <v>7</v>
      </c>
      <c r="C5" s="728"/>
      <c r="D5" s="749" t="s">
        <v>564</v>
      </c>
      <c r="E5" s="728"/>
      <c r="F5" s="741" t="s">
        <v>73</v>
      </c>
      <c r="G5" s="730"/>
      <c r="I5" s="750" t="s">
        <v>565</v>
      </c>
      <c r="J5" s="735"/>
      <c r="K5" s="750" t="s">
        <v>19</v>
      </c>
      <c r="L5" s="735"/>
      <c r="M5" s="750" t="s">
        <v>566</v>
      </c>
      <c r="N5" s="730"/>
      <c r="P5" s="750" t="s">
        <v>565</v>
      </c>
      <c r="Q5" s="735"/>
      <c r="R5" s="750" t="s">
        <v>19</v>
      </c>
      <c r="S5" s="735"/>
      <c r="T5" s="750" t="s">
        <v>566</v>
      </c>
      <c r="U5" s="733"/>
      <c r="W5" s="750" t="s">
        <v>565</v>
      </c>
      <c r="X5" s="735"/>
      <c r="Y5" s="750" t="s">
        <v>565</v>
      </c>
      <c r="Z5" s="735"/>
      <c r="AA5" s="750" t="s">
        <v>19</v>
      </c>
      <c r="AB5" s="746"/>
      <c r="AC5" s="750" t="s">
        <v>566</v>
      </c>
      <c r="AD5" s="746"/>
      <c r="AE5" s="750" t="s">
        <v>595</v>
      </c>
      <c r="AG5" s="737"/>
      <c r="AH5" s="729" t="s">
        <v>567</v>
      </c>
      <c r="AI5" s="751">
        <v>0.35</v>
      </c>
    </row>
    <row r="6" spans="1:39">
      <c r="G6" s="731"/>
      <c r="AG6" s="737"/>
      <c r="AH6" s="729"/>
    </row>
    <row r="7" spans="1:39">
      <c r="B7" s="729">
        <v>1</v>
      </c>
      <c r="D7" s="752">
        <v>1</v>
      </c>
      <c r="E7" s="728"/>
      <c r="F7" s="728" t="s">
        <v>597</v>
      </c>
      <c r="G7" s="731"/>
      <c r="I7" s="753">
        <f>+'Exh. No. BGM 4 4'!E59</f>
        <v>23458</v>
      </c>
      <c r="J7" s="753"/>
      <c r="K7" s="753">
        <f>+'Exh. No. BGM 4 4'!E82</f>
        <v>287787</v>
      </c>
      <c r="L7" s="753"/>
      <c r="M7" s="753">
        <f>+($K7*$AK$12-$I7)/$AI$4</f>
        <v>-4976.7770453639187</v>
      </c>
      <c r="O7" s="732"/>
      <c r="P7" s="753">
        <f>+I7</f>
        <v>23458</v>
      </c>
      <c r="Q7" s="753"/>
      <c r="R7" s="753">
        <f>+K7</f>
        <v>287787</v>
      </c>
      <c r="S7" s="753"/>
      <c r="T7" s="753">
        <f>+($R7*$AK$12-$P7)/$AI$4</f>
        <v>-4976.7770453639187</v>
      </c>
      <c r="AG7" s="737"/>
      <c r="AH7" s="729"/>
    </row>
    <row r="8" spans="1:39">
      <c r="D8" s="754"/>
      <c r="G8" s="731"/>
      <c r="I8" s="755"/>
      <c r="J8" s="755"/>
      <c r="K8" s="755"/>
      <c r="L8" s="755"/>
      <c r="M8" s="755"/>
      <c r="P8" s="755"/>
      <c r="Q8" s="755"/>
      <c r="R8" s="755"/>
      <c r="S8" s="755"/>
      <c r="T8" s="755"/>
      <c r="AE8" s="729"/>
      <c r="AG8" s="737"/>
      <c r="AH8" s="729" t="s">
        <v>568</v>
      </c>
      <c r="AI8" s="729" t="s">
        <v>139</v>
      </c>
      <c r="AK8" s="729" t="s">
        <v>140</v>
      </c>
    </row>
    <row r="9" spans="1:39">
      <c r="B9" s="756" t="s">
        <v>569</v>
      </c>
      <c r="D9" s="754"/>
      <c r="G9" s="731"/>
      <c r="I9" s="755"/>
      <c r="J9" s="755"/>
      <c r="K9" s="755"/>
      <c r="L9" s="755"/>
      <c r="M9" s="755"/>
      <c r="P9" s="755"/>
      <c r="Q9" s="755"/>
      <c r="R9" s="755"/>
      <c r="S9" s="755"/>
      <c r="T9" s="755"/>
      <c r="AE9" s="729"/>
      <c r="AG9" s="737"/>
      <c r="AH9" s="739" t="s">
        <v>141</v>
      </c>
      <c r="AI9" s="739" t="s">
        <v>142</v>
      </c>
      <c r="AJ9" s="739" t="s">
        <v>143</v>
      </c>
      <c r="AK9" s="739" t="s">
        <v>143</v>
      </c>
    </row>
    <row r="10" spans="1:39">
      <c r="B10" s="729">
        <f ca="1">+MAX(OFFSET($B$7,0,0,ROW($B10)-ROW($B$7),1))+1</f>
        <v>2</v>
      </c>
      <c r="D10" s="754">
        <v>1.01</v>
      </c>
      <c r="F10" s="729" t="str">
        <f>+INDEX('Exh. No. BGM 4 4'!$8:$8&amp;" "&amp;'Exh. No. BGM 4 4'!$9:$9&amp;" "&amp;'Exh. No. BGM 4 4'!$10:$10,1,MATCH(D10,'Exh. No. BGM 4 4'!$11:$11,0))</f>
        <v>Deferred  FIT Rate Base</v>
      </c>
      <c r="G10" s="731"/>
      <c r="I10" s="755">
        <v>-3.2873749999999999</v>
      </c>
      <c r="J10" s="755"/>
      <c r="K10" s="757">
        <v>-325</v>
      </c>
      <c r="L10" s="755"/>
      <c r="M10" s="757">
        <f>+($K10*$AK$12-$I10)/$AI$4</f>
        <v>-31.840831561494515</v>
      </c>
      <c r="P10" s="755">
        <f t="shared" ref="P10:P27" si="0">+I10+Y10</f>
        <v>-3.2873749999999999</v>
      </c>
      <c r="Q10" s="755"/>
      <c r="R10" s="755">
        <f t="shared" ref="R10:R27" si="1">+K10+AA10</f>
        <v>-325</v>
      </c>
      <c r="S10" s="755"/>
      <c r="T10" s="755">
        <f t="shared" ref="T10:T27" si="2">+($R10*$AK$12-$P10)/$AI$4</f>
        <v>-31.840831561494515</v>
      </c>
      <c r="W10" s="755">
        <v>0</v>
      </c>
      <c r="X10" s="755"/>
      <c r="Y10" s="757">
        <f t="shared" ref="Y10:Y26" si="3">+W10*(1-$AI$5)+$AA10*$AK$10*$AI$5</f>
        <v>0</v>
      </c>
      <c r="Z10" s="758"/>
      <c r="AA10" s="758">
        <v>0</v>
      </c>
      <c r="AB10" s="759"/>
      <c r="AC10" s="755">
        <f t="shared" ref="AC10:AC27" si="4">+($AA10*$AK$12-$Y10)/$AI$4</f>
        <v>0</v>
      </c>
      <c r="AE10" s="729" t="s">
        <v>581</v>
      </c>
      <c r="AG10" s="737"/>
      <c r="AH10" s="729" t="s">
        <v>452</v>
      </c>
      <c r="AI10" s="729">
        <f>100%-AI11</f>
        <v>0.51600000000000001</v>
      </c>
      <c r="AJ10" s="760">
        <f>+'[4]Exh. No. BGM-3 2'!$M$10</f>
        <v>5.1948000000000001E-2</v>
      </c>
      <c r="AK10" s="163">
        <f>ROUND(AI10*AJ10,4)</f>
        <v>2.6800000000000001E-2</v>
      </c>
    </row>
    <row r="11" spans="1:39">
      <c r="B11" s="729">
        <f t="shared" ref="B11:B46" ca="1" si="5">+MAX(OFFSET($B$7,0,0,ROW($B11)-ROW($B$7),1))+1</f>
        <v>3</v>
      </c>
      <c r="D11" s="754">
        <v>1.02</v>
      </c>
      <c r="F11" s="729" t="str">
        <f>+INDEX('Exh. No. BGM 4 4'!$8:$8&amp;" "&amp;'Exh. No. BGM 4 4'!$9:$9&amp;" "&amp;'Exh. No. BGM 4 4'!$10:$10,1,MATCH(D11,'Exh. No. BGM 4 4'!$11:$11,0))</f>
        <v>Deferred Debits and  Credits</v>
      </c>
      <c r="G11" s="731"/>
      <c r="I11" s="755">
        <v>-1.3</v>
      </c>
      <c r="J11" s="755"/>
      <c r="K11" s="757">
        <v>0</v>
      </c>
      <c r="L11" s="755"/>
      <c r="M11" s="757">
        <f t="shared" ref="M11:M27" si="6">+($K11*$AK$12-$I11)/$AI$4</f>
        <v>2.0987612465350258</v>
      </c>
      <c r="P11" s="755">
        <f t="shared" si="0"/>
        <v>-1.3</v>
      </c>
      <c r="Q11" s="755"/>
      <c r="R11" s="755">
        <f t="shared" si="1"/>
        <v>0</v>
      </c>
      <c r="S11" s="755"/>
      <c r="T11" s="755">
        <f t="shared" si="2"/>
        <v>2.0987612465350258</v>
      </c>
      <c r="W11" s="755">
        <v>0</v>
      </c>
      <c r="X11" s="755"/>
      <c r="Y11" s="757">
        <f t="shared" si="3"/>
        <v>0</v>
      </c>
      <c r="Z11" s="758"/>
      <c r="AA11" s="758">
        <v>0</v>
      </c>
      <c r="AB11" s="759"/>
      <c r="AC11" s="755">
        <f t="shared" si="4"/>
        <v>0</v>
      </c>
      <c r="AE11" s="729" t="s">
        <v>581</v>
      </c>
      <c r="AG11" s="737"/>
      <c r="AH11" s="729" t="s">
        <v>570</v>
      </c>
      <c r="AI11" s="729">
        <v>0.48399999999999999</v>
      </c>
      <c r="AJ11" s="760">
        <v>9.0999999999999998E-2</v>
      </c>
      <c r="AK11" s="339">
        <f>ROUND(AI11*AJ11,4)</f>
        <v>4.3999999999999997E-2</v>
      </c>
    </row>
    <row r="12" spans="1:39">
      <c r="B12" s="729">
        <f t="shared" ca="1" si="5"/>
        <v>4</v>
      </c>
      <c r="D12" s="754">
        <v>1.03</v>
      </c>
      <c r="F12" s="729" t="str">
        <f>+INDEX('Exh. No. BGM 4 4'!$8:$8&amp;" "&amp;'Exh. No. BGM 4 4'!$9:$9&amp;" "&amp;'Exh. No. BGM 4 4'!$10:$10,1,MATCH(D12,'Exh. No. BGM 4 4'!$11:$11,0))</f>
        <v xml:space="preserve">Working Capital </v>
      </c>
      <c r="G12" s="731"/>
      <c r="I12" s="755">
        <v>-8.7393599999999996</v>
      </c>
      <c r="J12" s="755"/>
      <c r="K12" s="757">
        <v>-864</v>
      </c>
      <c r="L12" s="755"/>
      <c r="M12" s="757">
        <f t="shared" si="6"/>
        <v>-84.647626058865413</v>
      </c>
      <c r="P12" s="755">
        <f t="shared" si="0"/>
        <v>-8.7393599999999996</v>
      </c>
      <c r="Q12" s="755"/>
      <c r="R12" s="755">
        <f t="shared" si="1"/>
        <v>-864</v>
      </c>
      <c r="S12" s="755"/>
      <c r="T12" s="755">
        <f t="shared" si="2"/>
        <v>-84.647626058865413</v>
      </c>
      <c r="W12" s="755">
        <v>0</v>
      </c>
      <c r="X12" s="755"/>
      <c r="Y12" s="757">
        <f t="shared" si="3"/>
        <v>0</v>
      </c>
      <c r="Z12" s="758"/>
      <c r="AA12" s="758">
        <v>0</v>
      </c>
      <c r="AB12" s="759"/>
      <c r="AC12" s="755">
        <f t="shared" si="4"/>
        <v>0</v>
      </c>
      <c r="AE12" s="729" t="s">
        <v>581</v>
      </c>
      <c r="AG12" s="737"/>
      <c r="AH12" s="729" t="s">
        <v>26</v>
      </c>
      <c r="AI12" s="761">
        <f>SUM(AI10:AI11)</f>
        <v>1</v>
      </c>
      <c r="AK12" s="163">
        <f>+ROUND(SUM(AK10:AK11),4)</f>
        <v>7.0800000000000002E-2</v>
      </c>
    </row>
    <row r="13" spans="1:39">
      <c r="B13" s="729">
        <f t="shared" ca="1" si="5"/>
        <v>5</v>
      </c>
      <c r="D13" s="754">
        <v>2.0099999999999998</v>
      </c>
      <c r="F13" s="729" t="str">
        <f>+INDEX('Exh. No. BGM 4 4'!$8:$8&amp;" "&amp;'Exh. No. BGM 4 4'!$9:$9&amp;" "&amp;'Exh. No. BGM 4 4'!$10:$10,1,MATCH(D13,'Exh. No. BGM 4 4'!$11:$11,0))</f>
        <v>Eliminate  B &amp; O  Taxes</v>
      </c>
      <c r="G13" s="731"/>
      <c r="I13" s="755">
        <v>-20.8</v>
      </c>
      <c r="J13" s="755"/>
      <c r="K13" s="757">
        <v>0</v>
      </c>
      <c r="L13" s="755"/>
      <c r="M13" s="757">
        <f t="shared" si="6"/>
        <v>33.580179944560413</v>
      </c>
      <c r="P13" s="755">
        <f t="shared" si="0"/>
        <v>-20.8</v>
      </c>
      <c r="Q13" s="755"/>
      <c r="R13" s="755">
        <f t="shared" si="1"/>
        <v>0</v>
      </c>
      <c r="S13" s="755"/>
      <c r="T13" s="755">
        <f t="shared" si="2"/>
        <v>33.580179944560413</v>
      </c>
      <c r="W13" s="755">
        <v>0</v>
      </c>
      <c r="X13" s="755"/>
      <c r="Y13" s="757">
        <f t="shared" si="3"/>
        <v>0</v>
      </c>
      <c r="Z13" s="758"/>
      <c r="AA13" s="758">
        <v>0</v>
      </c>
      <c r="AB13" s="759"/>
      <c r="AC13" s="755">
        <f t="shared" si="4"/>
        <v>0</v>
      </c>
      <c r="AE13" s="729" t="s">
        <v>581</v>
      </c>
      <c r="AG13" s="737"/>
      <c r="AH13" s="731"/>
      <c r="AK13" s="760"/>
    </row>
    <row r="14" spans="1:39">
      <c r="B14" s="729">
        <f t="shared" ca="1" si="5"/>
        <v>6</v>
      </c>
      <c r="D14" s="754">
        <v>2.0199999999999996</v>
      </c>
      <c r="F14" s="729" t="str">
        <f>+INDEX('Exh. No. BGM 4 4'!$8:$8&amp;" "&amp;'Exh. No. BGM 4 4'!$9:$9&amp;" "&amp;'Exh. No. BGM 4 4'!$10:$10,1,MATCH(D14,'Exh. No. BGM 4 4'!$11:$11,0))</f>
        <v>Restate Property Tax</v>
      </c>
      <c r="G14" s="731"/>
      <c r="I14" s="755">
        <v>-243.75</v>
      </c>
      <c r="J14" s="755"/>
      <c r="K14" s="757">
        <v>0</v>
      </c>
      <c r="L14" s="755"/>
      <c r="M14" s="757">
        <f t="shared" si="6"/>
        <v>393.51773372531738</v>
      </c>
      <c r="P14" s="755">
        <f t="shared" si="0"/>
        <v>-243.75</v>
      </c>
      <c r="Q14" s="755"/>
      <c r="R14" s="755">
        <f t="shared" si="1"/>
        <v>0</v>
      </c>
      <c r="S14" s="755"/>
      <c r="T14" s="755">
        <f t="shared" si="2"/>
        <v>393.51773372531738</v>
      </c>
      <c r="W14" s="755">
        <v>0</v>
      </c>
      <c r="X14" s="755"/>
      <c r="Y14" s="757">
        <f t="shared" si="3"/>
        <v>0</v>
      </c>
      <c r="Z14" s="758"/>
      <c r="AA14" s="758">
        <v>0</v>
      </c>
      <c r="AB14" s="759"/>
      <c r="AC14" s="755">
        <f t="shared" si="4"/>
        <v>0</v>
      </c>
      <c r="AE14" s="729" t="s">
        <v>581</v>
      </c>
      <c r="AG14" s="737"/>
      <c r="AH14" s="731"/>
      <c r="AJ14" s="762" t="s">
        <v>571</v>
      </c>
      <c r="AK14" s="760">
        <v>7.6899999999999996E-2</v>
      </c>
    </row>
    <row r="15" spans="1:39">
      <c r="B15" s="729">
        <f t="shared" ca="1" si="5"/>
        <v>7</v>
      </c>
      <c r="D15" s="754">
        <v>2.0299999999999994</v>
      </c>
      <c r="F15" s="729" t="str">
        <f>+INDEX('Exh. No. BGM 4 4'!$8:$8&amp;" "&amp;'Exh. No. BGM 4 4'!$9:$9&amp;" "&amp;'Exh. No. BGM 4 4'!$10:$10,1,MATCH(D15,'Exh. No. BGM 4 4'!$11:$11,0))</f>
        <v xml:space="preserve">Uncollectible Expense </v>
      </c>
      <c r="G15" s="731"/>
      <c r="I15" s="755">
        <v>383.5</v>
      </c>
      <c r="J15" s="755"/>
      <c r="K15" s="757">
        <v>0</v>
      </c>
      <c r="L15" s="755"/>
      <c r="M15" s="757">
        <f t="shared" si="6"/>
        <v>-619.13456772783263</v>
      </c>
      <c r="P15" s="755">
        <f t="shared" si="0"/>
        <v>383.5</v>
      </c>
      <c r="Q15" s="755"/>
      <c r="R15" s="755">
        <f t="shared" si="1"/>
        <v>0</v>
      </c>
      <c r="S15" s="755"/>
      <c r="T15" s="755">
        <f t="shared" si="2"/>
        <v>-619.13456772783263</v>
      </c>
      <c r="W15" s="755">
        <v>0</v>
      </c>
      <c r="X15" s="755"/>
      <c r="Y15" s="757">
        <f t="shared" si="3"/>
        <v>0</v>
      </c>
      <c r="Z15" s="758"/>
      <c r="AA15" s="758">
        <f>+INDEX('[6]ADJ DETAIL-INPUT'!$80:$80,1,MATCH(D15,'[6]ADJ DETAIL-INPUT'!$10:$10,0))-K15</f>
        <v>0</v>
      </c>
      <c r="AB15" s="759"/>
      <c r="AC15" s="755">
        <f t="shared" si="4"/>
        <v>0</v>
      </c>
      <c r="AE15" s="729" t="s">
        <v>581</v>
      </c>
      <c r="AG15" s="737"/>
      <c r="AH15" s="731"/>
      <c r="AJ15" s="762"/>
      <c r="AK15" s="760"/>
    </row>
    <row r="16" spans="1:39">
      <c r="B16" s="729">
        <f t="shared" ca="1" si="5"/>
        <v>8</v>
      </c>
      <c r="D16" s="754">
        <v>2.0399999999999991</v>
      </c>
      <c r="F16" s="729" t="str">
        <f>+INDEX('Exh. No. BGM 4 4'!$8:$8&amp;" "&amp;'Exh. No. BGM 4 4'!$9:$9&amp;" "&amp;'Exh. No. BGM 4 4'!$10:$10,1,MATCH(D16,'Exh. No. BGM 4 4'!$11:$11,0))</f>
        <v xml:space="preserve">Regulatory Expense </v>
      </c>
      <c r="G16" s="731"/>
      <c r="I16" s="755">
        <v>1.9500000000000002</v>
      </c>
      <c r="J16" s="755"/>
      <c r="K16" s="757">
        <v>0</v>
      </c>
      <c r="L16" s="755"/>
      <c r="M16" s="757">
        <f t="shared" si="6"/>
        <v>-3.1481418698025392</v>
      </c>
      <c r="P16" s="755">
        <f t="shared" si="0"/>
        <v>1.9500000000000002</v>
      </c>
      <c r="Q16" s="755"/>
      <c r="R16" s="755">
        <f t="shared" si="1"/>
        <v>0</v>
      </c>
      <c r="S16" s="755"/>
      <c r="T16" s="755">
        <f t="shared" si="2"/>
        <v>-3.1481418698025392</v>
      </c>
      <c r="W16" s="755">
        <v>0</v>
      </c>
      <c r="X16" s="755"/>
      <c r="Y16" s="757">
        <f t="shared" si="3"/>
        <v>0</v>
      </c>
      <c r="Z16" s="758"/>
      <c r="AA16" s="758">
        <v>0</v>
      </c>
      <c r="AB16" s="759"/>
      <c r="AC16" s="755">
        <f t="shared" si="4"/>
        <v>0</v>
      </c>
      <c r="AE16" s="729" t="s">
        <v>581</v>
      </c>
      <c r="AG16" s="737"/>
      <c r="AH16" s="731"/>
      <c r="AJ16" s="762" t="s">
        <v>572</v>
      </c>
      <c r="AK16" s="755">
        <f>+K46</f>
        <v>305913</v>
      </c>
    </row>
    <row r="17" spans="2:37">
      <c r="B17" s="729">
        <f t="shared" ca="1" si="5"/>
        <v>9</v>
      </c>
      <c r="D17" s="754">
        <v>2.0499999999999989</v>
      </c>
      <c r="F17" s="729" t="str">
        <f>+INDEX('Exh. No. BGM 4 4'!$8:$8&amp;" "&amp;'Exh. No. BGM 4 4'!$9:$9&amp;" "&amp;'Exh. No. BGM 4 4'!$10:$10,1,MATCH(D17,'Exh. No. BGM 4 4'!$11:$11,0))</f>
        <v>Injuries &amp; Damages</v>
      </c>
      <c r="G17" s="731"/>
      <c r="I17" s="755">
        <v>-49.400000000000006</v>
      </c>
      <c r="J17" s="755"/>
      <c r="K17" s="757">
        <v>0</v>
      </c>
      <c r="L17" s="755"/>
      <c r="M17" s="757">
        <f t="shared" si="6"/>
        <v>79.752927368331001</v>
      </c>
      <c r="P17" s="755">
        <f t="shared" si="0"/>
        <v>-49.400000000000006</v>
      </c>
      <c r="Q17" s="755"/>
      <c r="R17" s="755">
        <f t="shared" si="1"/>
        <v>0</v>
      </c>
      <c r="S17" s="755"/>
      <c r="T17" s="755">
        <f t="shared" si="2"/>
        <v>79.752927368331001</v>
      </c>
      <c r="W17" s="755">
        <v>0</v>
      </c>
      <c r="X17" s="755"/>
      <c r="Y17" s="757">
        <f t="shared" si="3"/>
        <v>0</v>
      </c>
      <c r="Z17" s="755"/>
      <c r="AA17" s="755">
        <v>0</v>
      </c>
      <c r="AB17" s="759"/>
      <c r="AC17" s="755">
        <f t="shared" si="4"/>
        <v>0</v>
      </c>
      <c r="AE17" s="729" t="s">
        <v>581</v>
      </c>
      <c r="AG17" s="737"/>
      <c r="AH17" s="731"/>
      <c r="AJ17" s="762"/>
    </row>
    <row r="18" spans="2:37">
      <c r="B18" s="729">
        <f t="shared" ca="1" si="5"/>
        <v>10</v>
      </c>
      <c r="D18" s="754">
        <v>2.0599999999999987</v>
      </c>
      <c r="F18" s="729" t="str">
        <f>+INDEX('Exh. No. BGM 4 4'!$8:$8&amp;" "&amp;'Exh. No. BGM 4 4'!$9:$9&amp;" "&amp;'Exh. No. BGM 4 4'!$10:$10,1,MATCH(D18,'Exh. No. BGM 4 4'!$11:$11,0))</f>
        <v>FIT /  DFIT  Expense</v>
      </c>
      <c r="G18" s="731"/>
      <c r="I18" s="755">
        <v>0</v>
      </c>
      <c r="J18" s="755"/>
      <c r="K18" s="757">
        <v>0</v>
      </c>
      <c r="L18" s="755"/>
      <c r="M18" s="757">
        <f t="shared" si="6"/>
        <v>0</v>
      </c>
      <c r="P18" s="755">
        <f t="shared" si="0"/>
        <v>0</v>
      </c>
      <c r="Q18" s="755"/>
      <c r="R18" s="755">
        <f t="shared" si="1"/>
        <v>0</v>
      </c>
      <c r="S18" s="755"/>
      <c r="T18" s="755">
        <f t="shared" si="2"/>
        <v>0</v>
      </c>
      <c r="W18" s="755">
        <v>0</v>
      </c>
      <c r="X18" s="755"/>
      <c r="Y18" s="757">
        <f t="shared" si="3"/>
        <v>0</v>
      </c>
      <c r="Z18" s="755"/>
      <c r="AA18" s="755">
        <v>0</v>
      </c>
      <c r="AB18" s="759"/>
      <c r="AC18" s="755">
        <f t="shared" si="4"/>
        <v>0</v>
      </c>
      <c r="AE18" s="729" t="s">
        <v>581</v>
      </c>
      <c r="AG18" s="737"/>
      <c r="AH18" s="731"/>
      <c r="AJ18" s="762" t="s">
        <v>573</v>
      </c>
      <c r="AK18" s="755">
        <f>-((AK16*AK14)-(AK16*AK12))/AI4</f>
        <v>-3012.6414847605706</v>
      </c>
    </row>
    <row r="19" spans="2:37">
      <c r="B19" s="729">
        <f t="shared" ca="1" si="5"/>
        <v>11</v>
      </c>
      <c r="D19" s="754">
        <v>2.0699999999999985</v>
      </c>
      <c r="F19" s="729" t="str">
        <f>+INDEX('Exh. No. BGM 4 4'!$8:$8&amp;" "&amp;'Exh. No. BGM 4 4'!$9:$9&amp;" "&amp;'Exh. No. BGM 4 4'!$10:$10,1,MATCH(D19,'Exh. No. BGM 4 4'!$11:$11,0))</f>
        <v>Office Space Charges to Subs</v>
      </c>
      <c r="G19" s="731"/>
      <c r="I19" s="755">
        <v>5.85</v>
      </c>
      <c r="J19" s="755"/>
      <c r="K19" s="757">
        <v>0</v>
      </c>
      <c r="L19" s="755"/>
      <c r="M19" s="757">
        <f t="shared" si="6"/>
        <v>-9.4444256094076167</v>
      </c>
      <c r="P19" s="755">
        <f t="shared" si="0"/>
        <v>5.85</v>
      </c>
      <c r="Q19" s="755"/>
      <c r="R19" s="755">
        <f t="shared" si="1"/>
        <v>0</v>
      </c>
      <c r="S19" s="755"/>
      <c r="T19" s="755">
        <f t="shared" si="2"/>
        <v>-9.4444256094076167</v>
      </c>
      <c r="W19" s="755">
        <v>0</v>
      </c>
      <c r="X19" s="755"/>
      <c r="Y19" s="757">
        <f t="shared" si="3"/>
        <v>0</v>
      </c>
      <c r="Z19" s="755"/>
      <c r="AA19" s="755">
        <v>0</v>
      </c>
      <c r="AB19" s="759"/>
      <c r="AC19" s="755">
        <f t="shared" si="4"/>
        <v>0</v>
      </c>
      <c r="AE19" s="729" t="s">
        <v>581</v>
      </c>
      <c r="AG19" s="737"/>
      <c r="AH19" s="731"/>
      <c r="AJ19" s="762"/>
      <c r="AK19" s="763"/>
    </row>
    <row r="20" spans="2:37">
      <c r="B20" s="729">
        <f t="shared" ca="1" si="5"/>
        <v>12</v>
      </c>
      <c r="D20" s="754">
        <v>2.0799999999999983</v>
      </c>
      <c r="F20" s="729" t="str">
        <f>+INDEX('Exh. No. BGM 4 4'!$8:$8&amp;" "&amp;'Exh. No. BGM 4 4'!$9:$9&amp;" "&amp;'Exh. No. BGM 4 4'!$10:$10,1,MATCH(D20,'Exh. No. BGM 4 4'!$11:$11,0))</f>
        <v>Restate Excise Taxes</v>
      </c>
      <c r="G20" s="731"/>
      <c r="I20" s="755">
        <v>-1.3</v>
      </c>
      <c r="J20" s="755"/>
      <c r="K20" s="757">
        <v>0</v>
      </c>
      <c r="L20" s="755"/>
      <c r="M20" s="757">
        <f t="shared" si="6"/>
        <v>2.0987612465350258</v>
      </c>
      <c r="P20" s="755">
        <f t="shared" si="0"/>
        <v>-1.3</v>
      </c>
      <c r="Q20" s="755"/>
      <c r="R20" s="755">
        <f t="shared" si="1"/>
        <v>0</v>
      </c>
      <c r="S20" s="755"/>
      <c r="T20" s="755">
        <f t="shared" si="2"/>
        <v>2.0987612465350258</v>
      </c>
      <c r="W20" s="755">
        <v>0</v>
      </c>
      <c r="X20" s="755"/>
      <c r="Y20" s="757">
        <f t="shared" si="3"/>
        <v>0</v>
      </c>
      <c r="Z20" s="755"/>
      <c r="AA20" s="755">
        <v>0</v>
      </c>
      <c r="AB20" s="759"/>
      <c r="AC20" s="755">
        <f t="shared" si="4"/>
        <v>0</v>
      </c>
      <c r="AE20" s="729" t="s">
        <v>581</v>
      </c>
      <c r="AG20" s="737"/>
      <c r="AH20" s="731"/>
      <c r="AJ20" s="762"/>
      <c r="AK20" s="755"/>
    </row>
    <row r="21" spans="2:37">
      <c r="B21" s="729">
        <f t="shared" ca="1" si="5"/>
        <v>13</v>
      </c>
      <c r="D21" s="754">
        <v>2.0899999999999981</v>
      </c>
      <c r="F21" s="729" t="str">
        <f>+INDEX('Exh. No. BGM 4 4'!$8:$8&amp;" "&amp;'Exh. No. BGM 4 4'!$9:$9&amp;" "&amp;'Exh. No. BGM 4 4'!$10:$10,1,MATCH(D21,'Exh. No. BGM 4 4'!$11:$11,0))</f>
        <v>Net Gains  &amp; Losses</v>
      </c>
      <c r="G21" s="731"/>
      <c r="I21" s="755">
        <v>8.4499999999999993</v>
      </c>
      <c r="J21" s="755"/>
      <c r="K21" s="757">
        <v>0</v>
      </c>
      <c r="L21" s="755"/>
      <c r="M21" s="757">
        <f t="shared" si="6"/>
        <v>-13.641948102477667</v>
      </c>
      <c r="P21" s="755">
        <f t="shared" si="0"/>
        <v>8.4499999999999993</v>
      </c>
      <c r="Q21" s="755"/>
      <c r="R21" s="755">
        <f t="shared" si="1"/>
        <v>0</v>
      </c>
      <c r="S21" s="755"/>
      <c r="T21" s="755">
        <f t="shared" si="2"/>
        <v>-13.641948102477667</v>
      </c>
      <c r="W21" s="755">
        <v>0</v>
      </c>
      <c r="X21" s="755"/>
      <c r="Y21" s="757">
        <f t="shared" si="3"/>
        <v>0</v>
      </c>
      <c r="Z21" s="755"/>
      <c r="AA21" s="755">
        <v>0</v>
      </c>
      <c r="AB21" s="759"/>
      <c r="AC21" s="755">
        <f t="shared" si="4"/>
        <v>0</v>
      </c>
      <c r="AE21" s="729" t="s">
        <v>581</v>
      </c>
      <c r="AG21" s="737"/>
      <c r="AH21" s="731"/>
    </row>
    <row r="22" spans="2:37">
      <c r="B22" s="729">
        <f t="shared" ca="1" si="5"/>
        <v>14</v>
      </c>
      <c r="D22" s="754">
        <v>2.0999999999999979</v>
      </c>
      <c r="F22" s="729" t="str">
        <f>+INDEX('Exh. No. BGM 4 4'!$8:$8&amp;" "&amp;'Exh. No. BGM 4 4'!$9:$9&amp;" "&amp;'Exh. No. BGM 4 4'!$10:$10,1,MATCH(D22,'Exh. No. BGM 4 4'!$11:$11,0))</f>
        <v>Weather  Normalization / Gas Cost Adjust</v>
      </c>
      <c r="G22" s="731"/>
      <c r="I22" s="755">
        <v>-2.6</v>
      </c>
      <c r="J22" s="755"/>
      <c r="K22" s="757">
        <v>0</v>
      </c>
      <c r="L22" s="755"/>
      <c r="M22" s="757">
        <f t="shared" si="6"/>
        <v>4.1975224930700517</v>
      </c>
      <c r="P22" s="755">
        <f t="shared" si="0"/>
        <v>-2.6</v>
      </c>
      <c r="Q22" s="755"/>
      <c r="R22" s="755">
        <f t="shared" si="1"/>
        <v>0</v>
      </c>
      <c r="S22" s="755"/>
      <c r="T22" s="755">
        <f t="shared" si="2"/>
        <v>4.1975224930700517</v>
      </c>
      <c r="W22" s="755">
        <v>0</v>
      </c>
      <c r="X22" s="755"/>
      <c r="Y22" s="757">
        <f t="shared" si="3"/>
        <v>0</v>
      </c>
      <c r="Z22" s="755"/>
      <c r="AA22" s="755">
        <v>0</v>
      </c>
      <c r="AB22" s="759"/>
      <c r="AC22" s="755">
        <f t="shared" si="4"/>
        <v>0</v>
      </c>
      <c r="AE22" s="729" t="s">
        <v>581</v>
      </c>
      <c r="AG22" s="737"/>
      <c r="AH22" s="731"/>
      <c r="AK22" s="768"/>
    </row>
    <row r="23" spans="2:37">
      <c r="B23" s="729">
        <f t="shared" ca="1" si="5"/>
        <v>15</v>
      </c>
      <c r="D23" s="754">
        <v>2.1099999999999977</v>
      </c>
      <c r="F23" s="729" t="str">
        <f>+INDEX('Exh. No. BGM 4 4'!$8:$8&amp;" "&amp;'Exh. No. BGM 4 4'!$9:$9&amp;" "&amp;'Exh. No. BGM 4 4'!$10:$10,1,MATCH(D23,'Exh. No. BGM 4 4'!$11:$11,0))</f>
        <v>Eliminate Adder Schedules</v>
      </c>
      <c r="G23" s="731"/>
      <c r="I23" s="755">
        <v>-310.05</v>
      </c>
      <c r="J23" s="755"/>
      <c r="K23" s="757">
        <v>0</v>
      </c>
      <c r="L23" s="755"/>
      <c r="M23" s="757">
        <f t="shared" si="6"/>
        <v>500.5545572986037</v>
      </c>
      <c r="P23" s="755">
        <f t="shared" si="0"/>
        <v>-310.05</v>
      </c>
      <c r="Q23" s="755"/>
      <c r="R23" s="755">
        <f t="shared" si="1"/>
        <v>0</v>
      </c>
      <c r="S23" s="755"/>
      <c r="T23" s="755">
        <f t="shared" si="2"/>
        <v>500.5545572986037</v>
      </c>
      <c r="W23" s="755">
        <v>0</v>
      </c>
      <c r="X23" s="755"/>
      <c r="Y23" s="757">
        <f t="shared" si="3"/>
        <v>0</v>
      </c>
      <c r="Z23" s="755"/>
      <c r="AA23" s="755">
        <v>0</v>
      </c>
      <c r="AB23" s="759"/>
      <c r="AC23" s="755">
        <f t="shared" si="4"/>
        <v>0</v>
      </c>
      <c r="AE23" s="729" t="s">
        <v>581</v>
      </c>
      <c r="AG23" s="737"/>
      <c r="AH23" s="731"/>
    </row>
    <row r="24" spans="2:37">
      <c r="B24" s="729">
        <f t="shared" ca="1" si="5"/>
        <v>16</v>
      </c>
      <c r="D24" s="754">
        <v>2.1199999999999974</v>
      </c>
      <c r="F24" s="729" t="str">
        <f>+INDEX('Exh. No. BGM 4 4'!$8:$8&amp;" "&amp;'Exh. No. BGM 4 4'!$9:$9&amp;" "&amp;'Exh. No. BGM 4 4'!$10:$10,1,MATCH(D24,'Exh. No. BGM 4 4'!$11:$11,0))</f>
        <v>Misc. Restating Non-Util / Non- Recurring Expenses</v>
      </c>
      <c r="G24" s="731"/>
      <c r="I24" s="755">
        <v>204.75</v>
      </c>
      <c r="J24" s="755"/>
      <c r="K24" s="757">
        <v>0</v>
      </c>
      <c r="L24" s="755"/>
      <c r="M24" s="757">
        <f t="shared" si="6"/>
        <v>-330.55489632926657</v>
      </c>
      <c r="P24" s="755">
        <f t="shared" si="0"/>
        <v>204.75</v>
      </c>
      <c r="Q24" s="755"/>
      <c r="R24" s="755">
        <f t="shared" si="1"/>
        <v>0</v>
      </c>
      <c r="S24" s="755"/>
      <c r="T24" s="755">
        <f t="shared" si="2"/>
        <v>-330.55489632926657</v>
      </c>
      <c r="W24" s="755">
        <v>0</v>
      </c>
      <c r="X24" s="755"/>
      <c r="Y24" s="757">
        <f t="shared" si="3"/>
        <v>0</v>
      </c>
      <c r="Z24" s="755"/>
      <c r="AA24" s="757">
        <v>0</v>
      </c>
      <c r="AB24" s="759"/>
      <c r="AC24" s="755">
        <f t="shared" si="4"/>
        <v>0</v>
      </c>
      <c r="AE24" s="729" t="s">
        <v>581</v>
      </c>
      <c r="AG24" s="737"/>
      <c r="AH24" s="731"/>
    </row>
    <row r="25" spans="2:37">
      <c r="B25" s="729">
        <f t="shared" ca="1" si="5"/>
        <v>17</v>
      </c>
      <c r="D25" s="754">
        <v>2.1299999999999972</v>
      </c>
      <c r="F25" s="729" t="str">
        <f>+INDEX('Exh. No. BGM 4 4'!$8:$8&amp;" "&amp;'Exh. No. BGM 4 4'!$9:$9&amp;" "&amp;'Exh. No. BGM 4 4'!$10:$10,1,MATCH(D25,'Exh. No. BGM 4 4'!$11:$11,0))</f>
        <v>Project  Compass Deferral</v>
      </c>
      <c r="G25" s="731"/>
      <c r="I25" s="755">
        <v>-701.35</v>
      </c>
      <c r="J25" s="755"/>
      <c r="K25" s="757">
        <v>0</v>
      </c>
      <c r="L25" s="755"/>
      <c r="M25" s="757">
        <f t="shared" si="6"/>
        <v>1132.2816925056466</v>
      </c>
      <c r="P25" s="755">
        <f t="shared" si="0"/>
        <v>-701.35</v>
      </c>
      <c r="Q25" s="755"/>
      <c r="R25" s="755">
        <f t="shared" si="1"/>
        <v>0</v>
      </c>
      <c r="S25" s="755"/>
      <c r="T25" s="755">
        <f t="shared" si="2"/>
        <v>1132.2816925056466</v>
      </c>
      <c r="W25" s="755">
        <v>0</v>
      </c>
      <c r="X25" s="755"/>
      <c r="Y25" s="757">
        <f t="shared" si="3"/>
        <v>0</v>
      </c>
      <c r="Z25" s="755"/>
      <c r="AA25" s="757">
        <v>0</v>
      </c>
      <c r="AB25" s="759"/>
      <c r="AC25" s="755">
        <f t="shared" si="4"/>
        <v>0</v>
      </c>
      <c r="AE25" s="729" t="s">
        <v>581</v>
      </c>
      <c r="AG25" s="737"/>
      <c r="AH25" s="731"/>
    </row>
    <row r="26" spans="2:37">
      <c r="B26" s="729">
        <f t="shared" ca="1" si="5"/>
        <v>18</v>
      </c>
      <c r="D26" s="754">
        <v>2.139999999999997</v>
      </c>
      <c r="F26" s="729" t="str">
        <f>+INDEX('Exh. No. BGM 4 4'!$8:$8&amp;" "&amp;'Exh. No. BGM 4 4'!$9:$9&amp;" "&amp;'Exh. No. BGM 4 4'!$10:$10,1,MATCH(D26,'Exh. No. BGM 4 4'!$11:$11,0))</f>
        <v xml:space="preserve">Restating Incentives </v>
      </c>
      <c r="G26" s="731"/>
      <c r="I26" s="755">
        <v>117.65</v>
      </c>
      <c r="J26" s="755"/>
      <c r="K26" s="757">
        <v>0</v>
      </c>
      <c r="L26" s="755"/>
      <c r="M26" s="757">
        <f t="shared" si="6"/>
        <v>-189.93789281141986</v>
      </c>
      <c r="P26" s="755">
        <f t="shared" si="0"/>
        <v>117.65</v>
      </c>
      <c r="Q26" s="755"/>
      <c r="R26" s="755">
        <f t="shared" si="1"/>
        <v>0</v>
      </c>
      <c r="S26" s="755"/>
      <c r="T26" s="755">
        <f t="shared" si="2"/>
        <v>-189.93789281141986</v>
      </c>
      <c r="W26" s="755">
        <v>0</v>
      </c>
      <c r="X26" s="755"/>
      <c r="Y26" s="757">
        <f t="shared" si="3"/>
        <v>0</v>
      </c>
      <c r="Z26" s="755"/>
      <c r="AA26" s="757">
        <v>0</v>
      </c>
      <c r="AB26" s="759"/>
      <c r="AC26" s="755">
        <f t="shared" si="4"/>
        <v>0</v>
      </c>
      <c r="AE26" s="729" t="s">
        <v>581</v>
      </c>
      <c r="AG26" s="737"/>
      <c r="AH26" s="731"/>
    </row>
    <row r="27" spans="2:37">
      <c r="B27" s="729">
        <f t="shared" ca="1" si="5"/>
        <v>19</v>
      </c>
      <c r="D27" s="754">
        <v>2.1499999999999968</v>
      </c>
      <c r="F27" s="729" t="str">
        <f>+INDEX('Exh. No. BGM 4 4'!$8:$8&amp;" "&amp;'Exh. No. BGM 4 4'!$9:$9&amp;" "&amp;'Exh. No. BGM 4 4'!$10:$10,1,MATCH(D27,'Exh. No. BGM 4 4'!$11:$11,0))</f>
        <v>Restate Debt Interest</v>
      </c>
      <c r="G27" s="731"/>
      <c r="I27" s="764">
        <v>171</v>
      </c>
      <c r="J27" s="755"/>
      <c r="K27" s="764">
        <v>0</v>
      </c>
      <c r="L27" s="755"/>
      <c r="M27" s="764">
        <f t="shared" si="6"/>
        <v>-276.06782550576111</v>
      </c>
      <c r="P27" s="764">
        <f t="shared" si="0"/>
        <v>12.596457929644885</v>
      </c>
      <c r="Q27" s="755"/>
      <c r="R27" s="764">
        <f t="shared" si="1"/>
        <v>0</v>
      </c>
      <c r="S27" s="755"/>
      <c r="T27" s="764">
        <f t="shared" si="2"/>
        <v>-20.336121343344239</v>
      </c>
      <c r="W27" s="764">
        <v>0</v>
      </c>
      <c r="X27" s="755"/>
      <c r="Y27" s="764">
        <v>-158.40354207035512</v>
      </c>
      <c r="Z27" s="755"/>
      <c r="AA27" s="764">
        <v>0</v>
      </c>
      <c r="AB27" s="759"/>
      <c r="AC27" s="764">
        <f t="shared" si="4"/>
        <v>255.73170416241686</v>
      </c>
      <c r="AE27" s="729" t="s">
        <v>598</v>
      </c>
      <c r="AG27" s="737"/>
      <c r="AH27" s="731"/>
    </row>
    <row r="28" spans="2:37">
      <c r="C28" s="728"/>
      <c r="D28" s="728"/>
      <c r="E28" s="728"/>
      <c r="F28" s="753"/>
      <c r="G28" s="731"/>
      <c r="I28" s="753"/>
      <c r="J28" s="753"/>
      <c r="K28" s="753"/>
      <c r="L28" s="753"/>
      <c r="M28" s="755"/>
      <c r="O28" s="732"/>
      <c r="P28" s="753"/>
      <c r="Q28" s="753"/>
      <c r="R28" s="753"/>
      <c r="S28" s="753"/>
      <c r="T28" s="755"/>
      <c r="W28" s="753"/>
      <c r="X28" s="729"/>
      <c r="Y28" s="753"/>
      <c r="Z28" s="753"/>
      <c r="AA28" s="753"/>
      <c r="AB28" s="753"/>
      <c r="AC28" s="755"/>
      <c r="AE28" s="729"/>
      <c r="AG28" s="737"/>
      <c r="AH28" s="731"/>
    </row>
    <row r="29" spans="2:37">
      <c r="B29" s="729">
        <f t="shared" ca="1" si="5"/>
        <v>20</v>
      </c>
      <c r="C29" s="728"/>
      <c r="D29" s="728"/>
      <c r="E29" s="728"/>
      <c r="F29" s="728" t="s">
        <v>574</v>
      </c>
      <c r="G29" s="731"/>
      <c r="I29" s="753">
        <f>+SUM(I$7:I$28)</f>
        <v>23008.573265000006</v>
      </c>
      <c r="J29" s="753"/>
      <c r="K29" s="753">
        <f>+SUM(K$7:K$28)</f>
        <v>286598</v>
      </c>
      <c r="L29" s="753"/>
      <c r="M29" s="753">
        <f>+($K29*$AK$12-$I29)/$AI$4</f>
        <v>-4387.1130651116564</v>
      </c>
      <c r="O29" s="732"/>
      <c r="P29" s="753">
        <f>+SUM(P$7:P$28)</f>
        <v>22850.169722929651</v>
      </c>
      <c r="Q29" s="753"/>
      <c r="R29" s="753">
        <f>+SUM(R$7:R$28)</f>
        <v>286598</v>
      </c>
      <c r="S29" s="753"/>
      <c r="T29" s="753">
        <f>+SUM(T$7:T$28)</f>
        <v>-4131.381360949229</v>
      </c>
      <c r="W29" s="753">
        <f>+SUM(W$7:W$28)</f>
        <v>0</v>
      </c>
      <c r="X29" s="753"/>
      <c r="Y29" s="753">
        <f>+SUM(Y$7:Y$28)</f>
        <v>-158.40354207035512</v>
      </c>
      <c r="Z29" s="753"/>
      <c r="AA29" s="753">
        <f>+SUM(AA$7:AA$28)</f>
        <v>0</v>
      </c>
      <c r="AB29" s="753"/>
      <c r="AC29" s="753">
        <f>+SUM(AC$7:AC$28)</f>
        <v>255.73170416241686</v>
      </c>
      <c r="AE29" s="729"/>
      <c r="AG29" s="737"/>
      <c r="AH29" s="731"/>
    </row>
    <row r="30" spans="2:37">
      <c r="G30" s="731"/>
      <c r="W30" s="729"/>
      <c r="X30" s="729"/>
      <c r="Y30" s="729"/>
      <c r="Z30" s="729"/>
      <c r="AA30" s="729"/>
      <c r="AE30" s="729"/>
      <c r="AG30" s="737"/>
      <c r="AH30" s="731"/>
    </row>
    <row r="31" spans="2:37">
      <c r="B31" s="756" t="s">
        <v>454</v>
      </c>
      <c r="D31" s="754"/>
      <c r="G31" s="731"/>
      <c r="W31" s="755"/>
      <c r="X31" s="755"/>
      <c r="Y31" s="755"/>
      <c r="Z31" s="755"/>
      <c r="AA31" s="755"/>
      <c r="AB31" s="759"/>
      <c r="AC31" s="759"/>
      <c r="AE31" s="729"/>
      <c r="AG31" s="737"/>
      <c r="AH31" s="731"/>
    </row>
    <row r="32" spans="2:37">
      <c r="B32" s="729">
        <f t="shared" ca="1" si="5"/>
        <v>21</v>
      </c>
      <c r="D32" s="754">
        <v>3.01</v>
      </c>
      <c r="F32" s="729" t="str">
        <f>+INDEX('Exh. No. BGM 4 4'!$8:$8&amp;" "&amp;'Exh. No. BGM 4 4'!$9:$9&amp;" "&amp;'Exh. No. BGM 4 4'!$10:$10,1,MATCH(D32,'Exh. No. BGM 4 4'!$11:$11,0))</f>
        <v>Pro Forma  Atmospheric Testing &amp; Leak Survey</v>
      </c>
      <c r="G32" s="731"/>
      <c r="I32" s="755">
        <v>-226.2</v>
      </c>
      <c r="J32" s="755"/>
      <c r="K32" s="757">
        <v>0</v>
      </c>
      <c r="L32" s="755"/>
      <c r="M32" s="757">
        <f t="shared" ref="M32:M44" si="7">+($K32*$AK$12-$I32)/$AI$4</f>
        <v>365.18445689709449</v>
      </c>
      <c r="P32" s="755">
        <f t="shared" ref="P32:P44" si="8">+I32+Y32</f>
        <v>-226.2</v>
      </c>
      <c r="Q32" s="755"/>
      <c r="R32" s="755">
        <f t="shared" ref="R32:R44" si="9">+K32+AA32</f>
        <v>0</v>
      </c>
      <c r="S32" s="755"/>
      <c r="T32" s="755">
        <f t="shared" ref="T32:T44" si="10">+($R32*$AK$12-$P32)/$AI$4</f>
        <v>365.18445689709449</v>
      </c>
      <c r="W32" s="755">
        <v>0</v>
      </c>
      <c r="X32" s="755"/>
      <c r="Y32" s="757">
        <f t="shared" ref="Y32:Y44" si="11">+W32*(1-$AI$5)+$AA32*$AK$10*$AI$5</f>
        <v>0</v>
      </c>
      <c r="Z32" s="755"/>
      <c r="AA32" s="755">
        <v>0</v>
      </c>
      <c r="AB32" s="759"/>
      <c r="AC32" s="755">
        <f t="shared" ref="AC32:AC44" si="12">+($AA32*$AK$12-$Y32)/$AI$4</f>
        <v>0</v>
      </c>
      <c r="AE32" s="729" t="s">
        <v>581</v>
      </c>
      <c r="AG32" s="737"/>
      <c r="AH32" s="731"/>
    </row>
    <row r="33" spans="1:39">
      <c r="B33" s="729">
        <f t="shared" ca="1" si="5"/>
        <v>22</v>
      </c>
      <c r="D33" s="754">
        <v>3.0199999999999996</v>
      </c>
      <c r="F33" s="729" t="str">
        <f>+INDEX('Exh. No. BGM 4 4'!$8:$8&amp;" "&amp;'Exh. No. BGM 4 4'!$9:$9&amp;" "&amp;'Exh. No. BGM 4 4'!$10:$10,1,MATCH(D33,'Exh. No. BGM 4 4'!$11:$11,0))</f>
        <v>Pro Forma Labor Non-Exec</v>
      </c>
      <c r="G33" s="731"/>
      <c r="I33" s="755">
        <v>-568.1</v>
      </c>
      <c r="J33" s="755"/>
      <c r="K33" s="757">
        <v>0</v>
      </c>
      <c r="L33" s="755"/>
      <c r="M33" s="757">
        <f t="shared" si="7"/>
        <v>917.15866473580638</v>
      </c>
      <c r="P33" s="755">
        <f t="shared" si="8"/>
        <v>-370.80875000000003</v>
      </c>
      <c r="Q33" s="755"/>
      <c r="R33" s="755">
        <f t="shared" si="9"/>
        <v>0</v>
      </c>
      <c r="S33" s="755"/>
      <c r="T33" s="755">
        <f t="shared" si="10"/>
        <v>598.64541105853448</v>
      </c>
      <c r="W33" s="755">
        <f>+'[7]Washington Gas PF'!$K$78/1000</f>
        <v>303.52499999999998</v>
      </c>
      <c r="X33" s="755"/>
      <c r="Y33" s="757">
        <f t="shared" si="11"/>
        <v>197.29124999999999</v>
      </c>
      <c r="Z33" s="755"/>
      <c r="AA33" s="755">
        <v>0</v>
      </c>
      <c r="AB33" s="759"/>
      <c r="AC33" s="755">
        <f t="shared" si="12"/>
        <v>-318.51325367727185</v>
      </c>
      <c r="AE33" s="729" t="s">
        <v>580</v>
      </c>
      <c r="AG33" s="737"/>
      <c r="AH33" s="731"/>
    </row>
    <row r="34" spans="1:39">
      <c r="B34" s="729">
        <f t="shared" ca="1" si="5"/>
        <v>23</v>
      </c>
      <c r="D34" s="754">
        <v>3.0299999999999994</v>
      </c>
      <c r="F34" s="729" t="str">
        <f>+INDEX('Exh. No. BGM 4 4'!$8:$8&amp;" "&amp;'Exh. No. BGM 4 4'!$9:$9&amp;" "&amp;'Exh. No. BGM 4 4'!$10:$10,1,MATCH(D34,'Exh. No. BGM 4 4'!$11:$11,0))</f>
        <v>Pro Forma Labor Exec</v>
      </c>
      <c r="G34" s="731"/>
      <c r="I34" s="755">
        <v>6.5</v>
      </c>
      <c r="J34" s="755"/>
      <c r="K34" s="757">
        <v>0</v>
      </c>
      <c r="L34" s="755"/>
      <c r="M34" s="757">
        <f t="shared" si="7"/>
        <v>-10.49380623267513</v>
      </c>
      <c r="P34" s="755">
        <f t="shared" si="8"/>
        <v>6.5</v>
      </c>
      <c r="Q34" s="755"/>
      <c r="R34" s="755">
        <f t="shared" si="9"/>
        <v>0</v>
      </c>
      <c r="S34" s="755"/>
      <c r="T34" s="755">
        <f t="shared" si="10"/>
        <v>-10.49380623267513</v>
      </c>
      <c r="W34" s="755">
        <v>0</v>
      </c>
      <c r="X34" s="755"/>
      <c r="Y34" s="757">
        <f t="shared" si="11"/>
        <v>0</v>
      </c>
      <c r="Z34" s="755"/>
      <c r="AA34" s="755">
        <v>0</v>
      </c>
      <c r="AB34" s="759"/>
      <c r="AC34" s="755">
        <f t="shared" si="12"/>
        <v>0</v>
      </c>
      <c r="AE34" s="729" t="s">
        <v>581</v>
      </c>
      <c r="AG34" s="737"/>
      <c r="AH34" s="731"/>
    </row>
    <row r="35" spans="1:39">
      <c r="B35" s="729">
        <f t="shared" ca="1" si="5"/>
        <v>24</v>
      </c>
      <c r="D35" s="754">
        <v>3.0399999999999991</v>
      </c>
      <c r="F35" s="729" t="str">
        <f>+INDEX('Exh. No. BGM 4 4'!$8:$8&amp;" "&amp;'Exh. No. BGM 4 4'!$9:$9&amp;" "&amp;'Exh. No. BGM 4 4'!$10:$10,1,MATCH(D35,'Exh. No. BGM 4 4'!$11:$11,0))</f>
        <v>Pro Forma Employee Benefits</v>
      </c>
      <c r="G35" s="731"/>
      <c r="I35" s="755">
        <v>114.4</v>
      </c>
      <c r="J35" s="755"/>
      <c r="K35" s="757">
        <v>0</v>
      </c>
      <c r="L35" s="755"/>
      <c r="M35" s="757">
        <f t="shared" si="7"/>
        <v>-184.69098969508229</v>
      </c>
      <c r="P35" s="755">
        <f t="shared" si="8"/>
        <v>114.4</v>
      </c>
      <c r="Q35" s="755"/>
      <c r="R35" s="755">
        <f t="shared" si="9"/>
        <v>0</v>
      </c>
      <c r="S35" s="755"/>
      <c r="T35" s="755">
        <f t="shared" si="10"/>
        <v>-184.69098969508229</v>
      </c>
      <c r="W35" s="755">
        <v>0</v>
      </c>
      <c r="X35" s="755"/>
      <c r="Y35" s="757">
        <f t="shared" si="11"/>
        <v>0</v>
      </c>
      <c r="Z35" s="758"/>
      <c r="AA35" s="758">
        <v>0</v>
      </c>
      <c r="AB35" s="759"/>
      <c r="AC35" s="755">
        <f t="shared" si="12"/>
        <v>0</v>
      </c>
      <c r="AE35" s="729" t="s">
        <v>581</v>
      </c>
      <c r="AG35" s="737"/>
      <c r="AH35" s="731"/>
    </row>
    <row r="36" spans="1:39">
      <c r="B36" s="729">
        <f t="shared" ca="1" si="5"/>
        <v>25</v>
      </c>
      <c r="D36" s="754">
        <v>3.0499999999999989</v>
      </c>
      <c r="F36" s="729" t="str">
        <f>+INDEX('Exh. No. BGM 4 4'!$8:$8&amp;" "&amp;'Exh. No. BGM 4 4'!$9:$9&amp;" "&amp;'Exh. No. BGM 4 4'!$10:$10,1,MATCH(D36,'Exh. No. BGM 4 4'!$11:$11,0))</f>
        <v>Pro Forma Incentive Adjustment</v>
      </c>
      <c r="G36" s="731"/>
      <c r="I36" s="755">
        <v>-22.1</v>
      </c>
      <c r="J36" s="755"/>
      <c r="K36" s="757">
        <v>0</v>
      </c>
      <c r="L36" s="755"/>
      <c r="M36" s="757">
        <f t="shared" si="7"/>
        <v>35.67894119109544</v>
      </c>
      <c r="P36" s="755">
        <f t="shared" si="8"/>
        <v>-22.1</v>
      </c>
      <c r="Q36" s="755"/>
      <c r="R36" s="755">
        <f t="shared" si="9"/>
        <v>0</v>
      </c>
      <c r="S36" s="755"/>
      <c r="T36" s="755">
        <f t="shared" si="10"/>
        <v>35.67894119109544</v>
      </c>
      <c r="W36" s="755">
        <v>0</v>
      </c>
      <c r="X36" s="755"/>
      <c r="Y36" s="757">
        <f t="shared" si="11"/>
        <v>0</v>
      </c>
      <c r="Z36" s="758"/>
      <c r="AA36" s="758">
        <v>0</v>
      </c>
      <c r="AB36" s="759"/>
      <c r="AC36" s="755">
        <f t="shared" si="12"/>
        <v>0</v>
      </c>
      <c r="AE36" s="729" t="s">
        <v>581</v>
      </c>
      <c r="AG36" s="737"/>
      <c r="AH36" s="731"/>
    </row>
    <row r="37" spans="1:39">
      <c r="B37" s="729">
        <f t="shared" ca="1" si="5"/>
        <v>26</v>
      </c>
      <c r="D37" s="754">
        <v>3.0599999999999987</v>
      </c>
      <c r="F37" s="729" t="str">
        <f>+INDEX('Exh. No. BGM 4 4'!$8:$8&amp;" "&amp;'Exh. No. BGM 4 4'!$9:$9&amp;" "&amp;'Exh. No. BGM 4 4'!$10:$10,1,MATCH(D37,'Exh. No. BGM 4 4'!$11:$11,0))</f>
        <v>Pro Forma Property Tax</v>
      </c>
      <c r="G37" s="731"/>
      <c r="I37" s="755">
        <v>-309.39999999999998</v>
      </c>
      <c r="J37" s="755"/>
      <c r="K37" s="757">
        <v>0</v>
      </c>
      <c r="L37" s="755"/>
      <c r="M37" s="757">
        <f t="shared" si="7"/>
        <v>499.50517667533614</v>
      </c>
      <c r="P37" s="755">
        <f t="shared" si="8"/>
        <v>-309.39999999999998</v>
      </c>
      <c r="Q37" s="755"/>
      <c r="R37" s="755">
        <f t="shared" si="9"/>
        <v>0</v>
      </c>
      <c r="S37" s="755"/>
      <c r="T37" s="755">
        <f t="shared" si="10"/>
        <v>499.50517667533614</v>
      </c>
      <c r="W37" s="755">
        <v>0</v>
      </c>
      <c r="X37" s="755"/>
      <c r="Y37" s="757">
        <f t="shared" si="11"/>
        <v>0</v>
      </c>
      <c r="Z37" s="758"/>
      <c r="AA37" s="758">
        <f>+INDEX('[6]ADJ DETAIL-INPUT'!$80:$80,1,MATCH(D37,'[6]ADJ DETAIL-INPUT'!$10:$10,0))-K37</f>
        <v>0</v>
      </c>
      <c r="AB37" s="759"/>
      <c r="AC37" s="755">
        <f t="shared" si="12"/>
        <v>0</v>
      </c>
      <c r="AE37" s="729" t="s">
        <v>581</v>
      </c>
      <c r="AG37" s="737"/>
      <c r="AH37" s="731"/>
    </row>
    <row r="38" spans="1:39">
      <c r="B38" s="729">
        <f t="shared" ca="1" si="5"/>
        <v>27</v>
      </c>
      <c r="D38" s="754">
        <v>3.0699999999999985</v>
      </c>
      <c r="F38" s="729" t="str">
        <f>+INDEX('Exh. No. BGM 4 4'!$8:$8&amp;" "&amp;'Exh. No. BGM 4 4'!$9:$9&amp;" "&amp;'Exh. No. BGM 4 4'!$10:$10,1,MATCH(D38,'Exh. No. BGM 4 4'!$11:$11,0))</f>
        <v>Pro Forma IS/IT Expense</v>
      </c>
      <c r="G38" s="731"/>
      <c r="I38" s="755">
        <v>-130.65</v>
      </c>
      <c r="J38" s="755"/>
      <c r="K38" s="757">
        <v>0</v>
      </c>
      <c r="L38" s="755"/>
      <c r="M38" s="757">
        <f t="shared" si="7"/>
        <v>210.92550527677011</v>
      </c>
      <c r="P38" s="755">
        <f t="shared" si="8"/>
        <v>-130.65</v>
      </c>
      <c r="Q38" s="755"/>
      <c r="R38" s="755">
        <f t="shared" si="9"/>
        <v>0</v>
      </c>
      <c r="S38" s="755"/>
      <c r="T38" s="755">
        <f t="shared" si="10"/>
        <v>210.92550527677011</v>
      </c>
      <c r="W38" s="755">
        <v>0</v>
      </c>
      <c r="X38" s="755"/>
      <c r="Y38" s="757">
        <f t="shared" si="11"/>
        <v>0</v>
      </c>
      <c r="Z38" s="758"/>
      <c r="AA38" s="758">
        <f>+INDEX('[6]ADJ DETAIL-INPUT'!$80:$80,1,MATCH(D38,'[6]ADJ DETAIL-INPUT'!$10:$10,0))-K38</f>
        <v>0</v>
      </c>
      <c r="AB38" s="759"/>
      <c r="AC38" s="755">
        <f t="shared" si="12"/>
        <v>0</v>
      </c>
      <c r="AE38" s="729" t="s">
        <v>581</v>
      </c>
      <c r="AG38" s="737"/>
      <c r="AH38" s="731"/>
    </row>
    <row r="39" spans="1:39">
      <c r="B39" s="729">
        <f t="shared" ca="1" si="5"/>
        <v>28</v>
      </c>
      <c r="D39" s="754">
        <v>3.0799999999999983</v>
      </c>
      <c r="F39" s="729" t="str">
        <f>+INDEX('Exh. No. BGM 4 4'!$8:$8&amp;" "&amp;'Exh. No. BGM 4 4'!$9:$9&amp;" "&amp;'Exh. No. BGM 4 4'!$10:$10,1,MATCH(D39,'Exh. No. BGM 4 4'!$11:$11,0))</f>
        <v xml:space="preserve">Pro Forma  Revenue Normalization </v>
      </c>
      <c r="G39" s="731"/>
      <c r="I39" s="755">
        <v>-599.29999999999995</v>
      </c>
      <c r="J39" s="755"/>
      <c r="K39" s="757">
        <v>0</v>
      </c>
      <c r="L39" s="755"/>
      <c r="M39" s="757">
        <f t="shared" si="7"/>
        <v>967.52893465264685</v>
      </c>
      <c r="P39" s="755">
        <f t="shared" si="8"/>
        <v>-599.29999999999995</v>
      </c>
      <c r="Q39" s="755"/>
      <c r="R39" s="755">
        <f t="shared" si="9"/>
        <v>0</v>
      </c>
      <c r="S39" s="755"/>
      <c r="T39" s="755">
        <f t="shared" si="10"/>
        <v>967.52893465264685</v>
      </c>
      <c r="W39" s="755">
        <v>0</v>
      </c>
      <c r="X39" s="755"/>
      <c r="Y39" s="757">
        <f t="shared" si="11"/>
        <v>0</v>
      </c>
      <c r="Z39" s="758"/>
      <c r="AA39" s="758">
        <v>0</v>
      </c>
      <c r="AB39" s="759"/>
      <c r="AC39" s="755">
        <f t="shared" si="12"/>
        <v>0</v>
      </c>
      <c r="AE39" s="729" t="s">
        <v>581</v>
      </c>
      <c r="AG39" s="737"/>
      <c r="AH39" s="731"/>
    </row>
    <row r="40" spans="1:39">
      <c r="B40" s="729">
        <f t="shared" ca="1" si="5"/>
        <v>29</v>
      </c>
      <c r="D40" s="754">
        <v>3.0899999999999981</v>
      </c>
      <c r="F40" s="729" t="str">
        <f>+INDEX('Exh. No. BGM 4 4'!$8:$8&amp;" "&amp;'Exh. No. BGM 4 4'!$9:$9&amp;" "&amp;'Exh. No. BGM 4 4'!$10:$10,1,MATCH(D40,'Exh. No. BGM 4 4'!$11:$11,0))</f>
        <v>Pro Forma Regulatory Amortization</v>
      </c>
      <c r="G40" s="731"/>
      <c r="I40" s="755">
        <v>701.35</v>
      </c>
      <c r="J40" s="755"/>
      <c r="K40" s="757">
        <v>0</v>
      </c>
      <c r="L40" s="755"/>
      <c r="M40" s="757">
        <f t="shared" si="7"/>
        <v>-1132.2816925056466</v>
      </c>
      <c r="P40" s="755">
        <f t="shared" si="8"/>
        <v>701.35</v>
      </c>
      <c r="Q40" s="755"/>
      <c r="R40" s="755">
        <f t="shared" si="9"/>
        <v>0</v>
      </c>
      <c r="S40" s="755"/>
      <c r="T40" s="755">
        <f t="shared" si="10"/>
        <v>-1132.2816925056466</v>
      </c>
      <c r="W40" s="755">
        <v>0</v>
      </c>
      <c r="X40" s="755"/>
      <c r="Y40" s="757">
        <f t="shared" si="11"/>
        <v>0</v>
      </c>
      <c r="Z40" s="758"/>
      <c r="AA40" s="758">
        <v>0</v>
      </c>
      <c r="AB40" s="759"/>
      <c r="AC40" s="755">
        <f t="shared" si="12"/>
        <v>0</v>
      </c>
      <c r="AE40" s="729" t="s">
        <v>581</v>
      </c>
      <c r="AG40" s="737"/>
      <c r="AH40" s="731"/>
    </row>
    <row r="41" spans="1:39">
      <c r="B41" s="729">
        <f t="shared" ca="1" si="5"/>
        <v>30</v>
      </c>
      <c r="D41" s="754">
        <v>3.0999999999999979</v>
      </c>
      <c r="F41" s="729" t="str">
        <f>+INDEX('Exh. No. BGM 4 4'!$8:$8&amp;" "&amp;'Exh. No. BGM 4 4'!$9:$9&amp;" "&amp;'Exh. No. BGM 4 4'!$10:$10,1,MATCH(D41,'Exh. No. BGM 4 4'!$11:$11,0))</f>
        <v>Pro Forma  2017 Threshhold Capital Adds</v>
      </c>
      <c r="G41" s="731"/>
      <c r="I41" s="755">
        <v>-848.48828500000013</v>
      </c>
      <c r="J41" s="755"/>
      <c r="K41" s="757">
        <v>17841</v>
      </c>
      <c r="L41" s="755"/>
      <c r="M41" s="757">
        <f t="shared" si="7"/>
        <v>3409.0842216743918</v>
      </c>
      <c r="P41" s="755">
        <f t="shared" si="8"/>
        <v>-114.62240833637384</v>
      </c>
      <c r="Q41" s="755"/>
      <c r="R41" s="755">
        <f t="shared" si="9"/>
        <v>11744.611584608343</v>
      </c>
      <c r="S41" s="755"/>
      <c r="T41" s="755">
        <f t="shared" si="10"/>
        <v>1527.4799019824327</v>
      </c>
      <c r="W41" s="755">
        <f>-'[8]G-CAP SUMMARY'!$P$17</f>
        <v>1217</v>
      </c>
      <c r="X41" s="755"/>
      <c r="Y41" s="757">
        <f>+W41*(1-$AI$5)+$AA41*$AK$10*$AI$5</f>
        <v>733.8658766636263</v>
      </c>
      <c r="Z41" s="758"/>
      <c r="AA41" s="758">
        <f>-'[8]G-CAP SUMMARY'!$P$43</f>
        <v>-6096.388415391657</v>
      </c>
      <c r="AB41" s="759"/>
      <c r="AC41" s="755">
        <f t="shared" si="12"/>
        <v>-1881.6043196919593</v>
      </c>
      <c r="AE41" s="729" t="s">
        <v>580</v>
      </c>
      <c r="AG41" s="737"/>
      <c r="AH41" s="731"/>
    </row>
    <row r="42" spans="1:39">
      <c r="B42" s="729">
        <f t="shared" ca="1" si="5"/>
        <v>31</v>
      </c>
      <c r="D42" s="754">
        <v>3.1099999999999977</v>
      </c>
      <c r="F42" s="729" t="str">
        <f>+INDEX('Exh. No. BGM 4 4'!$8:$8&amp;" "&amp;'Exh. No. BGM 4 4'!$9:$9&amp;" "&amp;'Exh. No. BGM 4 4'!$10:$10,1,MATCH(D42,'Exh. No. BGM 4 4'!$11:$11,0))</f>
        <v>Pro Forma O&amp;M Offsets</v>
      </c>
      <c r="G42" s="731"/>
      <c r="I42" s="755">
        <v>20.8</v>
      </c>
      <c r="J42" s="755"/>
      <c r="K42" s="757">
        <v>0</v>
      </c>
      <c r="L42" s="755"/>
      <c r="M42" s="757">
        <f t="shared" si="7"/>
        <v>-33.580179944560413</v>
      </c>
      <c r="P42" s="755">
        <f t="shared" si="8"/>
        <v>20.8</v>
      </c>
      <c r="Q42" s="755"/>
      <c r="R42" s="755">
        <f t="shared" si="9"/>
        <v>0</v>
      </c>
      <c r="S42" s="755"/>
      <c r="T42" s="755">
        <f t="shared" si="10"/>
        <v>-33.580179944560413</v>
      </c>
      <c r="W42" s="755">
        <v>0</v>
      </c>
      <c r="X42" s="755"/>
      <c r="Y42" s="757">
        <f t="shared" si="11"/>
        <v>0</v>
      </c>
      <c r="Z42" s="758"/>
      <c r="AA42" s="758">
        <v>0</v>
      </c>
      <c r="AB42" s="759"/>
      <c r="AC42" s="755">
        <f t="shared" si="12"/>
        <v>0</v>
      </c>
      <c r="AE42" s="729" t="s">
        <v>581</v>
      </c>
      <c r="AG42" s="737"/>
      <c r="AH42" s="731"/>
    </row>
    <row r="43" spans="1:39">
      <c r="B43" s="729">
        <f t="shared" ca="1" si="5"/>
        <v>32</v>
      </c>
      <c r="D43" s="754">
        <v>3.1199999999999974</v>
      </c>
      <c r="F43" s="729" t="str">
        <f>+INDEX('Exh. No. BGM 4 4'!$8:$8&amp;" "&amp;'Exh. No. BGM 4 4'!$9:$9&amp;" "&amp;'Exh. No. BGM 4 4'!$10:$10,1,MATCH(D43,'Exh. No. BGM 4 4'!$11:$11,0))</f>
        <v>Pro Forma Director Fees Expense</v>
      </c>
      <c r="G43" s="731"/>
      <c r="I43" s="755">
        <v>-70.2</v>
      </c>
      <c r="J43" s="755"/>
      <c r="K43" s="757">
        <v>0</v>
      </c>
      <c r="L43" s="755"/>
      <c r="M43" s="757">
        <f t="shared" si="7"/>
        <v>113.3331073128914</v>
      </c>
      <c r="P43" s="755">
        <f t="shared" si="8"/>
        <v>0</v>
      </c>
      <c r="Q43" s="755"/>
      <c r="R43" s="755">
        <f t="shared" si="9"/>
        <v>0</v>
      </c>
      <c r="S43" s="755"/>
      <c r="T43" s="755">
        <f t="shared" si="10"/>
        <v>0</v>
      </c>
      <c r="W43" s="755">
        <v>108</v>
      </c>
      <c r="X43" s="755"/>
      <c r="Y43" s="757">
        <f t="shared" si="11"/>
        <v>70.2</v>
      </c>
      <c r="Z43" s="758"/>
      <c r="AA43" s="758">
        <f>+INDEX('[6]ADJ DETAIL-INPUT'!$80:$80,1,MATCH(D43,'[6]ADJ DETAIL-INPUT'!$10:$10,0))-K43</f>
        <v>0</v>
      </c>
      <c r="AB43" s="759"/>
      <c r="AC43" s="755">
        <f t="shared" si="12"/>
        <v>-113.3331073128914</v>
      </c>
      <c r="AE43" s="729" t="s">
        <v>580</v>
      </c>
      <c r="AG43" s="737"/>
      <c r="AH43" s="731"/>
    </row>
    <row r="44" spans="1:39">
      <c r="B44" s="729">
        <f t="shared" ca="1" si="5"/>
        <v>33</v>
      </c>
      <c r="D44" s="754">
        <v>3.1299999999999972</v>
      </c>
      <c r="F44" s="729" t="str">
        <f>+INDEX('Exh. No. BGM 4 4'!$8:$8&amp;" "&amp;'Exh. No. BGM 4 4'!$9:$9&amp;" "&amp;'Exh. No. BGM 4 4'!$10:$10,1,MATCH(D44,'Exh. No. BGM 4 4'!$11:$11,0))</f>
        <v>Pro Forma Leap Deferral Gas Line Ext.</v>
      </c>
      <c r="G44" s="731"/>
      <c r="I44" s="764">
        <v>-364.69049000000001</v>
      </c>
      <c r="J44" s="755"/>
      <c r="K44" s="764">
        <v>1474</v>
      </c>
      <c r="L44" s="755"/>
      <c r="M44" s="764">
        <f t="shared" si="7"/>
        <v>757.2487015932827</v>
      </c>
      <c r="P44" s="764">
        <f t="shared" si="8"/>
        <v>-364.69049000000001</v>
      </c>
      <c r="Q44" s="757"/>
      <c r="R44" s="764">
        <f t="shared" si="9"/>
        <v>1474</v>
      </c>
      <c r="S44" s="757"/>
      <c r="T44" s="764">
        <f t="shared" si="10"/>
        <v>757.2487015932827</v>
      </c>
      <c r="W44" s="764">
        <v>0</v>
      </c>
      <c r="X44" s="755"/>
      <c r="Y44" s="764">
        <f t="shared" si="11"/>
        <v>0</v>
      </c>
      <c r="Z44" s="758"/>
      <c r="AA44" s="765">
        <v>0</v>
      </c>
      <c r="AB44" s="759"/>
      <c r="AC44" s="764">
        <f t="shared" si="12"/>
        <v>0</v>
      </c>
      <c r="AE44" s="729" t="s">
        <v>581</v>
      </c>
      <c r="AG44" s="737"/>
      <c r="AH44" s="731"/>
    </row>
    <row r="45" spans="1:39">
      <c r="D45" s="754"/>
      <c r="G45" s="731"/>
      <c r="I45" s="755"/>
      <c r="J45" s="755"/>
      <c r="K45" s="755"/>
      <c r="L45" s="755"/>
      <c r="M45" s="755"/>
      <c r="P45" s="755"/>
      <c r="Q45" s="755"/>
      <c r="R45" s="755"/>
      <c r="S45" s="755"/>
      <c r="T45" s="755"/>
      <c r="W45" s="759"/>
      <c r="X45" s="759"/>
      <c r="Y45" s="759"/>
      <c r="Z45" s="759"/>
      <c r="AA45" s="759"/>
      <c r="AB45" s="759"/>
      <c r="AC45" s="759"/>
      <c r="AG45" s="737"/>
      <c r="AH45" s="731"/>
    </row>
    <row r="46" spans="1:39" ht="13.5" thickBot="1">
      <c r="B46" s="729">
        <f t="shared" ca="1" si="5"/>
        <v>34</v>
      </c>
      <c r="D46" s="754"/>
      <c r="F46" s="728" t="s">
        <v>575</v>
      </c>
      <c r="G46" s="731"/>
      <c r="I46" s="766">
        <f>+SUM(I$29:I$45)</f>
        <v>20712.494490000005</v>
      </c>
      <c r="J46" s="755"/>
      <c r="K46" s="766">
        <f>+SUM(K$29:K$45)</f>
        <v>305913</v>
      </c>
      <c r="L46" s="755"/>
      <c r="M46" s="766">
        <f>+SUM(M$29:M$45)</f>
        <v>1527.4879765196947</v>
      </c>
      <c r="P46" s="766">
        <f>+SUM(P$29:P$45)</f>
        <v>21555.448074593274</v>
      </c>
      <c r="Q46" s="755"/>
      <c r="R46" s="766">
        <f>+SUM(R$29:R$45)</f>
        <v>299816.61158460833</v>
      </c>
      <c r="S46" s="755"/>
      <c r="T46" s="766">
        <f>+SUM(T$29:T$45)</f>
        <v>-530.23099999999999</v>
      </c>
      <c r="W46" s="766">
        <f>+SUM(W$29:W$45)</f>
        <v>1628.5250000000001</v>
      </c>
      <c r="X46" s="759"/>
      <c r="Y46" s="766">
        <f>+SUM(Y$29:Y$45)</f>
        <v>842.95358459327122</v>
      </c>
      <c r="Z46" s="755"/>
      <c r="AA46" s="766">
        <f>+SUM(AA$29:AA$45)</f>
        <v>-6096.388415391657</v>
      </c>
      <c r="AB46" s="755"/>
      <c r="AC46" s="766">
        <f>+($AA46*$AK$12-$Y46)/$AI$4</f>
        <v>-2057.7189765197058</v>
      </c>
      <c r="AG46" s="737"/>
      <c r="AH46" s="731"/>
    </row>
    <row r="47" spans="1:39" s="736" customFormat="1" ht="13.5" thickTop="1">
      <c r="A47" s="729"/>
      <c r="B47" s="729"/>
      <c r="C47" s="729"/>
      <c r="D47" s="729"/>
      <c r="E47" s="729"/>
      <c r="F47" s="729"/>
      <c r="H47" s="731"/>
      <c r="I47" s="729"/>
      <c r="J47" s="729"/>
      <c r="K47" s="729"/>
      <c r="L47" s="729"/>
      <c r="M47" s="729"/>
      <c r="O47" s="734"/>
      <c r="P47" s="729"/>
      <c r="Q47" s="729"/>
      <c r="R47" s="729"/>
      <c r="S47" s="729"/>
      <c r="T47" s="729"/>
      <c r="U47" s="729"/>
      <c r="V47" s="734"/>
      <c r="W47" s="759"/>
      <c r="X47" s="759"/>
      <c r="Y47" s="759"/>
      <c r="Z47" s="759"/>
      <c r="AA47" s="759"/>
      <c r="AB47" s="759"/>
      <c r="AC47" s="759"/>
      <c r="AI47" s="729"/>
      <c r="AJ47" s="729"/>
      <c r="AK47" s="729"/>
      <c r="AL47" s="729"/>
      <c r="AM47" s="729"/>
    </row>
    <row r="48" spans="1:39" s="736" customFormat="1" ht="13.5" thickBot="1">
      <c r="A48" s="729"/>
      <c r="B48" s="729"/>
      <c r="C48" s="729"/>
      <c r="D48" s="729"/>
      <c r="E48" s="729"/>
      <c r="F48" s="729"/>
      <c r="H48" s="731"/>
      <c r="I48" s="729"/>
      <c r="J48" s="729"/>
      <c r="K48" s="762" t="s">
        <v>576</v>
      </c>
      <c r="L48" s="762"/>
      <c r="M48" s="767">
        <v>4531</v>
      </c>
      <c r="O48" s="734"/>
      <c r="P48" s="729"/>
      <c r="Q48" s="729"/>
      <c r="R48" s="762" t="s">
        <v>577</v>
      </c>
      <c r="S48" s="729"/>
      <c r="T48" s="767">
        <f>+'Exh. No. BGM-4 2'!F23</f>
        <v>-530.23099999999999</v>
      </c>
      <c r="U48" s="729"/>
      <c r="V48" s="734"/>
      <c r="AI48" s="729"/>
      <c r="AJ48" s="729"/>
      <c r="AK48" s="729"/>
      <c r="AL48" s="729"/>
      <c r="AM48" s="729"/>
    </row>
    <row r="49" spans="1:39" s="736" customFormat="1" ht="13.5" thickTop="1">
      <c r="A49" s="729"/>
      <c r="B49" s="729"/>
      <c r="C49" s="729"/>
      <c r="D49" s="729"/>
      <c r="E49" s="729"/>
      <c r="F49" s="729"/>
      <c r="H49" s="731"/>
      <c r="I49" s="729"/>
      <c r="J49" s="729"/>
      <c r="K49" s="729"/>
      <c r="L49" s="729"/>
      <c r="M49" s="729"/>
      <c r="O49" s="734"/>
      <c r="P49" s="729"/>
      <c r="Q49" s="729"/>
      <c r="R49" s="729"/>
      <c r="S49" s="729"/>
      <c r="T49" s="755"/>
      <c r="U49" s="729"/>
      <c r="V49" s="734"/>
      <c r="AI49" s="729"/>
      <c r="AJ49" s="729"/>
      <c r="AK49" s="729"/>
      <c r="AL49" s="729"/>
      <c r="AM49" s="729"/>
    </row>
    <row r="50" spans="1:39" ht="13.5" thickBot="1">
      <c r="K50" s="729" t="s">
        <v>578</v>
      </c>
      <c r="M50" s="766">
        <f>+M46-M48</f>
        <v>-3003.5120234803053</v>
      </c>
      <c r="R50" s="762" t="s">
        <v>86</v>
      </c>
      <c r="T50" s="766">
        <f>+T46-T48</f>
        <v>0</v>
      </c>
      <c r="W50" s="759"/>
      <c r="Y50" s="759"/>
    </row>
    <row r="51" spans="1:39" ht="13.5" thickTop="1"/>
  </sheetData>
  <pageMargins left="0.25" right="0.25" top="1.5" bottom="0.75" header="0.8" footer="0.3"/>
  <pageSetup scale="75" orientation="portrait" r:id="rId1"/>
  <colBreaks count="1" manualBreakCount="1">
    <brk id="20" max="4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3"/>
  <sheetViews>
    <sheetView zoomScaleNormal="100" workbookViewId="0">
      <selection sqref="A1:H1"/>
    </sheetView>
  </sheetViews>
  <sheetFormatPr defaultColWidth="10.7109375" defaultRowHeight="12.75"/>
  <cols>
    <col min="1" max="1" width="8.28515625" style="277" customWidth="1"/>
    <col min="2" max="2" width="18.7109375" style="278" customWidth="1"/>
    <col min="3" max="4" width="10.7109375" style="271" customWidth="1"/>
    <col min="5" max="5" width="10.140625" style="271" customWidth="1"/>
    <col min="6" max="6" width="14.7109375" style="279" customWidth="1"/>
    <col min="7" max="7" width="11.140625" style="271" bestFit="1" customWidth="1"/>
    <col min="8" max="8" width="2.140625" style="271" customWidth="1"/>
    <col min="9" max="9" width="14.140625" style="271" customWidth="1"/>
    <col min="10" max="10" width="19.140625" style="271" customWidth="1"/>
    <col min="11" max="16384" width="10.7109375" style="271"/>
  </cols>
  <sheetData>
    <row r="1" spans="1:9">
      <c r="A1" s="807" t="s">
        <v>115</v>
      </c>
      <c r="B1" s="807"/>
      <c r="C1" s="807"/>
      <c r="D1" s="807"/>
      <c r="E1" s="807"/>
      <c r="F1" s="807"/>
      <c r="G1" s="807"/>
      <c r="H1" s="807"/>
    </row>
    <row r="2" spans="1:9">
      <c r="A2" s="808" t="s">
        <v>130</v>
      </c>
      <c r="B2" s="808"/>
      <c r="C2" s="808"/>
      <c r="D2" s="808"/>
      <c r="E2" s="808"/>
      <c r="F2" s="808"/>
      <c r="G2" s="808"/>
      <c r="H2" s="808"/>
    </row>
    <row r="3" spans="1:9">
      <c r="A3" s="808" t="s">
        <v>255</v>
      </c>
      <c r="B3" s="808"/>
      <c r="C3" s="808"/>
      <c r="D3" s="808"/>
      <c r="E3" s="808"/>
      <c r="F3" s="808"/>
      <c r="G3" s="808"/>
      <c r="H3" s="808"/>
    </row>
    <row r="4" spans="1:9">
      <c r="A4" s="809" t="str">
        <f>'ROO INPUT'!A5:C5</f>
        <v>TWELVE MONTHS ENDED DECEMBER 31, 2016</v>
      </c>
      <c r="B4" s="809"/>
      <c r="C4" s="809"/>
      <c r="D4" s="809"/>
      <c r="E4" s="809"/>
      <c r="F4" s="809"/>
      <c r="G4" s="809"/>
      <c r="H4" s="809"/>
    </row>
    <row r="5" spans="1:9">
      <c r="A5" s="810" t="s">
        <v>118</v>
      </c>
      <c r="B5" s="810"/>
      <c r="C5" s="810"/>
      <c r="D5" s="810"/>
      <c r="E5" s="810"/>
      <c r="F5" s="810"/>
      <c r="G5" s="810"/>
      <c r="H5" s="810"/>
    </row>
    <row r="6" spans="1:9" ht="13.5" thickBot="1">
      <c r="A6" s="272"/>
      <c r="B6" s="273"/>
      <c r="C6" s="274"/>
      <c r="D6" s="275"/>
      <c r="E6" s="275"/>
      <c r="F6" s="275"/>
      <c r="I6" s="276" t="s">
        <v>226</v>
      </c>
    </row>
    <row r="7" spans="1:9" ht="13.5" thickBot="1">
      <c r="C7" s="279"/>
      <c r="D7" s="279"/>
      <c r="E7" s="804" t="s">
        <v>130</v>
      </c>
      <c r="F7" s="805"/>
      <c r="G7" s="806"/>
      <c r="I7" s="276" t="s">
        <v>227</v>
      </c>
    </row>
    <row r="8" spans="1:9">
      <c r="C8" s="279"/>
      <c r="D8" s="279"/>
      <c r="E8" s="277">
        <f>'Exh. No. BGM 4 4'!W11</f>
        <v>2.1499999999999968</v>
      </c>
      <c r="F8" s="389"/>
      <c r="G8" s="389"/>
      <c r="I8" s="276"/>
    </row>
    <row r="9" spans="1:9">
      <c r="C9" s="279"/>
      <c r="D9" s="279"/>
      <c r="E9" s="280" t="s">
        <v>20</v>
      </c>
      <c r="F9" s="276" t="s">
        <v>443</v>
      </c>
      <c r="G9" s="276" t="s">
        <v>444</v>
      </c>
      <c r="I9" s="276" t="s">
        <v>228</v>
      </c>
    </row>
    <row r="10" spans="1:9">
      <c r="B10" s="281" t="s">
        <v>119</v>
      </c>
      <c r="C10" s="279"/>
      <c r="D10" s="279"/>
      <c r="E10" s="282" t="s">
        <v>229</v>
      </c>
      <c r="F10" s="283" t="s">
        <v>120</v>
      </c>
      <c r="G10" s="283" t="s">
        <v>230</v>
      </c>
      <c r="I10" s="283" t="str">
        <f>F10</f>
        <v>Adjustments</v>
      </c>
    </row>
    <row r="11" spans="1:9">
      <c r="A11" s="277">
        <f>'ADJ SUMMARY'!A8</f>
        <v>1</v>
      </c>
      <c r="B11" s="278" t="str">
        <f>'ADJ SUMMARY'!C8</f>
        <v>Per Results Report</v>
      </c>
      <c r="C11" s="279"/>
      <c r="D11" s="279"/>
      <c r="E11" s="284">
        <f>'ADJ SUMMARY'!E8</f>
        <v>287787</v>
      </c>
      <c r="F11" s="284"/>
      <c r="G11" s="331">
        <f>SUM(E11:F11)</f>
        <v>287787</v>
      </c>
      <c r="H11" s="331"/>
      <c r="I11" s="331">
        <f>ROUND(E11*$E$45*-$E$52,0)-(E49*-E52)</f>
        <v>40.799999999999727</v>
      </c>
    </row>
    <row r="12" spans="1:9">
      <c r="A12" s="277">
        <f>'ADJ SUMMARY'!A9</f>
        <v>1.01</v>
      </c>
      <c r="B12" s="278" t="str">
        <f>'ADJ SUMMARY'!C9</f>
        <v>Deferred FIT Rate Base</v>
      </c>
      <c r="C12" s="279"/>
      <c r="D12" s="279"/>
      <c r="E12" s="331"/>
      <c r="F12" s="284">
        <f>'ADJ SUMMARY'!E9</f>
        <v>-325</v>
      </c>
      <c r="G12" s="331">
        <f>SUM(E12:F12)</f>
        <v>-325</v>
      </c>
      <c r="H12" s="331"/>
      <c r="I12" s="331">
        <f>ROUND(F12*$E$45*-$E$52,0)</f>
        <v>3</v>
      </c>
    </row>
    <row r="13" spans="1:9">
      <c r="A13" s="277">
        <f>'ADJ SUMMARY'!A10</f>
        <v>1.02</v>
      </c>
      <c r="B13" s="278" t="str">
        <f>'ADJ SUMMARY'!C10</f>
        <v>Deferred Debits and Credits</v>
      </c>
      <c r="C13" s="279"/>
      <c r="D13" s="279"/>
      <c r="E13" s="331"/>
      <c r="F13" s="284">
        <f>'ADJ SUMMARY'!E10</f>
        <v>0</v>
      </c>
      <c r="G13" s="331">
        <f t="shared" ref="G13:G15" si="0">SUM(E13:F13)</f>
        <v>0</v>
      </c>
      <c r="H13" s="331"/>
      <c r="I13" s="331">
        <f>ROUND(F13*$E$45*-$E$52,0)</f>
        <v>0</v>
      </c>
    </row>
    <row r="14" spans="1:9">
      <c r="A14" s="277">
        <f>'ADJ SUMMARY'!A11</f>
        <v>1.03</v>
      </c>
      <c r="B14" s="278" t="str">
        <f>'ADJ SUMMARY'!C11</f>
        <v>Working Capital</v>
      </c>
      <c r="C14" s="279"/>
      <c r="D14" s="279"/>
      <c r="E14" s="331"/>
      <c r="F14" s="284">
        <f>'ADJ SUMMARY'!E11</f>
        <v>-864</v>
      </c>
      <c r="G14" s="331">
        <f t="shared" si="0"/>
        <v>-864</v>
      </c>
      <c r="H14" s="331"/>
      <c r="I14" s="331">
        <f>ROUND(F14*$E$45*-$E$52,0)</f>
        <v>8</v>
      </c>
    </row>
    <row r="15" spans="1:9">
      <c r="A15" s="277">
        <f>'ADJ SUMMARY'!A12</f>
        <v>2.0099999999999998</v>
      </c>
      <c r="B15" s="278" t="str">
        <f>'ADJ SUMMARY'!C12</f>
        <v>Eliminate B &amp; O Taxes</v>
      </c>
      <c r="C15" s="279"/>
      <c r="D15" s="279"/>
      <c r="E15" s="331"/>
      <c r="F15" s="284">
        <f>'ADJ SUMMARY'!E12</f>
        <v>0</v>
      </c>
      <c r="G15" s="331">
        <f t="shared" si="0"/>
        <v>0</v>
      </c>
      <c r="H15" s="331"/>
      <c r="I15" s="331">
        <f>ROUND(F15*$E$45*-$E$52,0)</f>
        <v>0</v>
      </c>
    </row>
    <row r="16" spans="1:9">
      <c r="A16" s="277">
        <f>'ADJ SUMMARY'!A13</f>
        <v>2.0199999999999996</v>
      </c>
      <c r="B16" s="278" t="str">
        <f>'ADJ SUMMARY'!C13</f>
        <v>Restate Property Tax</v>
      </c>
      <c r="C16" s="279"/>
      <c r="D16" s="279"/>
      <c r="E16" s="331"/>
      <c r="F16" s="284">
        <f>'ADJ SUMMARY'!E13</f>
        <v>0</v>
      </c>
      <c r="G16" s="331">
        <f t="shared" ref="G16:G29" si="1">SUM(E16:F16)</f>
        <v>0</v>
      </c>
      <c r="H16" s="331"/>
      <c r="I16" s="331">
        <f t="shared" ref="I16:I29" si="2">ROUND(F16*$E$45*-$E$52,0)</f>
        <v>0</v>
      </c>
    </row>
    <row r="17" spans="1:9">
      <c r="A17" s="277">
        <f>'ADJ SUMMARY'!A14</f>
        <v>2.0299999999999994</v>
      </c>
      <c r="B17" s="278" t="str">
        <f>'ADJ SUMMARY'!C14</f>
        <v>Uncollectible Expense</v>
      </c>
      <c r="C17" s="279"/>
      <c r="D17" s="279"/>
      <c r="E17" s="331"/>
      <c r="F17" s="284">
        <f>'ADJ SUMMARY'!E14</f>
        <v>0</v>
      </c>
      <c r="G17" s="331">
        <f t="shared" si="1"/>
        <v>0</v>
      </c>
      <c r="H17" s="331"/>
      <c r="I17" s="331">
        <f t="shared" si="2"/>
        <v>0</v>
      </c>
    </row>
    <row r="18" spans="1:9">
      <c r="A18" s="277">
        <f>'ADJ SUMMARY'!A15</f>
        <v>2.0399999999999991</v>
      </c>
      <c r="B18" s="278" t="str">
        <f>'ADJ SUMMARY'!C15</f>
        <v>Regulatory Expense</v>
      </c>
      <c r="C18" s="279"/>
      <c r="D18" s="279"/>
      <c r="E18" s="331"/>
      <c r="F18" s="284">
        <f>'ADJ SUMMARY'!E15</f>
        <v>0</v>
      </c>
      <c r="G18" s="331">
        <f t="shared" si="1"/>
        <v>0</v>
      </c>
      <c r="H18" s="331"/>
      <c r="I18" s="331">
        <f t="shared" si="2"/>
        <v>0</v>
      </c>
    </row>
    <row r="19" spans="1:9">
      <c r="A19" s="277">
        <f>'ADJ SUMMARY'!A16</f>
        <v>2.0499999999999989</v>
      </c>
      <c r="B19" s="278" t="str">
        <f>'ADJ SUMMARY'!C16</f>
        <v>Injuries &amp; Damages</v>
      </c>
      <c r="C19" s="279"/>
      <c r="D19" s="279"/>
      <c r="E19" s="331"/>
      <c r="F19" s="284">
        <f>'ADJ SUMMARY'!E16</f>
        <v>0</v>
      </c>
      <c r="G19" s="331">
        <f t="shared" si="1"/>
        <v>0</v>
      </c>
      <c r="H19" s="331"/>
      <c r="I19" s="331">
        <f t="shared" si="2"/>
        <v>0</v>
      </c>
    </row>
    <row r="20" spans="1:9">
      <c r="A20" s="277">
        <f>'ADJ SUMMARY'!A17</f>
        <v>2.0599999999999987</v>
      </c>
      <c r="B20" s="278" t="str">
        <f>'ADJ SUMMARY'!C17</f>
        <v>FIT / DFIT Expense</v>
      </c>
      <c r="C20" s="279"/>
      <c r="D20" s="279"/>
      <c r="E20" s="331"/>
      <c r="F20" s="284">
        <f>'ADJ SUMMARY'!E17</f>
        <v>0</v>
      </c>
      <c r="G20" s="331">
        <f t="shared" si="1"/>
        <v>0</v>
      </c>
      <c r="H20" s="331"/>
      <c r="I20" s="331">
        <f t="shared" si="2"/>
        <v>0</v>
      </c>
    </row>
    <row r="21" spans="1:9">
      <c r="A21" s="277">
        <f>'ADJ SUMMARY'!A18</f>
        <v>2.0699999999999985</v>
      </c>
      <c r="B21" s="278" t="str">
        <f>'ADJ SUMMARY'!C18</f>
        <v>Office Space Charges to Subs</v>
      </c>
      <c r="C21" s="279"/>
      <c r="D21" s="279"/>
      <c r="E21" s="331"/>
      <c r="F21" s="284">
        <f>'ADJ SUMMARY'!E18</f>
        <v>0</v>
      </c>
      <c r="G21" s="331">
        <f t="shared" si="1"/>
        <v>0</v>
      </c>
      <c r="H21" s="331"/>
      <c r="I21" s="331">
        <f t="shared" si="2"/>
        <v>0</v>
      </c>
    </row>
    <row r="22" spans="1:9">
      <c r="A22" s="277">
        <f>'ADJ SUMMARY'!A19</f>
        <v>2.0799999999999983</v>
      </c>
      <c r="B22" s="278" t="str">
        <f>'ADJ SUMMARY'!C19</f>
        <v>Restate Excise Taxes</v>
      </c>
      <c r="C22" s="279"/>
      <c r="D22" s="279"/>
      <c r="E22" s="331"/>
      <c r="F22" s="284">
        <f>'ADJ SUMMARY'!E19</f>
        <v>0</v>
      </c>
      <c r="G22" s="331">
        <f t="shared" si="1"/>
        <v>0</v>
      </c>
      <c r="H22" s="331"/>
      <c r="I22" s="331">
        <f t="shared" si="2"/>
        <v>0</v>
      </c>
    </row>
    <row r="23" spans="1:9">
      <c r="A23" s="277">
        <f>'ADJ SUMMARY'!A20</f>
        <v>2.0899999999999981</v>
      </c>
      <c r="B23" s="278" t="str">
        <f>'ADJ SUMMARY'!C20</f>
        <v>Net Gains &amp; Losses</v>
      </c>
      <c r="C23" s="279"/>
      <c r="D23" s="279"/>
      <c r="E23" s="331"/>
      <c r="F23" s="284">
        <f>'ADJ SUMMARY'!E20</f>
        <v>0</v>
      </c>
      <c r="G23" s="331">
        <f t="shared" si="1"/>
        <v>0</v>
      </c>
      <c r="H23" s="331"/>
      <c r="I23" s="331">
        <f t="shared" si="2"/>
        <v>0</v>
      </c>
    </row>
    <row r="24" spans="1:9">
      <c r="A24" s="277">
        <f>'ADJ SUMMARY'!A21</f>
        <v>2.0999999999999979</v>
      </c>
      <c r="B24" s="278" t="str">
        <f>'ADJ SUMMARY'!C21</f>
        <v>Weather Normalization / Gas Cost Adjust</v>
      </c>
      <c r="C24" s="279"/>
      <c r="D24" s="279"/>
      <c r="E24" s="331"/>
      <c r="F24" s="284">
        <f>'ADJ SUMMARY'!E21</f>
        <v>0</v>
      </c>
      <c r="G24" s="331">
        <f t="shared" si="1"/>
        <v>0</v>
      </c>
      <c r="H24" s="331"/>
      <c r="I24" s="331">
        <f t="shared" si="2"/>
        <v>0</v>
      </c>
    </row>
    <row r="25" spans="1:9">
      <c r="A25" s="277">
        <f>'ADJ SUMMARY'!A22</f>
        <v>2.1099999999999977</v>
      </c>
      <c r="B25" s="278" t="str">
        <f>'ADJ SUMMARY'!C22</f>
        <v>Eliminate Adder Schedules</v>
      </c>
      <c r="C25" s="279"/>
      <c r="D25" s="279"/>
      <c r="E25" s="331"/>
      <c r="F25" s="284">
        <f>'ADJ SUMMARY'!E22</f>
        <v>0</v>
      </c>
      <c r="G25" s="331">
        <f t="shared" si="1"/>
        <v>0</v>
      </c>
      <c r="H25" s="331"/>
      <c r="I25" s="331">
        <f t="shared" si="2"/>
        <v>0</v>
      </c>
    </row>
    <row r="26" spans="1:9">
      <c r="A26" s="277">
        <f>'ADJ SUMMARY'!A23</f>
        <v>2.1199999999999974</v>
      </c>
      <c r="B26" s="278" t="str">
        <f>'ADJ SUMMARY'!C23</f>
        <v>Misc. Restating Non-Util / Non- Recurring Expenses</v>
      </c>
      <c r="C26" s="279"/>
      <c r="D26" s="279"/>
      <c r="E26" s="331"/>
      <c r="F26" s="284">
        <f>'ADJ SUMMARY'!E23</f>
        <v>0</v>
      </c>
      <c r="G26" s="331">
        <f t="shared" si="1"/>
        <v>0</v>
      </c>
      <c r="H26" s="331"/>
      <c r="I26" s="331">
        <f t="shared" si="2"/>
        <v>0</v>
      </c>
    </row>
    <row r="27" spans="1:9">
      <c r="A27" s="277">
        <f>'ADJ SUMMARY'!A24</f>
        <v>2.1299999999999972</v>
      </c>
      <c r="B27" s="278" t="str">
        <f>'ADJ SUMMARY'!C24</f>
        <v>Project Compass Deferral</v>
      </c>
      <c r="C27" s="279"/>
      <c r="D27" s="279"/>
      <c r="E27" s="331"/>
      <c r="F27" s="284">
        <f>'ADJ SUMMARY'!E24</f>
        <v>0</v>
      </c>
      <c r="G27" s="331">
        <f t="shared" si="1"/>
        <v>0</v>
      </c>
      <c r="H27" s="331"/>
      <c r="I27" s="331">
        <f t="shared" si="2"/>
        <v>0</v>
      </c>
    </row>
    <row r="28" spans="1:9">
      <c r="A28" s="277">
        <f>'ADJ SUMMARY'!A25</f>
        <v>2.139999999999997</v>
      </c>
      <c r="B28" s="278" t="str">
        <f>'ADJ SUMMARY'!C25</f>
        <v>Restating Incentives</v>
      </c>
      <c r="C28" s="279"/>
      <c r="D28" s="279"/>
      <c r="E28" s="331"/>
      <c r="F28" s="284">
        <f>'ADJ SUMMARY'!E25</f>
        <v>0</v>
      </c>
      <c r="G28" s="331">
        <f t="shared" si="1"/>
        <v>0</v>
      </c>
      <c r="H28" s="331"/>
      <c r="I28" s="331">
        <f t="shared" si="2"/>
        <v>0</v>
      </c>
    </row>
    <row r="29" spans="1:9">
      <c r="A29" s="277">
        <f>'ADJ SUMMARY'!A26</f>
        <v>2.1499999999999968</v>
      </c>
      <c r="B29" s="278" t="str">
        <f>'ADJ SUMMARY'!C26</f>
        <v>Restate Debt Interest</v>
      </c>
      <c r="C29" s="279"/>
      <c r="D29" s="279"/>
      <c r="E29" s="331"/>
      <c r="F29" s="284">
        <f>'ADJ SUMMARY'!E26</f>
        <v>0</v>
      </c>
      <c r="G29" s="331">
        <f t="shared" si="1"/>
        <v>0</v>
      </c>
      <c r="H29" s="331"/>
      <c r="I29" s="331">
        <f t="shared" si="2"/>
        <v>0</v>
      </c>
    </row>
    <row r="30" spans="1:9" ht="13.5" customHeight="1">
      <c r="A30" s="277">
        <f>'ADJ SUMMARY'!A30</f>
        <v>3.01</v>
      </c>
      <c r="B30" s="278" t="str">
        <f>'ADJ SUMMARY'!C30</f>
        <v>Pro Forma Atmospheric Testing &amp; Leak Survey</v>
      </c>
      <c r="C30" s="279"/>
      <c r="D30" s="279"/>
      <c r="E30" s="331"/>
      <c r="F30" s="284">
        <f>'ADJ SUMMARY'!E30</f>
        <v>0</v>
      </c>
      <c r="G30" s="331">
        <f t="shared" ref="G30" si="3">SUM(E30:F30)</f>
        <v>0</v>
      </c>
      <c r="H30" s="331"/>
      <c r="I30" s="331">
        <f t="shared" ref="I30:I40" si="4">ROUND(F30*$E$45*-$E$52,0)</f>
        <v>0</v>
      </c>
    </row>
    <row r="31" spans="1:9" ht="13.5" customHeight="1">
      <c r="A31" s="277">
        <f>'ADJ SUMMARY'!A31</f>
        <v>3.0199999999999996</v>
      </c>
      <c r="B31" s="278" t="str">
        <f>'ADJ SUMMARY'!C31</f>
        <v>Pro Forma Labor Non-Exec</v>
      </c>
      <c r="C31" s="279"/>
      <c r="D31" s="279"/>
      <c r="E31" s="331"/>
      <c r="F31" s="284">
        <f>'ADJ SUMMARY'!E31</f>
        <v>0</v>
      </c>
      <c r="G31" s="331">
        <f t="shared" ref="G31:G40" si="5">SUM(E31:F31)</f>
        <v>0</v>
      </c>
      <c r="H31" s="331"/>
      <c r="I31" s="331">
        <f t="shared" si="4"/>
        <v>0</v>
      </c>
    </row>
    <row r="32" spans="1:9" ht="13.5" customHeight="1">
      <c r="A32" s="277">
        <f>'ADJ SUMMARY'!A32</f>
        <v>3.0299999999999994</v>
      </c>
      <c r="B32" s="278" t="str">
        <f>'ADJ SUMMARY'!C32</f>
        <v>Pro Forma Labor Exec</v>
      </c>
      <c r="C32" s="279"/>
      <c r="D32" s="279"/>
      <c r="E32" s="331"/>
      <c r="F32" s="284">
        <f>'ADJ SUMMARY'!E32</f>
        <v>0</v>
      </c>
      <c r="G32" s="331">
        <f t="shared" si="5"/>
        <v>0</v>
      </c>
      <c r="H32" s="331"/>
      <c r="I32" s="331">
        <f t="shared" si="4"/>
        <v>0</v>
      </c>
    </row>
    <row r="33" spans="1:9" ht="13.5" customHeight="1">
      <c r="A33" s="277">
        <f>'ADJ SUMMARY'!A33</f>
        <v>3.0399999999999991</v>
      </c>
      <c r="B33" s="278" t="str">
        <f>'ADJ SUMMARY'!C33</f>
        <v>Pro Forma Employee Benefits</v>
      </c>
      <c r="C33" s="279"/>
      <c r="D33" s="279"/>
      <c r="E33" s="331"/>
      <c r="F33" s="284">
        <f>'ADJ SUMMARY'!E33</f>
        <v>0</v>
      </c>
      <c r="G33" s="331">
        <f t="shared" si="5"/>
        <v>0</v>
      </c>
      <c r="H33" s="331"/>
      <c r="I33" s="331">
        <f t="shared" si="4"/>
        <v>0</v>
      </c>
    </row>
    <row r="34" spans="1:9" ht="13.5" customHeight="1">
      <c r="A34" s="277">
        <f>'ADJ SUMMARY'!A34</f>
        <v>3.0499999999999989</v>
      </c>
      <c r="B34" s="278" t="str">
        <f>'ADJ SUMMARY'!C34</f>
        <v>Pro Forma Incentive Adjustment</v>
      </c>
      <c r="C34" s="279"/>
      <c r="D34" s="279"/>
      <c r="E34" s="331"/>
      <c r="F34" s="284">
        <f>'ADJ SUMMARY'!E34</f>
        <v>0</v>
      </c>
      <c r="G34" s="331">
        <f t="shared" si="5"/>
        <v>0</v>
      </c>
      <c r="H34" s="331"/>
      <c r="I34" s="331">
        <f t="shared" si="4"/>
        <v>0</v>
      </c>
    </row>
    <row r="35" spans="1:9" ht="13.5" customHeight="1">
      <c r="A35" s="277">
        <f>'ADJ SUMMARY'!A35</f>
        <v>3.0599999999999987</v>
      </c>
      <c r="B35" s="278" t="str">
        <f>'ADJ SUMMARY'!C35</f>
        <v>Pro Forma Property Tax</v>
      </c>
      <c r="C35" s="279"/>
      <c r="D35" s="279"/>
      <c r="E35" s="331"/>
      <c r="F35" s="284">
        <f>'ADJ SUMMARY'!E35</f>
        <v>0</v>
      </c>
      <c r="G35" s="331">
        <f t="shared" si="5"/>
        <v>0</v>
      </c>
      <c r="H35" s="331"/>
      <c r="I35" s="331">
        <f t="shared" si="4"/>
        <v>0</v>
      </c>
    </row>
    <row r="36" spans="1:9" ht="13.5" customHeight="1">
      <c r="A36" s="277">
        <f>'ADJ SUMMARY'!A36</f>
        <v>3.0699999999999985</v>
      </c>
      <c r="B36" s="278" t="str">
        <f>'ADJ SUMMARY'!C36</f>
        <v>Pro Forma IS/IT Expense</v>
      </c>
      <c r="C36" s="279"/>
      <c r="D36" s="279"/>
      <c r="E36" s="331"/>
      <c r="F36" s="284">
        <f>'ADJ SUMMARY'!E36</f>
        <v>0</v>
      </c>
      <c r="G36" s="331">
        <f t="shared" si="5"/>
        <v>0</v>
      </c>
      <c r="H36" s="331"/>
      <c r="I36" s="331">
        <f t="shared" si="4"/>
        <v>0</v>
      </c>
    </row>
    <row r="37" spans="1:9" ht="13.5" customHeight="1">
      <c r="A37" s="277">
        <f>'ADJ SUMMARY'!A37</f>
        <v>3.0799999999999983</v>
      </c>
      <c r="B37" s="278" t="str">
        <f>'ADJ SUMMARY'!C37</f>
        <v>Pro Forma Revenue Normalization</v>
      </c>
      <c r="C37" s="279"/>
      <c r="D37" s="279"/>
      <c r="E37" s="331"/>
      <c r="F37" s="284">
        <f>'ADJ SUMMARY'!E37</f>
        <v>0</v>
      </c>
      <c r="G37" s="331">
        <f t="shared" si="5"/>
        <v>0</v>
      </c>
      <c r="H37" s="331"/>
      <c r="I37" s="331">
        <f t="shared" si="4"/>
        <v>0</v>
      </c>
    </row>
    <row r="38" spans="1:9" ht="13.5" customHeight="1">
      <c r="A38" s="277">
        <f>'ADJ SUMMARY'!A38</f>
        <v>3.0899999999999981</v>
      </c>
      <c r="B38" s="278" t="str">
        <f>'ADJ SUMMARY'!C38</f>
        <v>Pro Forma Regulatory Amortization</v>
      </c>
      <c r="C38" s="279"/>
      <c r="D38" s="279"/>
      <c r="E38" s="331"/>
      <c r="F38" s="284">
        <f>'ADJ SUMMARY'!E38</f>
        <v>0</v>
      </c>
      <c r="G38" s="331">
        <f t="shared" si="5"/>
        <v>0</v>
      </c>
      <c r="H38" s="331"/>
      <c r="I38" s="331">
        <f t="shared" si="4"/>
        <v>0</v>
      </c>
    </row>
    <row r="39" spans="1:9" ht="13.5" customHeight="1">
      <c r="A39" s="277">
        <f>'ADJ SUMMARY'!A39</f>
        <v>3.0999999999999979</v>
      </c>
      <c r="B39" s="278" t="str">
        <f>'ADJ SUMMARY'!C39</f>
        <v>Pro Forma 2017 Threshhold Capital Adds</v>
      </c>
      <c r="C39" s="279"/>
      <c r="D39" s="279"/>
      <c r="E39" s="331"/>
      <c r="F39" s="284">
        <f>'ADJ SUMMARY'!E39</f>
        <v>11745</v>
      </c>
      <c r="G39" s="331">
        <f t="shared" si="5"/>
        <v>11745</v>
      </c>
      <c r="H39" s="331"/>
      <c r="I39" s="331">
        <f t="shared" si="4"/>
        <v>-110</v>
      </c>
    </row>
    <row r="40" spans="1:9" ht="13.5" customHeight="1">
      <c r="A40" s="277">
        <f>'ADJ SUMMARY'!A40</f>
        <v>3.1099999999999977</v>
      </c>
      <c r="B40" s="278" t="str">
        <f>'ADJ SUMMARY'!C40</f>
        <v>Pro Forma O&amp;M Offsets</v>
      </c>
      <c r="C40" s="279"/>
      <c r="D40" s="279"/>
      <c r="E40" s="331"/>
      <c r="F40" s="284">
        <f>'ADJ SUMMARY'!E40</f>
        <v>0</v>
      </c>
      <c r="G40" s="331">
        <f t="shared" si="5"/>
        <v>0</v>
      </c>
      <c r="H40" s="331"/>
      <c r="I40" s="331">
        <f t="shared" si="4"/>
        <v>0</v>
      </c>
    </row>
    <row r="41" spans="1:9" ht="13.5" customHeight="1">
      <c r="A41" s="277">
        <f>'ADJ SUMMARY'!A41</f>
        <v>3.1199999999999974</v>
      </c>
      <c r="B41" s="278" t="str">
        <f>'ADJ SUMMARY'!C41</f>
        <v>Pro Forma Director Fees Expense</v>
      </c>
      <c r="C41" s="279"/>
      <c r="D41" s="279"/>
      <c r="E41" s="331"/>
      <c r="F41" s="284">
        <f>'ADJ SUMMARY'!E41</f>
        <v>0</v>
      </c>
      <c r="G41" s="331">
        <f t="shared" ref="G41:G42" si="6">SUM(E41:F41)</f>
        <v>0</v>
      </c>
      <c r="H41" s="331"/>
      <c r="I41" s="331">
        <f t="shared" ref="I41:I42" si="7">ROUND(F41*$E$45*-$E$52,0)</f>
        <v>0</v>
      </c>
    </row>
    <row r="42" spans="1:9" ht="13.5" customHeight="1">
      <c r="A42" s="722">
        <f>'ADJ SUMMARY'!A42</f>
        <v>3.1299999999999972</v>
      </c>
      <c r="B42" s="281" t="str">
        <f>'ADJ SUMMARY'!C42</f>
        <v>Pro Forma Leap Deferral Gas Line Ext.</v>
      </c>
      <c r="C42" s="723"/>
      <c r="D42" s="723"/>
      <c r="E42" s="724"/>
      <c r="F42" s="725">
        <f>'ADJ SUMMARY'!E42</f>
        <v>1474</v>
      </c>
      <c r="G42" s="724">
        <f t="shared" si="6"/>
        <v>1474</v>
      </c>
      <c r="H42" s="724"/>
      <c r="I42" s="724">
        <f t="shared" si="7"/>
        <v>-14</v>
      </c>
    </row>
    <row r="43" spans="1:9">
      <c r="B43" s="285"/>
      <c r="C43" s="279"/>
      <c r="D43" s="279"/>
      <c r="E43" s="332">
        <f>SUM(E11:E42)</f>
        <v>287787</v>
      </c>
      <c r="F43" s="332">
        <f>SUM(F11:F42)</f>
        <v>12030</v>
      </c>
      <c r="G43" s="332">
        <f>SUM(G11:G42)</f>
        <v>299817</v>
      </c>
      <c r="H43" s="332"/>
      <c r="I43" s="332"/>
    </row>
    <row r="44" spans="1:9" ht="5.25" customHeight="1">
      <c r="C44" s="279"/>
      <c r="D44" s="279"/>
      <c r="E44" s="332"/>
      <c r="F44" s="332"/>
      <c r="G44" s="332"/>
      <c r="H44" s="331"/>
      <c r="I44" s="331"/>
    </row>
    <row r="45" spans="1:9">
      <c r="B45" s="278" t="s">
        <v>128</v>
      </c>
      <c r="C45" s="279"/>
      <c r="D45" s="279"/>
      <c r="E45" s="339">
        <f>'Exh. No. BGM-4 2'!P13</f>
        <v>2.6800000000000001E-2</v>
      </c>
      <c r="F45" s="339">
        <f>E45-I45</f>
        <v>2.6800000000000001E-2</v>
      </c>
      <c r="G45" s="339"/>
      <c r="H45" s="337"/>
      <c r="I45" s="339"/>
    </row>
    <row r="46" spans="1:9" ht="6" customHeight="1">
      <c r="C46" s="279"/>
      <c r="D46" s="279"/>
      <c r="E46" s="332"/>
      <c r="F46" s="332"/>
      <c r="G46" s="332"/>
      <c r="H46" s="331"/>
      <c r="I46" s="331"/>
    </row>
    <row r="47" spans="1:9">
      <c r="B47" s="278" t="s">
        <v>121</v>
      </c>
      <c r="C47" s="279"/>
      <c r="D47" s="279"/>
      <c r="E47" s="332">
        <f>E43*E45</f>
        <v>7712.6916000000001</v>
      </c>
      <c r="F47" s="332">
        <f>F43*F45</f>
        <v>322.404</v>
      </c>
      <c r="G47" s="332">
        <f>SUM(E47:F47)</f>
        <v>8035.0956000000006</v>
      </c>
      <c r="H47" s="331"/>
      <c r="I47" s="332">
        <f>SUM(I11:I42)</f>
        <v>-72.200000000000273</v>
      </c>
    </row>
    <row r="48" spans="1:9">
      <c r="C48" s="279"/>
      <c r="D48" s="279"/>
      <c r="E48" s="332"/>
      <c r="F48" s="332"/>
      <c r="G48" s="332"/>
      <c r="H48" s="331"/>
      <c r="I48" s="332"/>
    </row>
    <row r="49" spans="1:10">
      <c r="B49" s="278" t="s">
        <v>256</v>
      </c>
      <c r="C49" s="279"/>
      <c r="D49" s="279"/>
      <c r="E49" s="334">
        <v>7828</v>
      </c>
      <c r="F49" s="334"/>
      <c r="G49" s="333">
        <f>SUM(E49:F49)</f>
        <v>7828</v>
      </c>
      <c r="H49" s="331"/>
      <c r="I49" s="387"/>
    </row>
    <row r="50" spans="1:10" ht="5.25" customHeight="1">
      <c r="C50" s="279"/>
      <c r="D50" s="279"/>
      <c r="E50" s="332"/>
      <c r="F50" s="332"/>
      <c r="G50" s="332"/>
      <c r="H50" s="331"/>
      <c r="I50" s="388"/>
    </row>
    <row r="51" spans="1:10">
      <c r="B51" s="278" t="s">
        <v>122</v>
      </c>
      <c r="C51" s="279"/>
      <c r="D51" s="279"/>
      <c r="E51" s="332">
        <f>E47-E49</f>
        <v>-115.30839999999989</v>
      </c>
      <c r="F51" s="332">
        <f>F47-F49</f>
        <v>322.404</v>
      </c>
      <c r="G51" s="332">
        <f>SUM(E51:F51)</f>
        <v>207.0956000000001</v>
      </c>
      <c r="H51" s="331"/>
      <c r="I51" s="388"/>
    </row>
    <row r="52" spans="1:10" ht="18" customHeight="1">
      <c r="B52" s="278" t="s">
        <v>123</v>
      </c>
      <c r="D52" s="279"/>
      <c r="E52" s="336">
        <v>0.35</v>
      </c>
      <c r="F52" s="336">
        <v>0.35</v>
      </c>
      <c r="G52" s="336"/>
      <c r="H52" s="337"/>
      <c r="I52" s="336"/>
    </row>
    <row r="53" spans="1:10" ht="5.25" customHeight="1" thickBot="1">
      <c r="D53" s="279"/>
      <c r="E53" s="332"/>
      <c r="F53" s="332"/>
      <c r="G53" s="332"/>
      <c r="H53" s="331"/>
      <c r="I53" s="332"/>
    </row>
    <row r="54" spans="1:10" ht="13.5" thickBot="1">
      <c r="B54" s="278" t="s">
        <v>124</v>
      </c>
      <c r="D54" s="279"/>
      <c r="E54" s="394">
        <f>ROUND(E51*-E52,0)</f>
        <v>40</v>
      </c>
      <c r="F54" s="335">
        <f>ROUND(F51*-F52,0)</f>
        <v>-113</v>
      </c>
      <c r="G54" s="335">
        <f>SUM(E54:F54)</f>
        <v>-73</v>
      </c>
      <c r="H54" s="331"/>
      <c r="I54" s="335">
        <f>I47</f>
        <v>-72.200000000000273</v>
      </c>
      <c r="J54" s="710" t="s">
        <v>442</v>
      </c>
    </row>
    <row r="55" spans="1:10">
      <c r="F55" s="287"/>
      <c r="J55" s="711">
        <f>'Exh. No. BGM 4 4'!W54+'Exh. No. BGM 4 4'!AL55-'DEBT CALC'!I54</f>
        <v>-0.64139999999972019</v>
      </c>
    </row>
    <row r="56" spans="1:10" hidden="1">
      <c r="A56" s="288" t="s">
        <v>231</v>
      </c>
      <c r="B56" s="289" t="s">
        <v>232</v>
      </c>
    </row>
    <row r="57" spans="1:10" hidden="1">
      <c r="B57" s="281" t="s">
        <v>233</v>
      </c>
    </row>
    <row r="58" spans="1:10" hidden="1">
      <c r="B58" s="278" t="s">
        <v>234</v>
      </c>
      <c r="C58" s="290">
        <v>2430</v>
      </c>
      <c r="H58" s="271" t="s">
        <v>235</v>
      </c>
    </row>
    <row r="59" spans="1:10" hidden="1">
      <c r="B59" s="278" t="s">
        <v>236</v>
      </c>
      <c r="C59" s="291">
        <v>2935</v>
      </c>
      <c r="H59" s="271" t="s">
        <v>235</v>
      </c>
    </row>
    <row r="60" spans="1:10" hidden="1">
      <c r="B60" s="278" t="s">
        <v>237</v>
      </c>
      <c r="C60" s="292">
        <f>C58+C59</f>
        <v>5365</v>
      </c>
    </row>
    <row r="61" spans="1:10" hidden="1">
      <c r="C61" s="286"/>
    </row>
    <row r="62" spans="1:10" hidden="1">
      <c r="C62" s="293"/>
      <c r="D62" s="276"/>
      <c r="E62" s="276" t="s">
        <v>238</v>
      </c>
    </row>
    <row r="63" spans="1:10" hidden="1">
      <c r="C63" s="283" t="s">
        <v>239</v>
      </c>
      <c r="D63" s="283" t="s">
        <v>240</v>
      </c>
      <c r="E63" s="283" t="s">
        <v>24</v>
      </c>
    </row>
    <row r="64" spans="1:10" hidden="1">
      <c r="B64" s="278" t="s">
        <v>241</v>
      </c>
      <c r="C64" s="294" t="e">
        <f>#REF!</f>
        <v>#REF!</v>
      </c>
      <c r="D64" s="295" t="e">
        <f>ROUND(C64/$C$67,4)</f>
        <v>#REF!</v>
      </c>
      <c r="E64" s="294" t="e">
        <f>D64*E67</f>
        <v>#REF!</v>
      </c>
      <c r="F64" s="296"/>
    </row>
    <row r="65" spans="1:6" hidden="1">
      <c r="B65" s="278" t="s">
        <v>242</v>
      </c>
      <c r="C65" s="297" t="e">
        <f>#REF!</f>
        <v>#REF!</v>
      </c>
      <c r="D65" s="295" t="e">
        <f>ROUND(C65/$C$67,4)</f>
        <v>#REF!</v>
      </c>
      <c r="E65" s="297" t="e">
        <f>D65*E67</f>
        <v>#REF!</v>
      </c>
    </row>
    <row r="66" spans="1:6" hidden="1">
      <c r="B66" s="278" t="s">
        <v>243</v>
      </c>
      <c r="C66" s="297" t="e">
        <f>#REF!</f>
        <v>#REF!</v>
      </c>
      <c r="D66" s="295" t="e">
        <f>ROUND(C66/$C$67,4)-0.0001</f>
        <v>#REF!</v>
      </c>
      <c r="E66" s="297" t="e">
        <f>E67*D66</f>
        <v>#REF!</v>
      </c>
    </row>
    <row r="67" spans="1:6" hidden="1">
      <c r="B67" s="278" t="s">
        <v>244</v>
      </c>
      <c r="C67" s="298" t="e">
        <f>C64+C65+C66</f>
        <v>#REF!</v>
      </c>
      <c r="D67" s="299" t="e">
        <f>D64+D65+D66</f>
        <v>#REF!</v>
      </c>
      <c r="E67" s="298">
        <f>C60</f>
        <v>5365</v>
      </c>
    </row>
    <row r="68" spans="1:6" hidden="1">
      <c r="C68" s="300"/>
      <c r="D68" s="300"/>
      <c r="E68" s="300"/>
    </row>
    <row r="69" spans="1:6" hidden="1">
      <c r="B69" s="278" t="s">
        <v>245</v>
      </c>
      <c r="C69" s="294" t="e">
        <f>#REF!</f>
        <v>#REF!</v>
      </c>
      <c r="D69" s="295" t="e">
        <f>C69/C71</f>
        <v>#REF!</v>
      </c>
      <c r="E69" s="294" t="e">
        <f>D69*E71</f>
        <v>#REF!</v>
      </c>
    </row>
    <row r="70" spans="1:6" hidden="1">
      <c r="B70" s="278" t="s">
        <v>246</v>
      </c>
      <c r="C70" s="300" t="e">
        <f>#REF!</f>
        <v>#REF!</v>
      </c>
      <c r="D70" s="295" t="e">
        <f>C70/C71</f>
        <v>#REF!</v>
      </c>
      <c r="E70" s="300" t="e">
        <f>D70*E71</f>
        <v>#REF!</v>
      </c>
    </row>
    <row r="71" spans="1:6" hidden="1">
      <c r="B71" s="278" t="s">
        <v>244</v>
      </c>
      <c r="C71" s="298" t="e">
        <f>C69+C70</f>
        <v>#REF!</v>
      </c>
      <c r="D71" s="299" t="e">
        <f>D69+D70</f>
        <v>#REF!</v>
      </c>
      <c r="E71" s="298" t="e">
        <f>E64</f>
        <v>#REF!</v>
      </c>
    </row>
    <row r="72" spans="1:6" hidden="1">
      <c r="C72" s="300"/>
      <c r="D72" s="300"/>
      <c r="E72" s="300"/>
    </row>
    <row r="73" spans="1:6" hidden="1">
      <c r="B73" s="278" t="s">
        <v>247</v>
      </c>
      <c r="C73" s="294" t="e">
        <f>#REF!</f>
        <v>#REF!</v>
      </c>
      <c r="D73" s="301" t="e">
        <f>C73/C75</f>
        <v>#REF!</v>
      </c>
      <c r="E73" s="294" t="e">
        <f>E75*D73</f>
        <v>#REF!</v>
      </c>
    </row>
    <row r="74" spans="1:6" hidden="1">
      <c r="B74" s="278" t="s">
        <v>248</v>
      </c>
      <c r="C74" s="300" t="e">
        <f>#REF!</f>
        <v>#REF!</v>
      </c>
      <c r="D74" s="302" t="e">
        <f>C74/C75</f>
        <v>#REF!</v>
      </c>
      <c r="E74" s="300" t="e">
        <f>E75*D74</f>
        <v>#REF!</v>
      </c>
    </row>
    <row r="75" spans="1:6" hidden="1">
      <c r="B75" s="278" t="s">
        <v>244</v>
      </c>
      <c r="C75" s="298" t="e">
        <f>SUM(C73:C74)</f>
        <v>#REF!</v>
      </c>
      <c r="D75" s="303" t="e">
        <f>SUM(D73:D74)</f>
        <v>#REF!</v>
      </c>
      <c r="E75" s="298" t="e">
        <f>E65</f>
        <v>#REF!</v>
      </c>
    </row>
    <row r="76" spans="1:6" hidden="1">
      <c r="A76" s="304" t="str">
        <f>A1</f>
        <v>AVISTA UTILITIES</v>
      </c>
      <c r="C76" s="305"/>
      <c r="D76" s="306"/>
      <c r="E76" s="305"/>
      <c r="F76" s="306"/>
    </row>
    <row r="77" spans="1:6" hidden="1">
      <c r="A77" s="304" t="str">
        <f>A2</f>
        <v>Restate Debt Interest</v>
      </c>
      <c r="C77" s="305"/>
      <c r="D77" s="306"/>
      <c r="E77" s="305"/>
      <c r="F77" s="306"/>
    </row>
    <row r="78" spans="1:6" hidden="1">
      <c r="A78" s="304" t="s">
        <v>249</v>
      </c>
      <c r="C78" s="305"/>
      <c r="D78" s="306"/>
      <c r="E78" s="305"/>
      <c r="F78" s="306"/>
    </row>
    <row r="79" spans="1:6" hidden="1">
      <c r="A79" s="307" t="str">
        <f>A4</f>
        <v>TWELVE MONTHS ENDED DECEMBER 31, 2016</v>
      </c>
      <c r="C79" s="274"/>
      <c r="D79" s="306"/>
      <c r="E79" s="274"/>
      <c r="F79" s="306"/>
    </row>
    <row r="80" spans="1:6" hidden="1">
      <c r="A80" s="308" t="s">
        <v>118</v>
      </c>
      <c r="C80" s="305"/>
      <c r="D80" s="306"/>
      <c r="E80" s="306"/>
      <c r="F80" s="306"/>
    </row>
    <row r="81" spans="1:6" hidden="1">
      <c r="C81" s="279"/>
      <c r="D81" s="279"/>
      <c r="E81" s="280"/>
      <c r="F81" s="276" t="s">
        <v>19</v>
      </c>
    </row>
    <row r="82" spans="1:6" hidden="1">
      <c r="B82" s="281" t="s">
        <v>119</v>
      </c>
      <c r="C82" s="279"/>
      <c r="D82" s="279"/>
      <c r="E82" s="280"/>
      <c r="F82" s="283" t="s">
        <v>120</v>
      </c>
    </row>
    <row r="83" spans="1:6" hidden="1">
      <c r="A83" s="277" t="e">
        <f>'[5]ADJ SUMMARY'!#REF!</f>
        <v>#REF!</v>
      </c>
      <c r="B83" s="278" t="e">
        <f>'[5]ADJ SUMMARY'!#REF!</f>
        <v>#REF!</v>
      </c>
      <c r="C83" s="279"/>
      <c r="D83" s="279"/>
      <c r="E83" s="286"/>
      <c r="F83" s="309" t="e">
        <f>'[5]ADJ SUMMARY'!#REF!</f>
        <v>#REF!</v>
      </c>
    </row>
    <row r="84" spans="1:6" hidden="1">
      <c r="A84" s="277" t="e">
        <f>'[5]ADJ SUMMARY'!#REF!</f>
        <v>#REF!</v>
      </c>
      <c r="B84" s="278" t="e">
        <f>'[5]ADJ SUMMARY'!#REF!</f>
        <v>#REF!</v>
      </c>
      <c r="C84" s="279"/>
      <c r="D84" s="279"/>
      <c r="E84" s="286"/>
      <c r="F84" s="309" t="e">
        <f>'[5]ADJ SUMMARY'!#REF!</f>
        <v>#REF!</v>
      </c>
    </row>
    <row r="85" spans="1:6" hidden="1">
      <c r="A85" s="277" t="e">
        <f>'[5]ADJ SUMMARY'!#REF!</f>
        <v>#REF!</v>
      </c>
      <c r="B85" s="278" t="e">
        <f>'[5]ADJ SUMMARY'!#REF!</f>
        <v>#REF!</v>
      </c>
      <c r="C85" s="279"/>
      <c r="D85" s="279"/>
      <c r="E85" s="286"/>
      <c r="F85" s="309" t="e">
        <f>'[5]ADJ SUMMARY'!#REF!</f>
        <v>#REF!</v>
      </c>
    </row>
    <row r="86" spans="1:6" hidden="1">
      <c r="A86" s="277" t="e">
        <f>'[5]ADJ SUMMARY'!#REF!</f>
        <v>#REF!</v>
      </c>
      <c r="B86" s="278" t="e">
        <f>'[5]ADJ SUMMARY'!#REF!</f>
        <v>#REF!</v>
      </c>
      <c r="C86" s="279"/>
      <c r="D86" s="279"/>
      <c r="E86" s="286"/>
      <c r="F86" s="309" t="e">
        <f>'[5]ADJ SUMMARY'!#REF!</f>
        <v>#REF!</v>
      </c>
    </row>
    <row r="87" spans="1:6" hidden="1">
      <c r="A87" s="277" t="e">
        <f>'[5]ADJ SUMMARY'!#REF!</f>
        <v>#REF!</v>
      </c>
      <c r="B87" s="278" t="e">
        <f>'[5]ADJ SUMMARY'!#REF!</f>
        <v>#REF!</v>
      </c>
      <c r="C87" s="279"/>
      <c r="D87" s="279"/>
      <c r="E87" s="286"/>
      <c r="F87" s="309" t="e">
        <f>'[5]ADJ SUMMARY'!#REF!</f>
        <v>#REF!</v>
      </c>
    </row>
    <row r="88" spans="1:6" hidden="1">
      <c r="A88" s="277" t="e">
        <f>'[5]ADJ SUMMARY'!#REF!</f>
        <v>#REF!</v>
      </c>
      <c r="B88" s="278" t="e">
        <f>'[5]ADJ SUMMARY'!#REF!</f>
        <v>#REF!</v>
      </c>
      <c r="C88" s="279"/>
      <c r="D88" s="279"/>
      <c r="E88" s="286"/>
      <c r="F88" s="309" t="e">
        <f>'[5]ADJ SUMMARY'!#REF!</f>
        <v>#REF!</v>
      </c>
    </row>
    <row r="89" spans="1:6" hidden="1">
      <c r="A89" s="277" t="e">
        <f>'[5]ADJ SUMMARY'!#REF!</f>
        <v>#REF!</v>
      </c>
      <c r="B89" s="278" t="e">
        <f>'[5]ADJ SUMMARY'!#REF!</f>
        <v>#REF!</v>
      </c>
      <c r="C89" s="279"/>
      <c r="D89" s="279"/>
      <c r="E89" s="286"/>
      <c r="F89" s="309" t="e">
        <f>'[5]ADJ SUMMARY'!#REF!</f>
        <v>#REF!</v>
      </c>
    </row>
    <row r="90" spans="1:6" hidden="1">
      <c r="A90" s="277" t="e">
        <f>'[5]ADJ SUMMARY'!#REF!</f>
        <v>#REF!</v>
      </c>
      <c r="B90" s="278" t="e">
        <f>'[5]ADJ SUMMARY'!#REF!</f>
        <v>#REF!</v>
      </c>
      <c r="C90" s="279"/>
      <c r="D90" s="279"/>
      <c r="E90" s="286"/>
      <c r="F90" s="309" t="e">
        <f>'[5]ADJ SUMMARY'!#REF!</f>
        <v>#REF!</v>
      </c>
    </row>
    <row r="91" spans="1:6" hidden="1">
      <c r="A91" s="277" t="e">
        <f>'[5]ADJ SUMMARY'!#REF!</f>
        <v>#REF!</v>
      </c>
      <c r="B91" s="278" t="e">
        <f>'[5]ADJ SUMMARY'!#REF!</f>
        <v>#REF!</v>
      </c>
      <c r="C91" s="279"/>
      <c r="D91" s="279"/>
      <c r="E91" s="286"/>
      <c r="F91" s="309" t="e">
        <f>'[5]ADJ SUMMARY'!#REF!</f>
        <v>#REF!</v>
      </c>
    </row>
    <row r="92" spans="1:6" hidden="1">
      <c r="A92" s="277" t="e">
        <f>'[5]ADJ SUMMARY'!#REF!</f>
        <v>#REF!</v>
      </c>
      <c r="B92" s="278" t="e">
        <f>'[5]ADJ SUMMARY'!#REF!</f>
        <v>#REF!</v>
      </c>
      <c r="C92" s="279"/>
      <c r="D92" s="279"/>
      <c r="E92" s="286"/>
      <c r="F92" s="309" t="e">
        <f>'[5]ADJ SUMMARY'!#REF!</f>
        <v>#REF!</v>
      </c>
    </row>
    <row r="93" spans="1:6" hidden="1">
      <c r="A93" s="277" t="e">
        <f>'[5]ADJ SUMMARY'!#REF!</f>
        <v>#REF!</v>
      </c>
      <c r="B93" s="278" t="e">
        <f>'[5]ADJ SUMMARY'!#REF!</f>
        <v>#REF!</v>
      </c>
      <c r="C93" s="279"/>
      <c r="D93" s="279"/>
      <c r="E93" s="286"/>
      <c r="F93" s="309" t="e">
        <f>'[5]ADJ SUMMARY'!#REF!</f>
        <v>#REF!</v>
      </c>
    </row>
    <row r="94" spans="1:6" hidden="1">
      <c r="A94" s="277" t="e">
        <f>'[5]ADJ SUMMARY'!#REF!</f>
        <v>#REF!</v>
      </c>
      <c r="B94" s="278" t="e">
        <f>'[5]ADJ SUMMARY'!#REF!</f>
        <v>#REF!</v>
      </c>
      <c r="C94" s="279"/>
      <c r="D94" s="279"/>
      <c r="E94" s="286"/>
      <c r="F94" s="309" t="e">
        <f>'[5]ADJ SUMMARY'!#REF!</f>
        <v>#REF!</v>
      </c>
    </row>
    <row r="95" spans="1:6" hidden="1">
      <c r="A95" s="277" t="e">
        <f>'[5]ADJ SUMMARY'!#REF!</f>
        <v>#REF!</v>
      </c>
      <c r="B95" s="278" t="e">
        <f>'[5]ADJ SUMMARY'!#REF!</f>
        <v>#REF!</v>
      </c>
      <c r="C95" s="279"/>
      <c r="D95" s="279"/>
      <c r="E95" s="286"/>
      <c r="F95" s="309" t="e">
        <f>'[5]ADJ SUMMARY'!#REF!</f>
        <v>#REF!</v>
      </c>
    </row>
    <row r="96" spans="1:6" hidden="1">
      <c r="A96" s="277" t="e">
        <f>'[5]ADJ SUMMARY'!#REF!</f>
        <v>#REF!</v>
      </c>
      <c r="B96" s="278" t="e">
        <f>'[5]ADJ SUMMARY'!#REF!</f>
        <v>#REF!</v>
      </c>
      <c r="C96" s="279"/>
      <c r="D96" s="279"/>
      <c r="E96" s="286"/>
      <c r="F96" s="309" t="e">
        <f>'[5]ADJ SUMMARY'!#REF!</f>
        <v>#REF!</v>
      </c>
    </row>
    <row r="97" spans="1:6" hidden="1">
      <c r="A97" s="277" t="e">
        <f>'[5]ADJ SUMMARY'!#REF!</f>
        <v>#REF!</v>
      </c>
      <c r="B97" s="278" t="e">
        <f>'[5]ADJ SUMMARY'!#REF!</f>
        <v>#REF!</v>
      </c>
      <c r="C97" s="279"/>
      <c r="D97" s="279"/>
      <c r="E97" s="286"/>
      <c r="F97" s="309" t="e">
        <f>'[5]ADJ SUMMARY'!#REF!</f>
        <v>#REF!</v>
      </c>
    </row>
    <row r="98" spans="1:6" hidden="1">
      <c r="A98" s="277" t="e">
        <f>'[5]ADJ SUMMARY'!#REF!</f>
        <v>#REF!</v>
      </c>
      <c r="B98" s="278" t="e">
        <f>'[5]ADJ SUMMARY'!#REF!</f>
        <v>#REF!</v>
      </c>
      <c r="C98" s="279"/>
      <c r="D98" s="279"/>
      <c r="E98" s="286"/>
      <c r="F98" s="309" t="e">
        <f>'[5]ADJ SUMMARY'!#REF!</f>
        <v>#REF!</v>
      </c>
    </row>
    <row r="99" spans="1:6" hidden="1">
      <c r="A99" s="277" t="e">
        <f>'[5]ADJ SUMMARY'!#REF!</f>
        <v>#REF!</v>
      </c>
      <c r="B99" s="278" t="e">
        <f>'[5]ADJ SUMMARY'!#REF!</f>
        <v>#REF!</v>
      </c>
      <c r="C99" s="279"/>
      <c r="D99" s="279"/>
      <c r="E99" s="286"/>
      <c r="F99" s="309" t="e">
        <f>'[5]ADJ SUMMARY'!#REF!</f>
        <v>#REF!</v>
      </c>
    </row>
    <row r="100" spans="1:6" hidden="1">
      <c r="A100" s="277" t="e">
        <f>'[5]ADJ SUMMARY'!#REF!</f>
        <v>#REF!</v>
      </c>
      <c r="B100" s="278" t="e">
        <f>'[5]ADJ SUMMARY'!#REF!</f>
        <v>#REF!</v>
      </c>
      <c r="C100" s="279"/>
      <c r="D100" s="279"/>
      <c r="E100" s="286"/>
      <c r="F100" s="309" t="e">
        <f>'[5]ADJ SUMMARY'!#REF!</f>
        <v>#REF!</v>
      </c>
    </row>
    <row r="101" spans="1:6" hidden="1">
      <c r="A101" s="277" t="e">
        <f>'[5]ADJ SUMMARY'!#REF!</f>
        <v>#REF!</v>
      </c>
      <c r="B101" s="278" t="e">
        <f>'[5]ADJ SUMMARY'!#REF!</f>
        <v>#REF!</v>
      </c>
      <c r="C101" s="279"/>
      <c r="D101" s="279"/>
      <c r="E101" s="286"/>
      <c r="F101" s="309" t="e">
        <f>'[5]ADJ SUMMARY'!#REF!</f>
        <v>#REF!</v>
      </c>
    </row>
    <row r="102" spans="1:6" hidden="1">
      <c r="A102" s="277" t="e">
        <f>'[5]ADJ SUMMARY'!#REF!</f>
        <v>#REF!</v>
      </c>
      <c r="B102" s="278" t="e">
        <f>'[5]ADJ SUMMARY'!#REF!</f>
        <v>#REF!</v>
      </c>
      <c r="C102" s="279"/>
      <c r="D102" s="279"/>
      <c r="E102" s="286"/>
      <c r="F102" s="309" t="e">
        <f>'[5]ADJ SUMMARY'!#REF!</f>
        <v>#REF!</v>
      </c>
    </row>
    <row r="103" spans="1:6" hidden="1">
      <c r="A103" s="277" t="e">
        <f>'[5]ADJ SUMMARY'!#REF!</f>
        <v>#REF!</v>
      </c>
      <c r="B103" s="278" t="e">
        <f>'[5]ADJ SUMMARY'!#REF!</f>
        <v>#REF!</v>
      </c>
      <c r="C103" s="279"/>
      <c r="D103" s="279"/>
      <c r="E103" s="286"/>
      <c r="F103" s="309" t="e">
        <f>'[5]ADJ SUMMARY'!#REF!</f>
        <v>#REF!</v>
      </c>
    </row>
    <row r="104" spans="1:6" ht="5.25" hidden="1" customHeight="1">
      <c r="C104" s="279"/>
      <c r="D104" s="279"/>
      <c r="E104" s="286"/>
      <c r="F104" s="309"/>
    </row>
    <row r="105" spans="1:6" ht="13.5" hidden="1" customHeight="1">
      <c r="A105" s="277" t="e">
        <f>'[5]ADJ SUMMARY'!#REF!</f>
        <v>#REF!</v>
      </c>
      <c r="B105" s="278" t="e">
        <f>'[5]ADJ SUMMARY'!#REF!</f>
        <v>#REF!</v>
      </c>
      <c r="C105" s="279"/>
      <c r="D105" s="279"/>
      <c r="E105" s="286"/>
      <c r="F105" s="309" t="e">
        <f>'[5]ADJ SUMMARY'!#REF!</f>
        <v>#REF!</v>
      </c>
    </row>
    <row r="106" spans="1:6" hidden="1">
      <c r="A106" s="277" t="e">
        <f>'[5]ADJ SUMMARY'!#REF!</f>
        <v>#REF!</v>
      </c>
      <c r="B106" s="278" t="e">
        <f>'[5]ADJ SUMMARY'!#REF!</f>
        <v>#REF!</v>
      </c>
      <c r="C106" s="279"/>
      <c r="D106" s="279"/>
      <c r="E106" s="286"/>
      <c r="F106" s="309" t="e">
        <f>'[5]ADJ SUMMARY'!#REF!</f>
        <v>#REF!</v>
      </c>
    </row>
    <row r="107" spans="1:6" hidden="1">
      <c r="A107" s="277" t="e">
        <f>'[5]ADJ SUMMARY'!#REF!</f>
        <v>#REF!</v>
      </c>
      <c r="B107" s="278" t="e">
        <f>'[5]ADJ SUMMARY'!#REF!</f>
        <v>#REF!</v>
      </c>
      <c r="C107" s="279"/>
      <c r="D107" s="279"/>
      <c r="E107" s="286"/>
      <c r="F107" s="309" t="e">
        <f>'[5]ADJ SUMMARY'!#REF!</f>
        <v>#REF!</v>
      </c>
    </row>
    <row r="108" spans="1:6" hidden="1">
      <c r="A108" s="277" t="e">
        <f>'[5]ADJ SUMMARY'!#REF!</f>
        <v>#REF!</v>
      </c>
      <c r="B108" s="278" t="e">
        <f>'[5]ADJ SUMMARY'!#REF!</f>
        <v>#REF!</v>
      </c>
      <c r="C108" s="279"/>
      <c r="D108" s="279"/>
      <c r="E108" s="286"/>
      <c r="F108" s="309" t="e">
        <f>'[5]ADJ SUMMARY'!#REF!</f>
        <v>#REF!</v>
      </c>
    </row>
    <row r="109" spans="1:6" hidden="1">
      <c r="A109" s="277" t="e">
        <f>'[5]ADJ SUMMARY'!#REF!</f>
        <v>#REF!</v>
      </c>
      <c r="B109" s="278" t="e">
        <f>'[5]ADJ SUMMARY'!#REF!</f>
        <v>#REF!</v>
      </c>
      <c r="C109" s="279"/>
      <c r="D109" s="279"/>
      <c r="E109" s="286"/>
      <c r="F109" s="309" t="e">
        <f>'[5]ADJ SUMMARY'!#REF!</f>
        <v>#REF!</v>
      </c>
    </row>
    <row r="110" spans="1:6" hidden="1">
      <c r="A110" s="277" t="e">
        <f>'[5]ADJ SUMMARY'!#REF!</f>
        <v>#REF!</v>
      </c>
      <c r="B110" s="278" t="e">
        <f>'[5]ADJ SUMMARY'!#REF!</f>
        <v>#REF!</v>
      </c>
      <c r="C110" s="279"/>
      <c r="D110" s="279"/>
      <c r="E110" s="286"/>
      <c r="F110" s="309" t="e">
        <f>'[5]ADJ SUMMARY'!#REF!</f>
        <v>#REF!</v>
      </c>
    </row>
    <row r="111" spans="1:6" hidden="1">
      <c r="A111" s="277" t="e">
        <f>'[5]ADJ SUMMARY'!#REF!</f>
        <v>#REF!</v>
      </c>
      <c r="B111" s="278" t="e">
        <f>'[5]ADJ SUMMARY'!#REF!</f>
        <v>#REF!</v>
      </c>
      <c r="C111" s="279"/>
      <c r="D111" s="279"/>
      <c r="E111" s="286"/>
      <c r="F111" s="309" t="e">
        <f>'[5]ADJ SUMMARY'!#REF!</f>
        <v>#REF!</v>
      </c>
    </row>
    <row r="112" spans="1:6" hidden="1">
      <c r="A112" s="277" t="e">
        <f>'[5]ADJ SUMMARY'!#REF!</f>
        <v>#REF!</v>
      </c>
      <c r="B112" s="278" t="e">
        <f>'[5]ADJ SUMMARY'!#REF!</f>
        <v>#REF!</v>
      </c>
      <c r="C112" s="279"/>
      <c r="D112" s="279"/>
      <c r="E112" s="286"/>
      <c r="F112" s="309" t="e">
        <f>'[5]ADJ SUMMARY'!#REF!</f>
        <v>#REF!</v>
      </c>
    </row>
    <row r="113" spans="1:9" hidden="1">
      <c r="A113" s="277" t="e">
        <f>'[5]ADJ SUMMARY'!#REF!</f>
        <v>#REF!</v>
      </c>
      <c r="B113" s="278" t="e">
        <f>'[5]ADJ SUMMARY'!#REF!</f>
        <v>#REF!</v>
      </c>
      <c r="C113" s="279"/>
      <c r="D113" s="279"/>
      <c r="E113" s="286"/>
      <c r="F113" s="309" t="e">
        <f>'[5]ADJ SUMMARY'!#REF!</f>
        <v>#REF!</v>
      </c>
    </row>
    <row r="114" spans="1:9" hidden="1">
      <c r="A114" s="277" t="e">
        <f>'[5]ADJ SUMMARY'!#REF!</f>
        <v>#REF!</v>
      </c>
      <c r="B114" s="278" t="e">
        <f>'[5]ADJ SUMMARY'!#REF!</f>
        <v>#REF!</v>
      </c>
      <c r="C114" s="279"/>
      <c r="D114" s="279"/>
      <c r="E114" s="286"/>
      <c r="F114" s="309" t="e">
        <f>'[5]ADJ SUMMARY'!#REF!</f>
        <v>#REF!</v>
      </c>
    </row>
    <row r="115" spans="1:9" hidden="1">
      <c r="A115" s="277" t="e">
        <f>'[5]ADJ SUMMARY'!#REF!</f>
        <v>#REF!</v>
      </c>
      <c r="B115" s="278" t="e">
        <f>'[5]ADJ SUMMARY'!#REF!</f>
        <v>#REF!</v>
      </c>
      <c r="C115" s="279"/>
      <c r="D115" s="279"/>
      <c r="E115" s="286"/>
      <c r="F115" s="309" t="e">
        <f>'[5]ADJ SUMMARY'!#REF!</f>
        <v>#REF!</v>
      </c>
    </row>
    <row r="116" spans="1:9" hidden="1">
      <c r="A116" s="277" t="e">
        <f>'[5]ADJ SUMMARY'!#REF!</f>
        <v>#REF!</v>
      </c>
      <c r="B116" s="278" t="e">
        <f>'[5]ADJ SUMMARY'!#REF!</f>
        <v>#REF!</v>
      </c>
      <c r="C116" s="279"/>
      <c r="D116" s="279"/>
      <c r="E116" s="286"/>
      <c r="F116" s="309" t="e">
        <f>'[5]ADJ SUMMARY'!#REF!</f>
        <v>#REF!</v>
      </c>
    </row>
    <row r="117" spans="1:9" hidden="1">
      <c r="A117" s="277" t="e">
        <f>'[5]ADJ SUMMARY'!#REF!</f>
        <v>#REF!</v>
      </c>
      <c r="B117" s="278" t="e">
        <f>'[5]ADJ SUMMARY'!#REF!</f>
        <v>#REF!</v>
      </c>
      <c r="C117" s="279"/>
      <c r="D117" s="279"/>
      <c r="E117" s="286"/>
      <c r="F117" s="309" t="e">
        <f>'[5]ADJ SUMMARY'!#REF!</f>
        <v>#REF!</v>
      </c>
    </row>
    <row r="118" spans="1:9" hidden="1">
      <c r="A118" s="277" t="e">
        <f>'[5]ADJ SUMMARY'!#REF!</f>
        <v>#REF!</v>
      </c>
      <c r="B118" s="278" t="e">
        <f>'[5]ADJ SUMMARY'!#REF!</f>
        <v>#REF!</v>
      </c>
      <c r="C118" s="279"/>
      <c r="D118" s="279"/>
      <c r="E118" s="286"/>
      <c r="F118" s="309" t="e">
        <f>'[5]ADJ SUMMARY'!#REF!</f>
        <v>#REF!</v>
      </c>
    </row>
    <row r="119" spans="1:9" ht="13.5" hidden="1" customHeight="1">
      <c r="A119" s="277" t="e">
        <f>'[5]ADJ SUMMARY'!#REF!</f>
        <v>#REF!</v>
      </c>
      <c r="B119" s="278" t="e">
        <f>'[5]ADJ SUMMARY'!#REF!</f>
        <v>#REF!</v>
      </c>
      <c r="C119" s="279"/>
      <c r="D119" s="279"/>
      <c r="E119" s="286"/>
      <c r="F119" s="309" t="e">
        <f>'[5]ADJ SUMMARY'!#REF!</f>
        <v>#REF!</v>
      </c>
    </row>
    <row r="120" spans="1:9" ht="0.75" hidden="1" customHeight="1">
      <c r="A120" s="277" t="e">
        <f>'[5]ADJ SUMMARY'!#REF!</f>
        <v>#REF!</v>
      </c>
      <c r="B120" s="278" t="e">
        <f>'[5]ADJ SUMMARY'!#REF!</f>
        <v>#REF!</v>
      </c>
      <c r="C120" s="279"/>
      <c r="D120" s="279"/>
      <c r="E120" s="286"/>
      <c r="F120" s="309" t="e">
        <f>'[5]ADJ SUMMARY'!#REF!</f>
        <v>#REF!</v>
      </c>
    </row>
    <row r="121" spans="1:9" ht="13.5" hidden="1" customHeight="1">
      <c r="B121" s="278" t="s">
        <v>250</v>
      </c>
      <c r="C121" s="279"/>
      <c r="D121" s="279"/>
      <c r="E121" s="286"/>
      <c r="F121" s="292" t="e">
        <f>SUM(F83:F120)</f>
        <v>#REF!</v>
      </c>
    </row>
    <row r="122" spans="1:9" hidden="1">
      <c r="C122" s="279"/>
      <c r="D122" s="279"/>
      <c r="E122" s="279"/>
      <c r="F122" s="271"/>
      <c r="G122" s="310"/>
    </row>
    <row r="123" spans="1:9" hidden="1">
      <c r="B123" s="278" t="str">
        <f>B45</f>
        <v>Weighted Average Cost of Debt</v>
      </c>
      <c r="C123" s="311"/>
      <c r="D123" s="311"/>
      <c r="E123" s="312"/>
      <c r="F123" s="313" t="e">
        <f>'[5]RR SUMMARY'!#REF!</f>
        <v>#REF!</v>
      </c>
      <c r="H123" s="314" t="s">
        <v>251</v>
      </c>
      <c r="I123" s="300"/>
    </row>
    <row r="124" spans="1:9" hidden="1">
      <c r="C124" s="279"/>
      <c r="D124" s="279"/>
      <c r="F124" s="271"/>
    </row>
    <row r="125" spans="1:9" hidden="1">
      <c r="B125" s="278" t="s">
        <v>121</v>
      </c>
      <c r="C125" s="279"/>
      <c r="D125" s="279"/>
      <c r="E125" s="286"/>
      <c r="F125" s="286" t="e">
        <f>F121*F123</f>
        <v>#REF!</v>
      </c>
    </row>
    <row r="126" spans="1:9" hidden="1">
      <c r="C126" s="279"/>
      <c r="D126" s="279"/>
      <c r="E126" s="279"/>
      <c r="F126" s="271"/>
    </row>
    <row r="127" spans="1:9" hidden="1">
      <c r="B127" s="278" t="s">
        <v>252</v>
      </c>
      <c r="C127" s="279"/>
      <c r="D127" s="279"/>
      <c r="F127" s="315">
        <v>21469</v>
      </c>
      <c r="H127" s="316" t="s">
        <v>253</v>
      </c>
    </row>
    <row r="128" spans="1:9" hidden="1">
      <c r="C128" s="279"/>
      <c r="D128" s="279"/>
      <c r="E128" s="279"/>
      <c r="F128" s="271"/>
    </row>
    <row r="129" spans="1:7" hidden="1">
      <c r="B129" s="278" t="s">
        <v>122</v>
      </c>
      <c r="C129" s="279"/>
      <c r="D129" s="279"/>
      <c r="E129" s="286"/>
      <c r="F129" s="286" t="e">
        <f>F125-F127</f>
        <v>#REF!</v>
      </c>
    </row>
    <row r="130" spans="1:7" hidden="1">
      <c r="B130" s="278" t="s">
        <v>123</v>
      </c>
      <c r="D130" s="279"/>
      <c r="E130" s="317"/>
      <c r="F130" s="318">
        <v>0.35</v>
      </c>
    </row>
    <row r="131" spans="1:7" hidden="1">
      <c r="D131" s="279"/>
      <c r="E131" s="279"/>
      <c r="F131" s="271"/>
    </row>
    <row r="132" spans="1:7" hidden="1">
      <c r="B132" s="278" t="s">
        <v>124</v>
      </c>
      <c r="D132" s="279"/>
      <c r="E132" s="286"/>
      <c r="F132" s="286" t="e">
        <f>F129*-F130</f>
        <v>#REF!</v>
      </c>
      <c r="G132" s="286"/>
    </row>
    <row r="133" spans="1:7" ht="13.5" hidden="1" thickTop="1">
      <c r="D133" s="279"/>
      <c r="E133" s="286"/>
      <c r="F133" s="319"/>
    </row>
    <row r="134" spans="1:7" hidden="1">
      <c r="A134" s="320"/>
      <c r="F134" s="271"/>
    </row>
    <row r="135" spans="1:7" hidden="1">
      <c r="A135" s="320"/>
      <c r="B135" s="281" t="s">
        <v>233</v>
      </c>
      <c r="F135" s="271"/>
    </row>
    <row r="136" spans="1:7" hidden="1">
      <c r="A136" s="320"/>
      <c r="B136" s="278" t="s">
        <v>234</v>
      </c>
      <c r="C136" s="286">
        <f>C58</f>
        <v>2430</v>
      </c>
      <c r="F136" s="271"/>
    </row>
    <row r="137" spans="1:7" hidden="1">
      <c r="A137" s="320"/>
      <c r="B137" s="278" t="s">
        <v>236</v>
      </c>
      <c r="C137" s="271">
        <f>C59</f>
        <v>2935</v>
      </c>
      <c r="F137" s="271"/>
    </row>
    <row r="138" spans="1:7" hidden="1">
      <c r="A138" s="320"/>
      <c r="B138" s="278" t="s">
        <v>237</v>
      </c>
      <c r="C138" s="292">
        <f>C136+C137</f>
        <v>5365</v>
      </c>
      <c r="F138" s="271"/>
    </row>
    <row r="139" spans="1:7" hidden="1">
      <c r="A139" s="320"/>
      <c r="C139" s="286"/>
      <c r="F139" s="271"/>
    </row>
    <row r="140" spans="1:7" hidden="1">
      <c r="A140" s="320"/>
      <c r="C140" s="293"/>
      <c r="D140" s="276"/>
      <c r="E140" s="276" t="s">
        <v>238</v>
      </c>
      <c r="F140" s="271"/>
    </row>
    <row r="141" spans="1:7" hidden="1">
      <c r="A141" s="320"/>
      <c r="C141" s="283" t="s">
        <v>239</v>
      </c>
      <c r="D141" s="283" t="s">
        <v>240</v>
      </c>
      <c r="E141" s="283" t="s">
        <v>24</v>
      </c>
      <c r="F141" s="271"/>
    </row>
    <row r="142" spans="1:7" hidden="1">
      <c r="A142" s="320"/>
      <c r="B142" s="278" t="s">
        <v>241</v>
      </c>
      <c r="C142" s="286" t="e">
        <f>$C$64</f>
        <v>#REF!</v>
      </c>
      <c r="D142" s="321" t="e">
        <f>C142/C145</f>
        <v>#REF!</v>
      </c>
      <c r="E142" s="286" t="e">
        <f>D142*E145</f>
        <v>#REF!</v>
      </c>
      <c r="F142" s="271"/>
    </row>
    <row r="143" spans="1:7" hidden="1">
      <c r="A143" s="320"/>
      <c r="B143" s="278" t="s">
        <v>242</v>
      </c>
      <c r="C143" s="271" t="e">
        <f>$C$65</f>
        <v>#REF!</v>
      </c>
      <c r="D143" s="322" t="e">
        <f>C143/C145</f>
        <v>#REF!</v>
      </c>
      <c r="E143" s="323" t="e">
        <f>D143*E145</f>
        <v>#REF!</v>
      </c>
      <c r="F143" s="271"/>
    </row>
    <row r="144" spans="1:7" hidden="1">
      <c r="A144" s="320"/>
      <c r="B144" s="278" t="s">
        <v>243</v>
      </c>
      <c r="C144" s="271" t="e">
        <f>$C$66</f>
        <v>#REF!</v>
      </c>
      <c r="D144" s="322" t="e">
        <f>C144/C145</f>
        <v>#REF!</v>
      </c>
      <c r="E144" s="323" t="e">
        <f>E145*D144</f>
        <v>#REF!</v>
      </c>
      <c r="F144" s="271"/>
    </row>
    <row r="145" spans="1:6" hidden="1">
      <c r="A145" s="320"/>
      <c r="B145" s="278" t="s">
        <v>244</v>
      </c>
      <c r="C145" s="292" t="e">
        <f>C142+C143+C144</f>
        <v>#REF!</v>
      </c>
      <c r="D145" s="324" t="e">
        <f>D142+D143+D144</f>
        <v>#REF!</v>
      </c>
      <c r="E145" s="292">
        <f>C138</f>
        <v>5365</v>
      </c>
      <c r="F145" s="271"/>
    </row>
    <row r="146" spans="1:6" hidden="1">
      <c r="A146" s="320"/>
      <c r="F146" s="271"/>
    </row>
    <row r="147" spans="1:6" hidden="1">
      <c r="A147" s="320"/>
      <c r="B147" s="278" t="s">
        <v>245</v>
      </c>
      <c r="C147" s="286" t="e">
        <f>$C$69</f>
        <v>#REF!</v>
      </c>
      <c r="D147" s="321" t="e">
        <f>C147/C149</f>
        <v>#REF!</v>
      </c>
      <c r="E147" s="286" t="e">
        <f>D147*E149</f>
        <v>#REF!</v>
      </c>
      <c r="F147" s="271"/>
    </row>
    <row r="148" spans="1:6" hidden="1">
      <c r="A148" s="320"/>
      <c r="B148" s="278" t="s">
        <v>246</v>
      </c>
      <c r="C148" s="271" t="e">
        <f>$C$70</f>
        <v>#REF!</v>
      </c>
      <c r="D148" s="321" t="e">
        <f>C148/C149</f>
        <v>#REF!</v>
      </c>
      <c r="E148" s="271" t="e">
        <f>D148*E149</f>
        <v>#REF!</v>
      </c>
      <c r="F148" s="271"/>
    </row>
    <row r="149" spans="1:6" hidden="1">
      <c r="A149" s="320"/>
      <c r="B149" s="278" t="s">
        <v>244</v>
      </c>
      <c r="C149" s="292" t="e">
        <f>C147+C148</f>
        <v>#REF!</v>
      </c>
      <c r="D149" s="324" t="e">
        <f>D147+D148</f>
        <v>#REF!</v>
      </c>
      <c r="E149" s="292" t="e">
        <f>E142</f>
        <v>#REF!</v>
      </c>
      <c r="F149" s="271"/>
    </row>
    <row r="150" spans="1:6" hidden="1">
      <c r="A150" s="320"/>
      <c r="F150" s="271"/>
    </row>
    <row r="151" spans="1:6" hidden="1">
      <c r="A151" s="320"/>
      <c r="B151" s="278" t="s">
        <v>247</v>
      </c>
      <c r="C151" s="286" t="e">
        <f>$C$73</f>
        <v>#REF!</v>
      </c>
      <c r="D151" s="325" t="e">
        <f>C151/C153</f>
        <v>#REF!</v>
      </c>
      <c r="E151" s="286" t="e">
        <f>E153*D151</f>
        <v>#REF!</v>
      </c>
      <c r="F151" s="271"/>
    </row>
    <row r="152" spans="1:6" hidden="1">
      <c r="A152" s="320"/>
      <c r="B152" s="278" t="s">
        <v>248</v>
      </c>
      <c r="C152" s="271" t="e">
        <f>C$74</f>
        <v>#REF!</v>
      </c>
      <c r="D152" s="326" t="e">
        <f>C152/C153</f>
        <v>#REF!</v>
      </c>
      <c r="E152" s="271" t="e">
        <f>E153*D152</f>
        <v>#REF!</v>
      </c>
      <c r="F152" s="271"/>
    </row>
    <row r="153" spans="1:6" hidden="1">
      <c r="A153" s="320"/>
      <c r="B153" s="278" t="s">
        <v>244</v>
      </c>
      <c r="C153" s="292" t="e">
        <f>SUM(C151:C152)</f>
        <v>#REF!</v>
      </c>
      <c r="D153" s="327" t="e">
        <f>SUM(D151:D152)</f>
        <v>#REF!</v>
      </c>
      <c r="E153" s="292" t="e">
        <f>E143</f>
        <v>#REF!</v>
      </c>
      <c r="F153" s="271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5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2"/>
  <sheetViews>
    <sheetView zoomScaleNormal="100" zoomScaleSheetLayoutView="100" workbookViewId="0">
      <pane xSplit="1" ySplit="9" topLeftCell="B10" activePane="bottomRight" state="frozen"/>
      <selection activeCell="U26" sqref="U26"/>
      <selection pane="topRight" activeCell="U26" sqref="U26"/>
      <selection pane="bottomLeft" activeCell="U26" sqref="U26"/>
      <selection pane="bottomRight" activeCell="B10" sqref="B10"/>
    </sheetView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421"/>
    </row>
    <row r="2" spans="1:8" ht="4.5" customHeight="1"/>
    <row r="3" spans="1:8" ht="12">
      <c r="A3" s="811" t="s">
        <v>115</v>
      </c>
      <c r="B3" s="811"/>
      <c r="C3" s="811"/>
      <c r="E3" s="10"/>
      <c r="F3" s="11"/>
      <c r="G3" s="10"/>
    </row>
    <row r="4" spans="1:8" ht="12">
      <c r="A4" s="8" t="s">
        <v>220</v>
      </c>
      <c r="B4" s="8"/>
      <c r="C4" s="8"/>
      <c r="E4" s="12" t="s">
        <v>79</v>
      </c>
      <c r="F4" s="12"/>
      <c r="G4" s="12"/>
    </row>
    <row r="5" spans="1:8" ht="12">
      <c r="A5" s="812" t="s">
        <v>521</v>
      </c>
      <c r="B5" s="811"/>
      <c r="C5" s="811"/>
      <c r="E5" s="12" t="s">
        <v>80</v>
      </c>
      <c r="F5" s="12"/>
      <c r="G5" s="12"/>
    </row>
    <row r="6" spans="1:8" ht="12">
      <c r="A6" s="8" t="s">
        <v>81</v>
      </c>
      <c r="B6" s="8"/>
      <c r="C6" s="8"/>
      <c r="E6" s="13"/>
      <c r="F6" s="14" t="s">
        <v>82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73</v>
      </c>
      <c r="C8" s="18"/>
      <c r="E8" s="19" t="s">
        <v>83</v>
      </c>
      <c r="F8" s="20" t="s">
        <v>84</v>
      </c>
      <c r="G8" s="19" t="s">
        <v>85</v>
      </c>
      <c r="H8" s="21" t="s">
        <v>86</v>
      </c>
    </row>
    <row r="9" spans="1:8" ht="12">
      <c r="A9" s="15"/>
      <c r="B9" s="9" t="s">
        <v>33</v>
      </c>
      <c r="E9" s="22"/>
      <c r="F9" s="16"/>
      <c r="G9" s="22"/>
    </row>
    <row r="10" spans="1:8" ht="12">
      <c r="A10" s="15"/>
      <c r="B10" s="193"/>
      <c r="E10" s="192"/>
      <c r="F10" s="191"/>
      <c r="G10" s="191"/>
    </row>
    <row r="11" spans="1:8" ht="12">
      <c r="A11" s="15"/>
      <c r="B11" s="193"/>
      <c r="E11" s="192"/>
      <c r="F11" s="191"/>
      <c r="G11" s="191"/>
    </row>
    <row r="12" spans="1:8" ht="12">
      <c r="A12" s="15"/>
      <c r="E12" s="22"/>
      <c r="F12" s="16"/>
      <c r="G12" s="16"/>
    </row>
    <row r="13" spans="1:8" ht="5.25" customHeight="1">
      <c r="A13" s="262"/>
      <c r="E13" s="22"/>
      <c r="F13" s="16"/>
      <c r="G13" s="16"/>
    </row>
    <row r="14" spans="1:8" ht="12">
      <c r="A14" s="262"/>
      <c r="E14" s="22"/>
      <c r="F14" s="16"/>
      <c r="G14" s="16"/>
    </row>
    <row r="15" spans="1:8" ht="12">
      <c r="A15" s="15">
        <v>1</v>
      </c>
      <c r="B15" s="9" t="s">
        <v>87</v>
      </c>
      <c r="E15" s="23">
        <f>F15+G15</f>
        <v>146098</v>
      </c>
      <c r="F15" s="187">
        <f>F94</f>
        <v>146098</v>
      </c>
      <c r="G15" s="187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88</v>
      </c>
      <c r="E16" s="25">
        <f>F16+G16</f>
        <v>4595</v>
      </c>
      <c r="F16" s="188">
        <f>F99</f>
        <v>4595</v>
      </c>
      <c r="G16" s="188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36</v>
      </c>
      <c r="E17" s="26">
        <f>F17+G17</f>
        <v>69723</v>
      </c>
      <c r="F17" s="189">
        <f>F103-F99</f>
        <v>69723</v>
      </c>
      <c r="G17" s="189">
        <f>G103-G99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89</v>
      </c>
      <c r="E18" s="25">
        <f>SUM(E15:E17)</f>
        <v>220416</v>
      </c>
      <c r="F18" s="25">
        <f>SUM(F15:F17)</f>
        <v>220416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38</v>
      </c>
      <c r="E20" s="25"/>
      <c r="F20" s="25"/>
      <c r="G20" s="25"/>
      <c r="H20" s="24"/>
    </row>
    <row r="21" spans="1:8" ht="12">
      <c r="A21" s="15"/>
      <c r="B21" s="9" t="s">
        <v>223</v>
      </c>
      <c r="E21" s="25"/>
      <c r="F21" s="188"/>
      <c r="G21" s="188"/>
      <c r="H21" s="190" t="str">
        <f>IF(E21=F21+G21," ","ERROR")</f>
        <v xml:space="preserve"> </v>
      </c>
    </row>
    <row r="22" spans="1:8" ht="12">
      <c r="A22" s="15">
        <v>5</v>
      </c>
      <c r="B22" s="9" t="s">
        <v>90</v>
      </c>
      <c r="E22" s="25">
        <f>F22+G22</f>
        <v>112605</v>
      </c>
      <c r="F22" s="188">
        <f>F107</f>
        <v>112605</v>
      </c>
      <c r="G22" s="188">
        <f>G107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91</v>
      </c>
      <c r="E23" s="25">
        <f>F23+G23</f>
        <v>988</v>
      </c>
      <c r="F23" s="188">
        <f>F110+F111</f>
        <v>988</v>
      </c>
      <c r="G23" s="188">
        <f>G109+G110+G111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92</v>
      </c>
      <c r="E24" s="26">
        <f>F24+G24</f>
        <v>2932</v>
      </c>
      <c r="F24" s="189">
        <f>F108+F109-1</f>
        <v>2932</v>
      </c>
      <c r="G24" s="189">
        <f>G108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93</v>
      </c>
      <c r="E25" s="25">
        <f>SUM(E22:E24)</f>
        <v>116525</v>
      </c>
      <c r="F25" s="25">
        <f>SUM(F22:F24)</f>
        <v>116525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62"/>
      <c r="E26" s="25"/>
      <c r="F26" s="25"/>
      <c r="G26" s="25"/>
      <c r="H26" s="24"/>
    </row>
    <row r="27" spans="1:8" ht="12">
      <c r="A27" s="15"/>
      <c r="B27" s="9" t="s">
        <v>43</v>
      </c>
      <c r="E27" s="25"/>
      <c r="F27" s="25"/>
      <c r="G27" s="25"/>
      <c r="H27" s="24"/>
    </row>
    <row r="28" spans="1:8" ht="12">
      <c r="A28" s="15">
        <v>9</v>
      </c>
      <c r="B28" s="9" t="s">
        <v>94</v>
      </c>
      <c r="E28" s="25">
        <f>F28+G28</f>
        <v>974</v>
      </c>
      <c r="F28" s="188">
        <f>F118</f>
        <v>974</v>
      </c>
      <c r="G28" s="188">
        <f>G118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95</v>
      </c>
      <c r="E29" s="25">
        <f>F29+G29</f>
        <v>492</v>
      </c>
      <c r="F29" s="188">
        <f>F120+F121</f>
        <v>492</v>
      </c>
      <c r="G29" s="188">
        <f>G120+G121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96</v>
      </c>
      <c r="E30" s="26">
        <f>F30+G30</f>
        <v>210</v>
      </c>
      <c r="F30" s="189">
        <f>F122</f>
        <v>210</v>
      </c>
      <c r="G30" s="189">
        <f>G122</f>
        <v>0</v>
      </c>
      <c r="H30" s="24" t="str">
        <f>IF(E30=F30+G30," ","ERROR")</f>
        <v xml:space="preserve"> </v>
      </c>
    </row>
    <row r="31" spans="1:8" ht="12">
      <c r="A31" s="382">
        <v>12</v>
      </c>
      <c r="B31" s="9" t="s">
        <v>97</v>
      </c>
      <c r="E31" s="25">
        <f>SUM(E28:E30)</f>
        <v>1676</v>
      </c>
      <c r="F31" s="188">
        <f>SUM(F28:F30)</f>
        <v>1676</v>
      </c>
      <c r="G31" s="188">
        <f>SUM(G28:G30)</f>
        <v>0</v>
      </c>
      <c r="H31" s="24" t="str">
        <f>IF(E31=F31+G31," ","ERROR")</f>
        <v xml:space="preserve"> </v>
      </c>
    </row>
    <row r="32" spans="1:8" ht="12">
      <c r="A32" s="262"/>
      <c r="E32" s="25"/>
      <c r="F32" s="188"/>
      <c r="G32" s="188"/>
      <c r="H32" s="24"/>
    </row>
    <row r="33" spans="1:10" ht="12">
      <c r="A33" s="15"/>
      <c r="B33" s="9" t="s">
        <v>47</v>
      </c>
      <c r="E33" s="25"/>
      <c r="F33" s="188"/>
      <c r="G33" s="188"/>
      <c r="H33" s="24"/>
    </row>
    <row r="34" spans="1:10" ht="12">
      <c r="A34" s="15">
        <v>13</v>
      </c>
      <c r="B34" s="9" t="s">
        <v>94</v>
      </c>
      <c r="E34" s="25">
        <f>F34+G34</f>
        <v>12049</v>
      </c>
      <c r="F34" s="188">
        <f>F149</f>
        <v>12049</v>
      </c>
      <c r="G34" s="188">
        <f>G149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95</v>
      </c>
      <c r="E35" s="25">
        <f>F35+G35</f>
        <v>9866</v>
      </c>
      <c r="F35" s="188">
        <f>F151</f>
        <v>9866</v>
      </c>
      <c r="G35" s="188">
        <f>G151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96</v>
      </c>
      <c r="E36" s="26">
        <f>F36+G36</f>
        <v>12807</v>
      </c>
      <c r="F36" s="189">
        <f>F152</f>
        <v>12807</v>
      </c>
      <c r="G36" s="189">
        <f>G152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98</v>
      </c>
      <c r="E37" s="25">
        <f>SUM(E34:E36)</f>
        <v>34722</v>
      </c>
      <c r="F37" s="25">
        <f>SUM(F34:F36)</f>
        <v>34722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49</v>
      </c>
      <c r="E39" s="25">
        <f>F39+G39</f>
        <v>7352</v>
      </c>
      <c r="F39" s="188">
        <f>F163</f>
        <v>7352</v>
      </c>
      <c r="G39" s="188">
        <f>G163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50</v>
      </c>
      <c r="E40" s="25">
        <f>F40+G40</f>
        <v>7595</v>
      </c>
      <c r="F40" s="188">
        <f>F169-1</f>
        <v>7595</v>
      </c>
      <c r="G40" s="188">
        <f>G169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99</v>
      </c>
      <c r="E41" s="25">
        <f>F41+G41</f>
        <v>0</v>
      </c>
      <c r="F41" s="188">
        <f>F175</f>
        <v>0</v>
      </c>
      <c r="G41" s="188">
        <f>G175</f>
        <v>0</v>
      </c>
      <c r="H41" s="24" t="str">
        <f t="shared" si="0"/>
        <v xml:space="preserve"> </v>
      </c>
    </row>
    <row r="42" spans="1:10" ht="12">
      <c r="A42" s="262"/>
      <c r="E42" s="25"/>
      <c r="F42" s="188"/>
      <c r="G42" s="188"/>
      <c r="H42" s="24"/>
    </row>
    <row r="43" spans="1:10" ht="12">
      <c r="A43" s="15"/>
      <c r="B43" s="9" t="s">
        <v>100</v>
      </c>
      <c r="E43" s="25"/>
      <c r="F43" s="188"/>
      <c r="G43" s="188"/>
      <c r="H43" s="24"/>
    </row>
    <row r="44" spans="1:10" ht="12">
      <c r="A44" s="15">
        <v>20</v>
      </c>
      <c r="B44" s="9" t="s">
        <v>94</v>
      </c>
      <c r="E44" s="25">
        <f>F44+G44</f>
        <v>13763</v>
      </c>
      <c r="F44" s="188">
        <f>F189</f>
        <v>13763</v>
      </c>
      <c r="G44" s="188">
        <f>G189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434</v>
      </c>
      <c r="E45" s="25">
        <f>F45+G45</f>
        <v>6260</v>
      </c>
      <c r="F45" s="188">
        <f>F191+F192+F193+F194</f>
        <v>6260</v>
      </c>
      <c r="G45" s="188">
        <f>G191+G192+G193+G194</f>
        <v>0</v>
      </c>
      <c r="H45" s="24" t="str">
        <f>IF(E45=F45+G45," ","ERROR")</f>
        <v xml:space="preserve"> </v>
      </c>
      <c r="J45" s="25"/>
    </row>
    <row r="46" spans="1:10" ht="12">
      <c r="A46" s="338">
        <v>22</v>
      </c>
      <c r="B46" s="9" t="s">
        <v>432</v>
      </c>
      <c r="E46" s="25">
        <f>F46+G46</f>
        <v>0</v>
      </c>
      <c r="F46" s="188">
        <f>F195+F197+F198+F199+F200</f>
        <v>0</v>
      </c>
      <c r="G46" s="188">
        <f>G195+G197+G198+G199+G200</f>
        <v>0</v>
      </c>
      <c r="H46" s="24"/>
      <c r="J46" s="25"/>
    </row>
    <row r="47" spans="1:10" ht="12">
      <c r="A47" s="15">
        <v>23</v>
      </c>
      <c r="B47" s="9" t="s">
        <v>96</v>
      </c>
      <c r="E47" s="26">
        <f>F47+G47</f>
        <v>0</v>
      </c>
      <c r="F47" s="189">
        <v>0</v>
      </c>
      <c r="G47" s="189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101</v>
      </c>
      <c r="E48" s="26">
        <f>SUM(E44:E47)</f>
        <v>20023</v>
      </c>
      <c r="F48" s="26">
        <f>SUM(F44:F47)</f>
        <v>20023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54</v>
      </c>
      <c r="E49" s="26">
        <f>E25+E31+E37+E39+E40+E41+E48+E21</f>
        <v>187893</v>
      </c>
      <c r="F49" s="26">
        <f>F25+F31+F37+F39+F40+F41+F48+F21</f>
        <v>187893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102</v>
      </c>
      <c r="E51" s="34">
        <f>E18-E49</f>
        <v>32523</v>
      </c>
      <c r="F51" s="34">
        <f>F18-F49</f>
        <v>32523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103</v>
      </c>
      <c r="E53" s="25"/>
      <c r="F53" s="25"/>
      <c r="G53" s="25"/>
      <c r="H53" s="24"/>
    </row>
    <row r="54" spans="1:8" ht="12">
      <c r="A54" s="15">
        <v>27</v>
      </c>
      <c r="B54" s="27" t="s">
        <v>104</v>
      </c>
      <c r="D54" s="28">
        <v>0.35</v>
      </c>
      <c r="E54" s="25">
        <f>F54+G54</f>
        <v>-841</v>
      </c>
      <c r="F54" s="188">
        <f>F209</f>
        <v>-841</v>
      </c>
      <c r="G54" s="188">
        <f>G209</f>
        <v>0</v>
      </c>
      <c r="H54" s="24" t="str">
        <f>IF(E54=F54+G54," ","ERROR")</f>
        <v xml:space="preserve"> </v>
      </c>
    </row>
    <row r="55" spans="1:8" ht="12">
      <c r="A55" s="262">
        <v>28</v>
      </c>
      <c r="B55" s="27" t="s">
        <v>260</v>
      </c>
      <c r="D55" s="28"/>
      <c r="E55" s="25"/>
      <c r="F55" s="188"/>
      <c r="G55" s="188"/>
      <c r="H55" s="24"/>
    </row>
    <row r="56" spans="1:8" ht="12">
      <c r="A56" s="15">
        <v>29</v>
      </c>
      <c r="B56" s="9" t="s">
        <v>105</v>
      </c>
      <c r="E56" s="25">
        <f>F56+G56</f>
        <v>9923</v>
      </c>
      <c r="F56" s="188">
        <f>F210</f>
        <v>9923</v>
      </c>
      <c r="G56" s="188">
        <f>G210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106</v>
      </c>
      <c r="E57" s="26">
        <f>F57+G57</f>
        <v>-17</v>
      </c>
      <c r="F57" s="189">
        <f>F211</f>
        <v>-17</v>
      </c>
      <c r="G57" s="189">
        <f>G211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60</v>
      </c>
      <c r="E59" s="35">
        <f>E51-(+E54+E56+E57)</f>
        <v>23458</v>
      </c>
      <c r="F59" s="35">
        <f>F51-(F54+F56+F57)</f>
        <v>23458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107</v>
      </c>
      <c r="G61" s="30"/>
      <c r="H61" s="24"/>
    </row>
    <row r="62" spans="1:8" ht="12">
      <c r="A62" s="15"/>
      <c r="B62" s="27" t="s">
        <v>108</v>
      </c>
      <c r="G62" s="30"/>
      <c r="H62" s="24"/>
    </row>
    <row r="63" spans="1:8" ht="12">
      <c r="A63" s="15">
        <v>32</v>
      </c>
      <c r="B63" s="9" t="s">
        <v>109</v>
      </c>
      <c r="E63" s="23">
        <f>F63+G63</f>
        <v>26868</v>
      </c>
      <c r="F63" s="187">
        <f>F229</f>
        <v>26868</v>
      </c>
      <c r="G63" s="187">
        <f>G229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110</v>
      </c>
      <c r="E64" s="25">
        <f>F64+G64</f>
        <v>390508</v>
      </c>
      <c r="F64" s="188">
        <f>F245</f>
        <v>390508</v>
      </c>
      <c r="G64" s="188">
        <f>G245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111</v>
      </c>
      <c r="E65" s="26">
        <f>F65+G65</f>
        <v>82624</v>
      </c>
      <c r="F65" s="189">
        <f>F258+F218</f>
        <v>82624</v>
      </c>
      <c r="G65" s="189">
        <f>G258+G218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112</v>
      </c>
      <c r="E66" s="25">
        <f>SUM(E63:E65)</f>
        <v>500000</v>
      </c>
      <c r="F66" s="188">
        <f>SUM(F63:F65)</f>
        <v>500000</v>
      </c>
      <c r="G66" s="188">
        <f>SUM(G63:G65)</f>
        <v>0</v>
      </c>
      <c r="H66" s="24" t="str">
        <f t="shared" si="1"/>
        <v xml:space="preserve"> </v>
      </c>
    </row>
    <row r="67" spans="1:8" ht="12">
      <c r="A67" s="262"/>
      <c r="E67" s="25"/>
      <c r="F67" s="188"/>
      <c r="G67" s="188"/>
      <c r="H67" s="24"/>
    </row>
    <row r="68" spans="1:8" ht="12">
      <c r="A68" s="15"/>
      <c r="B68" s="9" t="s">
        <v>435</v>
      </c>
      <c r="E68" s="25"/>
      <c r="F68" s="188"/>
      <c r="G68" s="188"/>
      <c r="H68" s="24" t="str">
        <f t="shared" si="1"/>
        <v xml:space="preserve"> </v>
      </c>
    </row>
    <row r="69" spans="1:8" ht="12">
      <c r="A69" s="15">
        <v>36</v>
      </c>
      <c r="B69" s="9" t="s">
        <v>109</v>
      </c>
      <c r="E69" s="25">
        <f>F69+G69</f>
        <v>-10317</v>
      </c>
      <c r="F69" s="188">
        <f>F264+F272</f>
        <v>-10317</v>
      </c>
      <c r="G69" s="188">
        <f>G264+G272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110</v>
      </c>
      <c r="E70" s="25">
        <f>F70+G70</f>
        <v>-129098</v>
      </c>
      <c r="F70" s="188">
        <f>F265</f>
        <v>-129098</v>
      </c>
      <c r="G70" s="188">
        <f>G265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111</v>
      </c>
      <c r="E71" s="26">
        <f>F71+G71</f>
        <v>-23473</v>
      </c>
      <c r="F71" s="189">
        <f>F266+F270+F271+F273</f>
        <v>-23473</v>
      </c>
      <c r="G71" s="189">
        <f>G266+G270+G271+G273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436</v>
      </c>
      <c r="E72" s="342">
        <f>SUM(E69:E71)</f>
        <v>-162888</v>
      </c>
      <c r="F72" s="342">
        <f>SUM(F69:F71)</f>
        <v>-162888</v>
      </c>
      <c r="G72" s="342">
        <f>SUM(G69:G71)</f>
        <v>0</v>
      </c>
      <c r="H72" s="24" t="str">
        <f t="shared" si="1"/>
        <v xml:space="preserve"> </v>
      </c>
    </row>
    <row r="73" spans="1:8" ht="12">
      <c r="A73" s="262">
        <v>40</v>
      </c>
      <c r="B73" s="9" t="s">
        <v>189</v>
      </c>
      <c r="E73" s="25">
        <f>E66+E72</f>
        <v>337112</v>
      </c>
      <c r="F73" s="25">
        <f>F66+F72</f>
        <v>337112</v>
      </c>
      <c r="G73" s="25">
        <f>G66+G72</f>
        <v>0</v>
      </c>
      <c r="H73" s="24"/>
    </row>
    <row r="74" spans="1:8" ht="12">
      <c r="A74" s="15">
        <v>41</v>
      </c>
      <c r="B74" s="27" t="s">
        <v>113</v>
      </c>
      <c r="E74" s="343">
        <f>F74+G74</f>
        <v>-73856</v>
      </c>
      <c r="F74" s="343">
        <f>F285</f>
        <v>-73856</v>
      </c>
      <c r="G74" s="343">
        <f>G285</f>
        <v>0</v>
      </c>
      <c r="H74" s="24" t="str">
        <f t="shared" si="1"/>
        <v xml:space="preserve"> </v>
      </c>
    </row>
    <row r="75" spans="1:8" ht="12">
      <c r="A75" s="262">
        <v>42</v>
      </c>
      <c r="B75" s="243" t="s">
        <v>222</v>
      </c>
      <c r="E75" s="25">
        <f>E73+E74</f>
        <v>263256</v>
      </c>
      <c r="F75" s="25">
        <f>F73+F74</f>
        <v>263256</v>
      </c>
      <c r="G75" s="25">
        <f>G73+G74</f>
        <v>0</v>
      </c>
      <c r="H75" s="24"/>
    </row>
    <row r="76" spans="1:8" ht="12">
      <c r="A76" s="15">
        <v>43</v>
      </c>
      <c r="B76" s="9" t="s">
        <v>67</v>
      </c>
      <c r="E76" s="25">
        <f t="shared" ref="E76:E79" si="2">F76+G76</f>
        <v>9116</v>
      </c>
      <c r="F76" s="25">
        <f>F292+F293</f>
        <v>9116</v>
      </c>
      <c r="G76" s="25">
        <f>G292+G293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68</v>
      </c>
      <c r="E77" s="25">
        <f t="shared" si="2"/>
        <v>0</v>
      </c>
      <c r="F77" s="30">
        <f>F290+F291</f>
        <v>0</v>
      </c>
      <c r="G77" s="30">
        <f>G290+G291</f>
        <v>0</v>
      </c>
      <c r="H77" s="24" t="str">
        <f>IF(E79=F79+G79," ","ERROR")</f>
        <v xml:space="preserve"> </v>
      </c>
    </row>
    <row r="78" spans="1:8" ht="12">
      <c r="A78" s="338">
        <v>45</v>
      </c>
      <c r="B78" s="27" t="s">
        <v>440</v>
      </c>
      <c r="E78" s="25">
        <f t="shared" si="2"/>
        <v>-249</v>
      </c>
      <c r="F78" s="30">
        <f>F294+F295+F296+F297</f>
        <v>-249</v>
      </c>
      <c r="G78" s="30">
        <f>G294+G295</f>
        <v>0</v>
      </c>
      <c r="H78" s="24"/>
    </row>
    <row r="79" spans="1:8" ht="12">
      <c r="A79" s="15">
        <v>46</v>
      </c>
      <c r="B79" s="40" t="s">
        <v>193</v>
      </c>
      <c r="E79" s="26">
        <f t="shared" si="2"/>
        <v>15664</v>
      </c>
      <c r="F79" s="26">
        <f>F298</f>
        <v>15664</v>
      </c>
      <c r="G79" s="26">
        <f>G298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114</v>
      </c>
      <c r="G81" s="30"/>
      <c r="H81" s="24"/>
    </row>
    <row r="82" spans="1:10" ht="12.75" thickBot="1">
      <c r="A82" s="15">
        <v>47</v>
      </c>
      <c r="B82" s="31" t="s">
        <v>69</v>
      </c>
      <c r="E82" s="32">
        <f>E75+E76+E79+E77+E78</f>
        <v>287787</v>
      </c>
      <c r="F82" s="32">
        <f>F75+F76+F79+F77+F78</f>
        <v>287787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8.1511673564129028E-2</v>
      </c>
      <c r="F84" s="33">
        <f>F59/F82</f>
        <v>8.1511673564129028E-2</v>
      </c>
      <c r="G84" s="33"/>
    </row>
    <row r="86" spans="1:10" ht="11.1" customHeight="1">
      <c r="A86" s="355"/>
      <c r="B86" s="356" t="s">
        <v>33</v>
      </c>
      <c r="J86" s="544"/>
    </row>
    <row r="87" spans="1:10" ht="11.1" customHeight="1">
      <c r="A87" s="355"/>
      <c r="B87" s="357" t="s">
        <v>261</v>
      </c>
      <c r="J87" s="545"/>
    </row>
    <row r="88" spans="1:10" ht="11.1" customHeight="1">
      <c r="A88" s="358">
        <v>480000</v>
      </c>
      <c r="B88" s="357" t="s">
        <v>262</v>
      </c>
      <c r="F88" s="30">
        <f>ROUND(H88/1000,0)</f>
        <v>94233</v>
      </c>
      <c r="H88" s="192">
        <v>94232728</v>
      </c>
      <c r="I88" s="192"/>
      <c r="J88" s="545"/>
    </row>
    <row r="89" spans="1:10" ht="11.1" customHeight="1">
      <c r="A89" s="358" t="s">
        <v>263</v>
      </c>
      <c r="B89" s="357" t="s">
        <v>264</v>
      </c>
      <c r="F89" s="30">
        <f t="shared" ref="F89:F153" si="3">ROUND(H89/1000,0)</f>
        <v>46087</v>
      </c>
      <c r="H89" s="192">
        <v>46086954</v>
      </c>
      <c r="I89" s="192"/>
      <c r="J89" s="545"/>
    </row>
    <row r="90" spans="1:10" ht="11.1" customHeight="1">
      <c r="A90" s="358" t="s">
        <v>265</v>
      </c>
      <c r="B90" s="357" t="s">
        <v>266</v>
      </c>
      <c r="F90" s="30">
        <f t="shared" si="3"/>
        <v>1792</v>
      </c>
      <c r="H90" s="192">
        <v>1791920</v>
      </c>
      <c r="I90" s="192"/>
      <c r="J90" s="545"/>
    </row>
    <row r="91" spans="1:10" ht="11.1" customHeight="1">
      <c r="A91" s="358">
        <v>481400</v>
      </c>
      <c r="B91" s="357" t="s">
        <v>267</v>
      </c>
      <c r="F91" s="30">
        <f t="shared" si="3"/>
        <v>0</v>
      </c>
      <c r="H91" s="192">
        <v>0</v>
      </c>
      <c r="I91" s="192"/>
      <c r="J91" s="545"/>
    </row>
    <row r="92" spans="1:10" ht="11.1" customHeight="1">
      <c r="A92" s="358">
        <v>484000</v>
      </c>
      <c r="B92" s="357" t="s">
        <v>270</v>
      </c>
      <c r="F92" s="30">
        <f t="shared" si="3"/>
        <v>245</v>
      </c>
      <c r="H92" s="192">
        <v>244681</v>
      </c>
      <c r="I92" s="192"/>
      <c r="J92" s="545"/>
    </row>
    <row r="93" spans="1:10" ht="11.1" customHeight="1">
      <c r="A93" s="355" t="s">
        <v>268</v>
      </c>
      <c r="B93" s="357" t="s">
        <v>269</v>
      </c>
      <c r="F93" s="30">
        <f t="shared" si="3"/>
        <v>3741</v>
      </c>
      <c r="H93" s="192">
        <v>3741237</v>
      </c>
      <c r="I93" s="192"/>
      <c r="J93" s="545"/>
    </row>
    <row r="94" spans="1:10" ht="11.1" customHeight="1">
      <c r="A94" s="355"/>
      <c r="B94" s="357" t="s">
        <v>271</v>
      </c>
      <c r="F94" s="30">
        <f t="shared" si="3"/>
        <v>146098</v>
      </c>
      <c r="H94" s="192">
        <v>146097520</v>
      </c>
      <c r="I94" s="192"/>
      <c r="J94" s="545"/>
    </row>
    <row r="95" spans="1:10" ht="11.1" customHeight="1">
      <c r="A95" s="355"/>
      <c r="B95" s="357"/>
      <c r="F95" s="30">
        <f t="shared" si="3"/>
        <v>0</v>
      </c>
      <c r="H95" s="192"/>
      <c r="I95" s="192"/>
      <c r="J95" s="545"/>
    </row>
    <row r="96" spans="1:10" ht="11.1" customHeight="1">
      <c r="A96" s="355"/>
      <c r="B96" s="357" t="s">
        <v>272</v>
      </c>
      <c r="F96" s="30">
        <f t="shared" si="3"/>
        <v>0</v>
      </c>
      <c r="H96" s="192"/>
      <c r="I96" s="192"/>
      <c r="J96" s="545"/>
    </row>
    <row r="97" spans="1:10" ht="11.1" customHeight="1">
      <c r="A97" s="359">
        <v>483000</v>
      </c>
      <c r="B97" s="360" t="s">
        <v>273</v>
      </c>
      <c r="F97" s="30">
        <f t="shared" si="3"/>
        <v>61018</v>
      </c>
      <c r="H97" s="192">
        <v>61018231</v>
      </c>
      <c r="I97" s="192"/>
      <c r="J97" s="546"/>
    </row>
    <row r="98" spans="1:10" ht="11.1" customHeight="1">
      <c r="A98" s="358">
        <v>488000</v>
      </c>
      <c r="B98" s="357" t="s">
        <v>274</v>
      </c>
      <c r="F98" s="30">
        <f t="shared" si="3"/>
        <v>11</v>
      </c>
      <c r="H98" s="192">
        <v>10659</v>
      </c>
      <c r="I98" s="192"/>
      <c r="J98" s="545"/>
    </row>
    <row r="99" spans="1:10" ht="11.1" customHeight="1">
      <c r="A99" s="358">
        <v>489300</v>
      </c>
      <c r="B99" s="357" t="s">
        <v>275</v>
      </c>
      <c r="F99" s="30">
        <f t="shared" si="3"/>
        <v>4595</v>
      </c>
      <c r="H99" s="192">
        <v>4595206</v>
      </c>
      <c r="I99" s="192"/>
      <c r="J99" s="545"/>
    </row>
    <row r="100" spans="1:10" ht="11.1" customHeight="1">
      <c r="A100" s="358">
        <v>493000</v>
      </c>
      <c r="B100" s="357" t="s">
        <v>276</v>
      </c>
      <c r="F100" s="30">
        <f t="shared" si="3"/>
        <v>3</v>
      </c>
      <c r="H100" s="192">
        <v>2536</v>
      </c>
      <c r="I100" s="192"/>
      <c r="J100" s="545"/>
    </row>
    <row r="101" spans="1:10" ht="11.1" customHeight="1">
      <c r="A101" s="358">
        <v>495000</v>
      </c>
      <c r="B101" s="357" t="s">
        <v>277</v>
      </c>
      <c r="F101" s="30">
        <f t="shared" si="3"/>
        <v>11459</v>
      </c>
      <c r="H101" s="192">
        <v>11458921</v>
      </c>
      <c r="I101" s="192"/>
      <c r="J101" s="545"/>
    </row>
    <row r="102" spans="1:10" ht="11.1" customHeight="1">
      <c r="A102" s="358">
        <v>496100</v>
      </c>
      <c r="B102" s="357" t="s">
        <v>481</v>
      </c>
      <c r="F102" s="30">
        <f t="shared" si="3"/>
        <v>-2767</v>
      </c>
      <c r="H102" s="192">
        <v>-2767455</v>
      </c>
      <c r="I102" s="192"/>
      <c r="J102" s="545"/>
    </row>
    <row r="103" spans="1:10" ht="11.1" customHeight="1">
      <c r="A103" s="355"/>
      <c r="B103" s="357" t="s">
        <v>278</v>
      </c>
      <c r="F103" s="30">
        <f t="shared" si="3"/>
        <v>74318</v>
      </c>
      <c r="H103" s="192">
        <v>74318098</v>
      </c>
      <c r="I103" s="192"/>
      <c r="J103" s="545"/>
    </row>
    <row r="104" spans="1:10" ht="11.1" customHeight="1">
      <c r="A104" s="355"/>
      <c r="B104" s="357" t="s">
        <v>279</v>
      </c>
      <c r="F104" s="30">
        <f t="shared" si="3"/>
        <v>220416</v>
      </c>
      <c r="H104" s="192">
        <v>220415618</v>
      </c>
      <c r="I104" s="192"/>
      <c r="J104" s="545"/>
    </row>
    <row r="105" spans="1:10" ht="11.1" customHeight="1">
      <c r="A105" s="355"/>
      <c r="B105" s="357"/>
      <c r="F105" s="30">
        <f t="shared" si="3"/>
        <v>0</v>
      </c>
      <c r="H105" s="192"/>
      <c r="I105" s="192"/>
      <c r="J105" s="545"/>
    </row>
    <row r="106" spans="1:10" ht="11.1" customHeight="1">
      <c r="A106" s="355"/>
      <c r="B106" s="357" t="s">
        <v>280</v>
      </c>
      <c r="F106" s="30">
        <f t="shared" si="3"/>
        <v>0</v>
      </c>
      <c r="H106" s="192"/>
      <c r="I106" s="192"/>
      <c r="J106" s="545"/>
    </row>
    <row r="107" spans="1:10" ht="11.1" customHeight="1">
      <c r="A107" s="361" t="s">
        <v>281</v>
      </c>
      <c r="B107" s="357" t="s">
        <v>39</v>
      </c>
      <c r="F107" s="30">
        <f t="shared" si="3"/>
        <v>112605</v>
      </c>
      <c r="H107" s="192">
        <v>112604705</v>
      </c>
      <c r="I107" s="192"/>
      <c r="J107" s="545"/>
    </row>
    <row r="108" spans="1:10" ht="11.1" customHeight="1">
      <c r="A108" s="358" t="s">
        <v>282</v>
      </c>
      <c r="B108" s="357" t="s">
        <v>283</v>
      </c>
      <c r="F108" s="30">
        <f t="shared" si="3"/>
        <v>3202</v>
      </c>
      <c r="H108" s="192">
        <v>3201534</v>
      </c>
      <c r="I108" s="192"/>
      <c r="J108" s="545"/>
    </row>
    <row r="109" spans="1:10" ht="11.1" customHeight="1">
      <c r="A109" s="359">
        <v>811000</v>
      </c>
      <c r="B109" s="360" t="s">
        <v>284</v>
      </c>
      <c r="F109" s="30">
        <f t="shared" si="3"/>
        <v>-269</v>
      </c>
      <c r="H109" s="192">
        <v>-269320</v>
      </c>
      <c r="I109" s="192"/>
      <c r="J109" s="546"/>
    </row>
    <row r="110" spans="1:10" ht="11.1" customHeight="1">
      <c r="A110" s="358">
        <v>813000</v>
      </c>
      <c r="B110" s="357" t="s">
        <v>285</v>
      </c>
      <c r="F110" s="30">
        <f t="shared" si="3"/>
        <v>918</v>
      </c>
      <c r="H110" s="192">
        <v>918049</v>
      </c>
      <c r="I110" s="192"/>
      <c r="J110" s="545"/>
    </row>
    <row r="111" spans="1:10" ht="11.1" customHeight="1">
      <c r="A111" s="358">
        <v>813010</v>
      </c>
      <c r="B111" s="357" t="s">
        <v>286</v>
      </c>
      <c r="F111" s="30">
        <f t="shared" si="3"/>
        <v>70</v>
      </c>
      <c r="H111" s="192">
        <v>69651</v>
      </c>
      <c r="I111" s="192"/>
      <c r="J111" s="545"/>
    </row>
    <row r="112" spans="1:10" ht="11.1" customHeight="1">
      <c r="A112" s="355"/>
      <c r="B112" s="357" t="s">
        <v>287</v>
      </c>
      <c r="F112" s="30">
        <f t="shared" si="3"/>
        <v>116525</v>
      </c>
      <c r="H112" s="192">
        <v>116524619</v>
      </c>
      <c r="I112" s="192"/>
      <c r="J112" s="545"/>
    </row>
    <row r="113" spans="1:10" ht="11.1" customHeight="1">
      <c r="A113" s="355"/>
      <c r="B113" s="357"/>
      <c r="F113" s="30">
        <f t="shared" si="3"/>
        <v>0</v>
      </c>
      <c r="H113" s="192"/>
      <c r="I113" s="192"/>
      <c r="J113" s="545"/>
    </row>
    <row r="114" spans="1:10" ht="11.1" customHeight="1">
      <c r="A114" s="355"/>
      <c r="B114" s="357" t="s">
        <v>288</v>
      </c>
      <c r="F114" s="30">
        <f t="shared" si="3"/>
        <v>0</v>
      </c>
      <c r="H114" s="192"/>
      <c r="I114" s="192"/>
      <c r="J114" s="545"/>
    </row>
    <row r="115" spans="1:10" ht="11.1" customHeight="1">
      <c r="A115" s="358">
        <v>814000</v>
      </c>
      <c r="B115" s="357" t="s">
        <v>289</v>
      </c>
      <c r="F115" s="30">
        <f t="shared" si="3"/>
        <v>11</v>
      </c>
      <c r="H115" s="192">
        <v>11374</v>
      </c>
      <c r="I115" s="192"/>
      <c r="J115" s="545"/>
    </row>
    <row r="116" spans="1:10" ht="11.1" customHeight="1">
      <c r="A116" s="358">
        <v>824000</v>
      </c>
      <c r="B116" s="357" t="s">
        <v>290</v>
      </c>
      <c r="F116" s="30">
        <f t="shared" si="3"/>
        <v>450</v>
      </c>
      <c r="H116" s="192">
        <v>449822</v>
      </c>
      <c r="I116" s="192"/>
      <c r="J116" s="545"/>
    </row>
    <row r="117" spans="1:10" ht="11.1" customHeight="1">
      <c r="A117" s="358">
        <v>837000</v>
      </c>
      <c r="B117" s="357" t="s">
        <v>291</v>
      </c>
      <c r="F117" s="30">
        <f t="shared" si="3"/>
        <v>513</v>
      </c>
      <c r="H117" s="192">
        <v>512814</v>
      </c>
      <c r="I117" s="192"/>
      <c r="J117" s="545"/>
    </row>
    <row r="118" spans="1:10" ht="11.1" customHeight="1">
      <c r="A118" s="355"/>
      <c r="B118" s="357" t="s">
        <v>292</v>
      </c>
      <c r="F118" s="30">
        <f t="shared" si="3"/>
        <v>974</v>
      </c>
      <c r="H118" s="192">
        <v>974010</v>
      </c>
      <c r="I118" s="192"/>
      <c r="J118" s="545"/>
    </row>
    <row r="119" spans="1:10" ht="11.1" customHeight="1">
      <c r="A119" s="355"/>
      <c r="B119" s="357"/>
      <c r="F119" s="30">
        <f t="shared" si="3"/>
        <v>0</v>
      </c>
      <c r="H119" s="192"/>
      <c r="I119" s="192"/>
      <c r="J119" s="545"/>
    </row>
    <row r="120" spans="1:10" ht="11.1" customHeight="1">
      <c r="A120" s="356"/>
      <c r="B120" s="357" t="s">
        <v>293</v>
      </c>
      <c r="F120" s="30">
        <f t="shared" si="3"/>
        <v>492</v>
      </c>
      <c r="H120" s="192">
        <v>491895</v>
      </c>
      <c r="I120" s="192"/>
      <c r="J120" s="545"/>
    </row>
    <row r="121" spans="1:10" ht="11.1" customHeight="1">
      <c r="A121" s="356"/>
      <c r="B121" s="357" t="s">
        <v>294</v>
      </c>
      <c r="F121" s="30">
        <f t="shared" si="3"/>
        <v>0</v>
      </c>
      <c r="H121" s="192">
        <v>160</v>
      </c>
      <c r="I121" s="192"/>
      <c r="J121" s="545"/>
    </row>
    <row r="122" spans="1:10" ht="11.1" customHeight="1">
      <c r="A122" s="355"/>
      <c r="B122" s="357" t="s">
        <v>295</v>
      </c>
      <c r="F122" s="30">
        <f t="shared" si="3"/>
        <v>210</v>
      </c>
      <c r="H122" s="192">
        <v>210427</v>
      </c>
      <c r="I122" s="192"/>
      <c r="J122" s="545"/>
    </row>
    <row r="123" spans="1:10" ht="11.1" customHeight="1">
      <c r="A123" s="355"/>
      <c r="B123" s="357" t="s">
        <v>296</v>
      </c>
      <c r="F123" s="30">
        <f t="shared" si="3"/>
        <v>702</v>
      </c>
      <c r="H123" s="192">
        <v>702482</v>
      </c>
      <c r="I123" s="192"/>
      <c r="J123" s="545"/>
    </row>
    <row r="124" spans="1:10" ht="11.1" customHeight="1">
      <c r="A124" s="355"/>
      <c r="B124" s="357"/>
      <c r="F124" s="30">
        <f t="shared" si="3"/>
        <v>0</v>
      </c>
      <c r="H124" s="192"/>
      <c r="I124" s="192"/>
      <c r="J124" s="545"/>
    </row>
    <row r="125" spans="1:10" ht="11.1" customHeight="1">
      <c r="A125" s="355"/>
      <c r="B125" s="357" t="s">
        <v>297</v>
      </c>
      <c r="F125" s="30">
        <f t="shared" si="3"/>
        <v>1676</v>
      </c>
      <c r="H125" s="192">
        <v>1676492</v>
      </c>
      <c r="I125" s="192"/>
      <c r="J125" s="545"/>
    </row>
    <row r="126" spans="1:10" ht="11.1" customHeight="1">
      <c r="A126" s="355"/>
      <c r="B126" s="357"/>
      <c r="F126" s="30">
        <f t="shared" si="3"/>
        <v>0</v>
      </c>
      <c r="H126" s="192"/>
      <c r="I126" s="192"/>
      <c r="J126" s="545"/>
    </row>
    <row r="127" spans="1:10" ht="11.1" customHeight="1">
      <c r="A127" s="355"/>
      <c r="B127" s="357" t="s">
        <v>298</v>
      </c>
      <c r="F127" s="30">
        <f t="shared" si="3"/>
        <v>0</v>
      </c>
      <c r="H127" s="192"/>
      <c r="I127" s="192"/>
      <c r="J127" s="545"/>
    </row>
    <row r="128" spans="1:10" ht="11.1" customHeight="1">
      <c r="A128" s="355"/>
      <c r="B128" s="357" t="s">
        <v>299</v>
      </c>
      <c r="F128" s="30">
        <f t="shared" si="3"/>
        <v>0</v>
      </c>
      <c r="H128" s="192"/>
      <c r="I128" s="192"/>
      <c r="J128" s="545"/>
    </row>
    <row r="129" spans="1:15" ht="11.1" customHeight="1">
      <c r="A129" s="358">
        <v>870000</v>
      </c>
      <c r="B129" s="357" t="s">
        <v>289</v>
      </c>
      <c r="F129" s="30">
        <f t="shared" si="3"/>
        <v>1174</v>
      </c>
      <c r="H129" s="192">
        <v>1174413</v>
      </c>
      <c r="I129" s="192"/>
      <c r="J129" s="545"/>
    </row>
    <row r="130" spans="1:15" ht="11.1" customHeight="1">
      <c r="A130" s="358">
        <v>871000</v>
      </c>
      <c r="B130" s="357" t="s">
        <v>300</v>
      </c>
      <c r="F130" s="30">
        <f t="shared" si="3"/>
        <v>0</v>
      </c>
      <c r="H130" s="192">
        <v>0</v>
      </c>
      <c r="I130" s="192"/>
      <c r="J130" s="545"/>
    </row>
    <row r="131" spans="1:15" ht="11.1" customHeight="1">
      <c r="A131" s="358">
        <v>874000</v>
      </c>
      <c r="B131" s="357" t="s">
        <v>301</v>
      </c>
      <c r="F131" s="30">
        <f t="shared" si="3"/>
        <v>3100</v>
      </c>
      <c r="H131" s="192">
        <v>3100362</v>
      </c>
      <c r="I131" s="192"/>
      <c r="J131" s="545"/>
      <c r="N131" s="183"/>
    </row>
    <row r="132" spans="1:15" ht="11.1" customHeight="1" thickBot="1">
      <c r="A132" s="358">
        <v>875000</v>
      </c>
      <c r="B132" s="357" t="s">
        <v>302</v>
      </c>
      <c r="F132" s="30">
        <f t="shared" si="3"/>
        <v>59</v>
      </c>
      <c r="H132" s="192">
        <v>58765</v>
      </c>
      <c r="I132" s="192"/>
      <c r="J132" s="545"/>
      <c r="N132" s="184"/>
      <c r="O132" s="185"/>
    </row>
    <row r="133" spans="1:15" ht="11.1" customHeight="1" thickTop="1">
      <c r="A133" s="358">
        <v>876000</v>
      </c>
      <c r="B133" s="357" t="s">
        <v>303</v>
      </c>
      <c r="F133" s="30">
        <f t="shared" si="3"/>
        <v>3</v>
      </c>
      <c r="H133" s="192">
        <v>3066</v>
      </c>
      <c r="I133" s="192"/>
      <c r="J133" s="545"/>
    </row>
    <row r="134" spans="1:15" ht="11.1" customHeight="1">
      <c r="A134" s="358">
        <v>877000</v>
      </c>
      <c r="B134" s="357" t="s">
        <v>304</v>
      </c>
      <c r="F134" s="30">
        <f t="shared" si="3"/>
        <v>68</v>
      </c>
      <c r="H134" s="192">
        <v>67670</v>
      </c>
      <c r="I134" s="192"/>
      <c r="J134" s="545"/>
    </row>
    <row r="135" spans="1:15" ht="11.1" customHeight="1">
      <c r="A135" s="358">
        <v>878000</v>
      </c>
      <c r="B135" s="357" t="s">
        <v>305</v>
      </c>
      <c r="F135" s="30">
        <f t="shared" si="3"/>
        <v>395</v>
      </c>
      <c r="H135" s="192">
        <v>394645</v>
      </c>
      <c r="I135" s="192"/>
      <c r="J135" s="545"/>
    </row>
    <row r="136" spans="1:15" ht="11.1" customHeight="1">
      <c r="A136" s="358">
        <v>879000</v>
      </c>
      <c r="B136" s="357" t="s">
        <v>306</v>
      </c>
      <c r="F136" s="30">
        <f t="shared" si="3"/>
        <v>1244</v>
      </c>
      <c r="H136" s="192">
        <v>1244036</v>
      </c>
      <c r="I136" s="192"/>
      <c r="J136" s="545"/>
    </row>
    <row r="137" spans="1:15" ht="11.1" customHeight="1">
      <c r="A137" s="358">
        <v>880000</v>
      </c>
      <c r="B137" s="357" t="s">
        <v>290</v>
      </c>
      <c r="F137" s="30">
        <f t="shared" si="3"/>
        <v>1689</v>
      </c>
      <c r="H137" s="192">
        <v>1688634</v>
      </c>
      <c r="I137" s="192"/>
      <c r="J137" s="545"/>
    </row>
    <row r="138" spans="1:15" ht="11.1" customHeight="1">
      <c r="A138" s="358">
        <v>881000</v>
      </c>
      <c r="B138" s="357" t="s">
        <v>307</v>
      </c>
      <c r="F138" s="30">
        <f t="shared" si="3"/>
        <v>28</v>
      </c>
      <c r="H138" s="192">
        <v>28173</v>
      </c>
      <c r="I138" s="192"/>
      <c r="J138" s="545"/>
    </row>
    <row r="139" spans="1:15" ht="11.1" customHeight="1">
      <c r="A139" s="355"/>
      <c r="B139" s="357"/>
      <c r="F139" s="30">
        <f t="shared" si="3"/>
        <v>0</v>
      </c>
      <c r="H139" s="192"/>
      <c r="I139" s="192"/>
      <c r="J139" s="545"/>
    </row>
    <row r="140" spans="1:15" ht="11.1" customHeight="1">
      <c r="A140" s="355"/>
      <c r="B140" s="357" t="s">
        <v>308</v>
      </c>
      <c r="F140" s="30">
        <f t="shared" si="3"/>
        <v>0</v>
      </c>
      <c r="H140" s="192"/>
      <c r="I140" s="192"/>
      <c r="J140" s="545"/>
    </row>
    <row r="141" spans="1:15" ht="11.1" customHeight="1">
      <c r="A141" s="358">
        <v>885000</v>
      </c>
      <c r="B141" s="357" t="s">
        <v>289</v>
      </c>
      <c r="F141" s="30">
        <f t="shared" si="3"/>
        <v>81</v>
      </c>
      <c r="H141" s="192">
        <v>80585</v>
      </c>
      <c r="I141" s="192"/>
      <c r="J141" s="545"/>
    </row>
    <row r="142" spans="1:15" ht="11.1" customHeight="1">
      <c r="A142" s="358">
        <v>887000</v>
      </c>
      <c r="B142" s="357" t="s">
        <v>309</v>
      </c>
      <c r="F142" s="30">
        <f t="shared" si="3"/>
        <v>793</v>
      </c>
      <c r="H142" s="192">
        <v>792936</v>
      </c>
      <c r="I142" s="192"/>
      <c r="J142" s="545"/>
    </row>
    <row r="143" spans="1:15" ht="11.1" customHeight="1">
      <c r="A143" s="358">
        <v>889000</v>
      </c>
      <c r="B143" s="357" t="s">
        <v>302</v>
      </c>
      <c r="F143" s="30">
        <f t="shared" si="3"/>
        <v>163</v>
      </c>
      <c r="H143" s="192">
        <v>162663</v>
      </c>
      <c r="I143" s="192"/>
      <c r="J143" s="545"/>
    </row>
    <row r="144" spans="1:15" ht="11.1" customHeight="1">
      <c r="A144" s="358">
        <v>890000</v>
      </c>
      <c r="B144" s="357" t="s">
        <v>303</v>
      </c>
      <c r="F144" s="30">
        <f t="shared" si="3"/>
        <v>203</v>
      </c>
      <c r="H144" s="192">
        <v>202738</v>
      </c>
      <c r="I144" s="192"/>
      <c r="J144" s="545"/>
    </row>
    <row r="145" spans="1:10" ht="11.1" customHeight="1">
      <c r="A145" s="358">
        <v>891000</v>
      </c>
      <c r="B145" s="357" t="s">
        <v>304</v>
      </c>
      <c r="F145" s="30">
        <f t="shared" si="3"/>
        <v>45</v>
      </c>
      <c r="H145" s="192">
        <v>45268</v>
      </c>
      <c r="I145" s="192"/>
      <c r="J145" s="545"/>
    </row>
    <row r="146" spans="1:10" ht="11.1" customHeight="1">
      <c r="A146" s="358">
        <v>892000</v>
      </c>
      <c r="B146" s="357" t="s">
        <v>310</v>
      </c>
      <c r="F146" s="30">
        <f t="shared" si="3"/>
        <v>1524</v>
      </c>
      <c r="H146" s="192">
        <v>1524381</v>
      </c>
      <c r="I146" s="192"/>
      <c r="J146" s="545"/>
    </row>
    <row r="147" spans="1:10" ht="11.1" customHeight="1">
      <c r="A147" s="358">
        <v>893000</v>
      </c>
      <c r="B147" s="357" t="s">
        <v>311</v>
      </c>
      <c r="F147" s="30">
        <f t="shared" si="3"/>
        <v>1339</v>
      </c>
      <c r="H147" s="192">
        <v>1338868</v>
      </c>
      <c r="I147" s="192"/>
      <c r="J147" s="545"/>
    </row>
    <row r="148" spans="1:10" ht="11.1" customHeight="1">
      <c r="A148" s="358">
        <v>894000</v>
      </c>
      <c r="B148" s="357" t="s">
        <v>291</v>
      </c>
      <c r="F148" s="30">
        <f t="shared" si="3"/>
        <v>142</v>
      </c>
      <c r="H148" s="192">
        <v>141563</v>
      </c>
      <c r="I148" s="192"/>
      <c r="J148" s="545"/>
    </row>
    <row r="149" spans="1:10" ht="11.1" customHeight="1">
      <c r="A149" s="355"/>
      <c r="B149" s="357" t="s">
        <v>312</v>
      </c>
      <c r="F149" s="30">
        <f t="shared" si="3"/>
        <v>12049</v>
      </c>
      <c r="H149" s="192">
        <v>12048766</v>
      </c>
      <c r="I149" s="192"/>
      <c r="J149" s="545"/>
    </row>
    <row r="150" spans="1:10" ht="11.1" customHeight="1">
      <c r="A150" s="355"/>
      <c r="B150" s="357"/>
      <c r="F150" s="30">
        <f t="shared" si="3"/>
        <v>0</v>
      </c>
      <c r="H150" s="192"/>
      <c r="I150" s="192"/>
      <c r="J150" s="545"/>
    </row>
    <row r="151" spans="1:10" ht="11.1" customHeight="1">
      <c r="A151" s="355"/>
      <c r="B151" s="357" t="s">
        <v>313</v>
      </c>
      <c r="F151" s="30">
        <f t="shared" si="3"/>
        <v>9866</v>
      </c>
      <c r="H151" s="192">
        <v>9865836</v>
      </c>
      <c r="I151" s="192"/>
      <c r="J151" s="545"/>
    </row>
    <row r="152" spans="1:10" ht="11.1" customHeight="1">
      <c r="A152" s="355"/>
      <c r="B152" s="357" t="s">
        <v>295</v>
      </c>
      <c r="F152" s="30">
        <f t="shared" si="3"/>
        <v>12807</v>
      </c>
      <c r="H152" s="192">
        <v>12806578</v>
      </c>
      <c r="I152" s="192"/>
      <c r="J152" s="545"/>
    </row>
    <row r="153" spans="1:10" ht="11.1" customHeight="1">
      <c r="A153" s="355"/>
      <c r="B153" s="357" t="s">
        <v>314</v>
      </c>
      <c r="F153" s="30">
        <f t="shared" si="3"/>
        <v>22672</v>
      </c>
      <c r="H153" s="192">
        <v>22672414</v>
      </c>
      <c r="I153" s="192"/>
      <c r="J153" s="545"/>
    </row>
    <row r="154" spans="1:10" ht="11.1" customHeight="1">
      <c r="A154" s="355"/>
      <c r="B154" s="357"/>
      <c r="F154" s="30">
        <f t="shared" ref="F154:F218" si="4">ROUND(H154/1000,0)</f>
        <v>0</v>
      </c>
      <c r="H154" s="192"/>
      <c r="I154" s="192"/>
      <c r="J154" s="545"/>
    </row>
    <row r="155" spans="1:10" ht="11.1" customHeight="1">
      <c r="A155" s="355"/>
      <c r="B155" s="357" t="s">
        <v>315</v>
      </c>
      <c r="F155" s="30">
        <f t="shared" si="4"/>
        <v>34721</v>
      </c>
      <c r="H155" s="192">
        <v>34721180</v>
      </c>
      <c r="I155" s="192"/>
      <c r="J155" s="545"/>
    </row>
    <row r="156" spans="1:10" ht="11.1" customHeight="1">
      <c r="A156" s="355"/>
      <c r="B156" s="357"/>
      <c r="F156" s="30">
        <f t="shared" si="4"/>
        <v>0</v>
      </c>
      <c r="H156" s="192"/>
      <c r="I156" s="192"/>
      <c r="J156" s="545"/>
    </row>
    <row r="157" spans="1:10" ht="11.1" customHeight="1">
      <c r="A157" s="355"/>
      <c r="B157" s="357" t="s">
        <v>316</v>
      </c>
      <c r="F157" s="30">
        <f t="shared" si="4"/>
        <v>0</v>
      </c>
      <c r="H157" s="192"/>
      <c r="I157" s="192"/>
      <c r="J157" s="545"/>
    </row>
    <row r="158" spans="1:10" ht="11.1" customHeight="1">
      <c r="A158" s="358">
        <v>901000</v>
      </c>
      <c r="B158" s="357" t="s">
        <v>317</v>
      </c>
      <c r="F158" s="30">
        <f t="shared" si="4"/>
        <v>141</v>
      </c>
      <c r="H158" s="192">
        <v>140786</v>
      </c>
      <c r="I158" s="192"/>
      <c r="J158" s="545"/>
    </row>
    <row r="159" spans="1:10" ht="11.1" customHeight="1">
      <c r="A159" s="358">
        <v>902000</v>
      </c>
      <c r="B159" s="357" t="s">
        <v>318</v>
      </c>
      <c r="F159" s="30">
        <f t="shared" si="4"/>
        <v>1861</v>
      </c>
      <c r="H159" s="192">
        <v>1860956</v>
      </c>
      <c r="I159" s="192"/>
      <c r="J159" s="545"/>
    </row>
    <row r="160" spans="1:10" ht="11.1" customHeight="1">
      <c r="A160" s="358" t="s">
        <v>319</v>
      </c>
      <c r="B160" s="357" t="s">
        <v>320</v>
      </c>
      <c r="F160" s="30">
        <f t="shared" si="4"/>
        <v>3931</v>
      </c>
      <c r="H160" s="192">
        <v>3931206</v>
      </c>
      <c r="I160" s="192"/>
      <c r="J160" s="545"/>
    </row>
    <row r="161" spans="1:10" ht="11.1" customHeight="1">
      <c r="A161" s="358">
        <v>904000</v>
      </c>
      <c r="B161" s="357" t="s">
        <v>321</v>
      </c>
      <c r="F161" s="30">
        <f t="shared" si="4"/>
        <v>1317</v>
      </c>
      <c r="H161" s="192">
        <v>1317433</v>
      </c>
      <c r="I161" s="192"/>
      <c r="J161" s="545"/>
    </row>
    <row r="162" spans="1:10" ht="11.1" customHeight="1">
      <c r="A162" s="358">
        <v>905000</v>
      </c>
      <c r="B162" s="357" t="s">
        <v>322</v>
      </c>
      <c r="F162" s="30">
        <f t="shared" si="4"/>
        <v>102</v>
      </c>
      <c r="H162" s="192">
        <v>101858</v>
      </c>
      <c r="I162" s="192"/>
      <c r="J162" s="545"/>
    </row>
    <row r="163" spans="1:10" ht="11.1" customHeight="1">
      <c r="A163" s="355"/>
      <c r="B163" s="357" t="s">
        <v>323</v>
      </c>
      <c r="F163" s="30">
        <f t="shared" si="4"/>
        <v>7352</v>
      </c>
      <c r="H163" s="192">
        <v>7352239</v>
      </c>
      <c r="I163" s="192"/>
      <c r="J163" s="545"/>
    </row>
    <row r="164" spans="1:10" ht="11.1" customHeight="1">
      <c r="A164" s="355"/>
      <c r="B164" s="357"/>
      <c r="F164" s="30">
        <f t="shared" si="4"/>
        <v>0</v>
      </c>
      <c r="H164" s="192"/>
      <c r="I164" s="192"/>
      <c r="J164" s="545"/>
    </row>
    <row r="165" spans="1:10" ht="11.1" customHeight="1">
      <c r="A165" s="355"/>
      <c r="B165" s="357" t="s">
        <v>324</v>
      </c>
      <c r="F165" s="30">
        <f t="shared" si="4"/>
        <v>0</v>
      </c>
      <c r="H165" s="192"/>
      <c r="I165" s="192"/>
      <c r="J165" s="545"/>
    </row>
    <row r="166" spans="1:10" ht="11.1" customHeight="1">
      <c r="A166" s="358" t="s">
        <v>325</v>
      </c>
      <c r="B166" s="357" t="s">
        <v>326</v>
      </c>
      <c r="F166" s="30">
        <f t="shared" si="4"/>
        <v>7041</v>
      </c>
      <c r="H166" s="192">
        <v>7041064</v>
      </c>
      <c r="I166" s="192"/>
      <c r="J166" s="545"/>
    </row>
    <row r="167" spans="1:10" ht="11.1" customHeight="1">
      <c r="A167" s="358">
        <v>909000</v>
      </c>
      <c r="B167" s="357" t="s">
        <v>327</v>
      </c>
      <c r="F167" s="30">
        <f t="shared" si="4"/>
        <v>457</v>
      </c>
      <c r="H167" s="192">
        <v>456768</v>
      </c>
      <c r="I167" s="192"/>
      <c r="J167" s="545"/>
    </row>
    <row r="168" spans="1:10" ht="11.1" customHeight="1">
      <c r="A168" s="358">
        <v>910000</v>
      </c>
      <c r="B168" s="357" t="s">
        <v>328</v>
      </c>
      <c r="F168" s="30">
        <f t="shared" si="4"/>
        <v>98</v>
      </c>
      <c r="H168" s="192">
        <v>98204</v>
      </c>
      <c r="I168" s="192"/>
      <c r="J168" s="545"/>
    </row>
    <row r="169" spans="1:10" ht="11.1" customHeight="1">
      <c r="A169" s="355"/>
      <c r="B169" s="357" t="s">
        <v>329</v>
      </c>
      <c r="F169" s="30">
        <f t="shared" si="4"/>
        <v>7596</v>
      </c>
      <c r="H169" s="192">
        <v>7596036</v>
      </c>
      <c r="I169" s="192"/>
      <c r="J169" s="545"/>
    </row>
    <row r="170" spans="1:10" ht="11.1" customHeight="1">
      <c r="A170" s="355"/>
      <c r="B170" s="357"/>
      <c r="F170" s="30">
        <f t="shared" si="4"/>
        <v>0</v>
      </c>
      <c r="H170" s="192"/>
      <c r="I170" s="192"/>
      <c r="J170" s="545"/>
    </row>
    <row r="171" spans="1:10" ht="11.1" customHeight="1">
      <c r="A171" s="355"/>
      <c r="B171" s="357" t="s">
        <v>330</v>
      </c>
      <c r="F171" s="30">
        <f t="shared" si="4"/>
        <v>0</v>
      </c>
      <c r="H171" s="192"/>
      <c r="I171" s="192"/>
      <c r="J171" s="545"/>
    </row>
    <row r="172" spans="1:10" ht="11.1" customHeight="1">
      <c r="A172" s="358">
        <v>912000</v>
      </c>
      <c r="B172" s="357" t="s">
        <v>331</v>
      </c>
      <c r="F172" s="30">
        <f t="shared" si="4"/>
        <v>0</v>
      </c>
      <c r="H172" s="192">
        <v>0</v>
      </c>
      <c r="I172" s="192"/>
      <c r="J172" s="545"/>
    </row>
    <row r="173" spans="1:10" ht="11.1" customHeight="1">
      <c r="A173" s="358">
        <v>913000</v>
      </c>
      <c r="B173" s="357" t="s">
        <v>327</v>
      </c>
      <c r="F173" s="30">
        <f t="shared" si="4"/>
        <v>0</v>
      </c>
      <c r="H173" s="192">
        <v>0</v>
      </c>
      <c r="I173" s="192"/>
      <c r="J173" s="545"/>
    </row>
    <row r="174" spans="1:10" ht="11.1" customHeight="1">
      <c r="A174" s="358">
        <v>916000</v>
      </c>
      <c r="B174" s="357" t="s">
        <v>332</v>
      </c>
      <c r="F174" s="30">
        <f t="shared" si="4"/>
        <v>0</v>
      </c>
      <c r="H174" s="192">
        <v>0</v>
      </c>
      <c r="I174" s="192"/>
      <c r="J174" s="545"/>
    </row>
    <row r="175" spans="1:10" ht="11.1" customHeight="1">
      <c r="A175" s="355"/>
      <c r="B175" s="357" t="s">
        <v>333</v>
      </c>
      <c r="F175" s="30">
        <f t="shared" si="4"/>
        <v>0</v>
      </c>
      <c r="H175" s="192">
        <v>0</v>
      </c>
      <c r="I175" s="192"/>
      <c r="J175" s="545"/>
    </row>
    <row r="176" spans="1:10" ht="11.1" customHeight="1">
      <c r="A176" s="355"/>
      <c r="B176" s="357"/>
      <c r="F176" s="30">
        <f t="shared" si="4"/>
        <v>0</v>
      </c>
      <c r="H176" s="192"/>
      <c r="I176" s="192"/>
      <c r="J176" s="545"/>
    </row>
    <row r="177" spans="1:10" ht="11.1" customHeight="1">
      <c r="A177" s="355"/>
      <c r="B177" s="357" t="s">
        <v>334</v>
      </c>
      <c r="F177" s="30">
        <f t="shared" si="4"/>
        <v>0</v>
      </c>
      <c r="H177" s="192"/>
      <c r="I177" s="192"/>
      <c r="J177" s="545"/>
    </row>
    <row r="178" spans="1:10" ht="11.1" customHeight="1">
      <c r="A178" s="358">
        <v>920000</v>
      </c>
      <c r="B178" s="357" t="s">
        <v>335</v>
      </c>
      <c r="F178" s="30">
        <f t="shared" si="4"/>
        <v>6393</v>
      </c>
      <c r="H178" s="192">
        <v>6393078</v>
      </c>
      <c r="I178" s="192"/>
      <c r="J178" s="545"/>
    </row>
    <row r="179" spans="1:10" ht="11.1" customHeight="1">
      <c r="A179" s="358">
        <v>921000</v>
      </c>
      <c r="B179" s="357" t="s">
        <v>336</v>
      </c>
      <c r="F179" s="30">
        <f t="shared" si="4"/>
        <v>830</v>
      </c>
      <c r="H179" s="192">
        <v>830279</v>
      </c>
      <c r="I179" s="192"/>
      <c r="J179" s="545"/>
    </row>
    <row r="180" spans="1:10" ht="11.1" customHeight="1">
      <c r="A180" s="358">
        <v>922000</v>
      </c>
      <c r="B180" s="357" t="s">
        <v>337</v>
      </c>
      <c r="F180" s="30">
        <f t="shared" si="4"/>
        <v>-14</v>
      </c>
      <c r="H180" s="192">
        <v>-13882</v>
      </c>
      <c r="I180" s="192"/>
      <c r="J180" s="545"/>
    </row>
    <row r="181" spans="1:10" ht="11.1" customHeight="1">
      <c r="A181" s="358">
        <v>923000</v>
      </c>
      <c r="B181" s="357" t="s">
        <v>338</v>
      </c>
      <c r="F181" s="30">
        <f t="shared" si="4"/>
        <v>1449</v>
      </c>
      <c r="H181" s="192">
        <v>1448640</v>
      </c>
      <c r="I181" s="192"/>
      <c r="J181" s="545"/>
    </row>
    <row r="182" spans="1:10" ht="11.1" customHeight="1">
      <c r="A182" s="358">
        <v>924000</v>
      </c>
      <c r="B182" s="357" t="s">
        <v>339</v>
      </c>
      <c r="F182" s="30">
        <f t="shared" si="4"/>
        <v>223</v>
      </c>
      <c r="H182" s="192">
        <v>223150</v>
      </c>
      <c r="I182" s="192"/>
      <c r="J182" s="545"/>
    </row>
    <row r="183" spans="1:10" ht="11.1" customHeight="1">
      <c r="A183" s="355" t="s">
        <v>340</v>
      </c>
      <c r="B183" s="357" t="s">
        <v>341</v>
      </c>
      <c r="F183" s="30">
        <f t="shared" si="4"/>
        <v>628</v>
      </c>
      <c r="H183" s="192">
        <v>628044</v>
      </c>
      <c r="I183" s="192"/>
      <c r="J183" s="545"/>
    </row>
    <row r="184" spans="1:10" ht="11.1" customHeight="1">
      <c r="A184" s="355" t="s">
        <v>342</v>
      </c>
      <c r="B184" s="357" t="s">
        <v>343</v>
      </c>
      <c r="F184" s="30">
        <f t="shared" si="4"/>
        <v>304</v>
      </c>
      <c r="H184" s="192">
        <v>304098</v>
      </c>
      <c r="I184" s="192"/>
      <c r="J184" s="545"/>
    </row>
    <row r="185" spans="1:10" ht="11.1" customHeight="1">
      <c r="A185" s="358">
        <v>928000</v>
      </c>
      <c r="B185" s="357" t="s">
        <v>344</v>
      </c>
      <c r="F185" s="30">
        <f t="shared" si="4"/>
        <v>829</v>
      </c>
      <c r="H185" s="192">
        <v>829023</v>
      </c>
      <c r="I185" s="192"/>
      <c r="J185" s="545"/>
    </row>
    <row r="186" spans="1:10" ht="11.1" customHeight="1">
      <c r="A186" s="358">
        <v>930000</v>
      </c>
      <c r="B186" s="357" t="s">
        <v>345</v>
      </c>
      <c r="F186" s="30">
        <f t="shared" si="4"/>
        <v>821</v>
      </c>
      <c r="H186" s="192">
        <v>821435</v>
      </c>
      <c r="I186" s="192"/>
      <c r="J186" s="545"/>
    </row>
    <row r="187" spans="1:10" ht="11.1" customHeight="1">
      <c r="A187" s="358">
        <v>931000</v>
      </c>
      <c r="B187" s="357" t="s">
        <v>307</v>
      </c>
      <c r="F187" s="30">
        <f t="shared" si="4"/>
        <v>211</v>
      </c>
      <c r="H187" s="192">
        <v>210752</v>
      </c>
      <c r="I187" s="192"/>
      <c r="J187" s="545"/>
    </row>
    <row r="188" spans="1:10" ht="11.1" customHeight="1">
      <c r="A188" s="358">
        <v>935000</v>
      </c>
      <c r="B188" s="357" t="s">
        <v>346</v>
      </c>
      <c r="F188" s="30">
        <f t="shared" si="4"/>
        <v>2088</v>
      </c>
      <c r="H188" s="192">
        <v>2088143</v>
      </c>
      <c r="I188" s="192"/>
      <c r="J188" s="545"/>
    </row>
    <row r="189" spans="1:10" ht="11.1" customHeight="1">
      <c r="A189" s="355"/>
      <c r="B189" s="357" t="s">
        <v>347</v>
      </c>
      <c r="F189" s="30">
        <f t="shared" si="4"/>
        <v>13763</v>
      </c>
      <c r="H189" s="192">
        <v>13762760</v>
      </c>
      <c r="I189" s="192"/>
      <c r="J189" s="545"/>
    </row>
    <row r="190" spans="1:10" ht="11.1" customHeight="1">
      <c r="A190" s="355"/>
      <c r="B190" s="357"/>
      <c r="F190" s="30">
        <f t="shared" si="4"/>
        <v>0</v>
      </c>
      <c r="H190" s="192"/>
      <c r="I190" s="192"/>
      <c r="J190" s="545"/>
    </row>
    <row r="191" spans="1:10" ht="11.1" customHeight="1">
      <c r="A191" s="355"/>
      <c r="B191" s="357" t="s">
        <v>348</v>
      </c>
      <c r="F191" s="30">
        <f t="shared" si="4"/>
        <v>3159</v>
      </c>
      <c r="H191" s="192">
        <v>3159114</v>
      </c>
      <c r="I191" s="192"/>
      <c r="J191" s="545"/>
    </row>
    <row r="192" spans="1:10" ht="11.1" customHeight="1">
      <c r="A192" s="355"/>
      <c r="B192" s="357" t="s">
        <v>349</v>
      </c>
      <c r="F192" s="30">
        <f t="shared" si="4"/>
        <v>110</v>
      </c>
      <c r="H192" s="192">
        <v>110345</v>
      </c>
      <c r="I192" s="192"/>
      <c r="J192" s="545"/>
    </row>
    <row r="193" spans="1:10" ht="11.1" customHeight="1">
      <c r="A193" s="355"/>
      <c r="B193" s="357" t="s">
        <v>350</v>
      </c>
      <c r="F193" s="30">
        <f t="shared" si="4"/>
        <v>2988</v>
      </c>
      <c r="H193" s="192">
        <v>2987894</v>
      </c>
      <c r="I193" s="192"/>
      <c r="J193" s="545"/>
    </row>
    <row r="194" spans="1:10" ht="11.1" customHeight="1">
      <c r="A194" s="356"/>
      <c r="B194" s="357" t="s">
        <v>351</v>
      </c>
      <c r="F194" s="30">
        <f t="shared" si="4"/>
        <v>3</v>
      </c>
      <c r="H194" s="192">
        <v>2802</v>
      </c>
      <c r="I194" s="192"/>
      <c r="J194" s="545"/>
    </row>
    <row r="195" spans="1:10" ht="11.1" customHeight="1">
      <c r="A195" s="362">
        <v>407025</v>
      </c>
      <c r="B195" s="357" t="s">
        <v>352</v>
      </c>
      <c r="F195" s="30">
        <f t="shared" si="4"/>
        <v>0</v>
      </c>
      <c r="H195" s="192">
        <v>0</v>
      </c>
      <c r="I195" s="192"/>
      <c r="J195" s="545"/>
    </row>
    <row r="196" spans="1:10" ht="11.1" customHeight="1">
      <c r="A196" s="358">
        <v>407229</v>
      </c>
      <c r="B196" s="357" t="s">
        <v>482</v>
      </c>
      <c r="F196" s="30">
        <f t="shared" ref="F196" si="5">ROUND(H196/1000,0)</f>
        <v>0</v>
      </c>
      <c r="H196" s="192">
        <v>0</v>
      </c>
      <c r="I196" s="192"/>
      <c r="J196" s="545"/>
    </row>
    <row r="197" spans="1:10" ht="11.1" customHeight="1">
      <c r="A197" s="358">
        <v>407329</v>
      </c>
      <c r="B197" s="357" t="s">
        <v>353</v>
      </c>
      <c r="F197" s="30">
        <f t="shared" si="4"/>
        <v>0</v>
      </c>
      <c r="H197" s="192">
        <v>0</v>
      </c>
      <c r="I197" s="192"/>
      <c r="J197" s="545"/>
    </row>
    <row r="198" spans="1:10" ht="11.1" customHeight="1">
      <c r="A198" s="359">
        <v>407335</v>
      </c>
      <c r="B198" s="511" t="s">
        <v>354</v>
      </c>
      <c r="F198" s="30">
        <f t="shared" si="4"/>
        <v>0</v>
      </c>
      <c r="H198" s="192">
        <v>0</v>
      </c>
      <c r="I198" s="192"/>
      <c r="J198" s="546"/>
    </row>
    <row r="199" spans="1:10" ht="11.1" customHeight="1">
      <c r="A199" s="362" t="s">
        <v>355</v>
      </c>
      <c r="B199" s="357" t="s">
        <v>356</v>
      </c>
      <c r="F199" s="30">
        <f t="shared" si="4"/>
        <v>0</v>
      </c>
      <c r="H199" s="192">
        <v>0</v>
      </c>
      <c r="I199" s="192"/>
      <c r="J199" s="545"/>
    </row>
    <row r="200" spans="1:10" ht="16.149999999999999" customHeight="1">
      <c r="A200" s="547" t="s">
        <v>485</v>
      </c>
      <c r="B200" s="545" t="s">
        <v>484</v>
      </c>
      <c r="F200" s="30">
        <f t="shared" si="4"/>
        <v>0</v>
      </c>
      <c r="H200" s="192">
        <v>0</v>
      </c>
      <c r="I200" s="192"/>
      <c r="J200" s="545"/>
    </row>
    <row r="201" spans="1:10" ht="11.1" customHeight="1">
      <c r="A201" s="355"/>
      <c r="B201" s="357" t="s">
        <v>357</v>
      </c>
      <c r="F201" s="30">
        <f t="shared" si="4"/>
        <v>6260</v>
      </c>
      <c r="H201" s="192">
        <v>6260155</v>
      </c>
      <c r="I201" s="192"/>
      <c r="J201" s="545"/>
    </row>
    <row r="202" spans="1:10" ht="11.1" customHeight="1">
      <c r="A202" s="355"/>
      <c r="B202" s="357"/>
      <c r="F202" s="30">
        <f t="shared" si="4"/>
        <v>0</v>
      </c>
      <c r="H202" s="192"/>
      <c r="I202" s="192"/>
      <c r="J202" s="545"/>
    </row>
    <row r="203" spans="1:10" ht="11.1" customHeight="1">
      <c r="A203" s="358"/>
      <c r="B203" s="357" t="s">
        <v>358</v>
      </c>
      <c r="F203" s="30">
        <f t="shared" si="4"/>
        <v>20023</v>
      </c>
      <c r="H203" s="192">
        <v>20022915</v>
      </c>
      <c r="I203" s="192"/>
      <c r="J203" s="545"/>
    </row>
    <row r="204" spans="1:10" ht="11.1" customHeight="1">
      <c r="A204" s="358"/>
      <c r="B204" s="357"/>
      <c r="F204" s="30">
        <f t="shared" si="4"/>
        <v>0</v>
      </c>
      <c r="H204" s="192"/>
      <c r="I204" s="192"/>
      <c r="J204" s="545"/>
    </row>
    <row r="205" spans="1:10" ht="11.1" customHeight="1">
      <c r="A205" s="358"/>
      <c r="B205" s="357" t="s">
        <v>359</v>
      </c>
      <c r="F205" s="30">
        <f t="shared" si="4"/>
        <v>187893</v>
      </c>
      <c r="H205" s="192">
        <v>187893481</v>
      </c>
      <c r="I205" s="192"/>
      <c r="J205" s="545"/>
    </row>
    <row r="206" spans="1:10" ht="11.1" customHeight="1">
      <c r="A206" s="358"/>
      <c r="B206" s="357"/>
      <c r="F206" s="30">
        <f t="shared" si="4"/>
        <v>0</v>
      </c>
      <c r="H206" s="192"/>
      <c r="I206" s="192"/>
      <c r="J206" s="545"/>
    </row>
    <row r="207" spans="1:10" ht="11.1" customHeight="1">
      <c r="A207" s="358"/>
      <c r="B207" s="357" t="s">
        <v>360</v>
      </c>
      <c r="F207" s="30">
        <f t="shared" si="4"/>
        <v>32522</v>
      </c>
      <c r="H207" s="192">
        <v>32522137</v>
      </c>
      <c r="I207" s="192"/>
      <c r="J207" s="545"/>
    </row>
    <row r="208" spans="1:10" ht="11.1" customHeight="1">
      <c r="A208" s="358"/>
      <c r="B208" s="357"/>
      <c r="F208" s="30">
        <f t="shared" si="4"/>
        <v>0</v>
      </c>
      <c r="H208" s="192"/>
      <c r="I208" s="192"/>
      <c r="J208" s="545"/>
    </row>
    <row r="209" spans="1:10" ht="11.1" customHeight="1">
      <c r="A209" s="358"/>
      <c r="B209" s="357" t="s">
        <v>56</v>
      </c>
      <c r="F209" s="30">
        <f t="shared" si="4"/>
        <v>-841</v>
      </c>
      <c r="H209" s="192">
        <v>-840846</v>
      </c>
      <c r="I209" s="192"/>
      <c r="J209" s="545"/>
    </row>
    <row r="210" spans="1:10" ht="11.1" customHeight="1">
      <c r="A210" s="358"/>
      <c r="B210" s="357" t="s">
        <v>361</v>
      </c>
      <c r="F210" s="30">
        <f t="shared" si="4"/>
        <v>9923</v>
      </c>
      <c r="H210" s="192">
        <v>9922880</v>
      </c>
      <c r="I210" s="192"/>
      <c r="J210" s="545"/>
    </row>
    <row r="211" spans="1:10" ht="11.1" customHeight="1">
      <c r="A211" s="358"/>
      <c r="B211" s="357" t="s">
        <v>362</v>
      </c>
      <c r="F211" s="30">
        <f t="shared" si="4"/>
        <v>-17</v>
      </c>
      <c r="H211" s="192">
        <v>-17490</v>
      </c>
      <c r="I211" s="192"/>
      <c r="J211" s="545"/>
    </row>
    <row r="212" spans="1:10" ht="11.1" customHeight="1">
      <c r="A212" s="355"/>
      <c r="B212" s="357" t="s">
        <v>363</v>
      </c>
      <c r="F212" s="30">
        <f t="shared" si="4"/>
        <v>23458</v>
      </c>
      <c r="H212" s="192">
        <v>23457593</v>
      </c>
      <c r="I212" s="192"/>
      <c r="J212" s="545"/>
    </row>
    <row r="213" spans="1:10" ht="11.1" customHeight="1">
      <c r="F213" s="30">
        <f t="shared" si="4"/>
        <v>0</v>
      </c>
    </row>
    <row r="214" spans="1:10" ht="11.1" customHeight="1">
      <c r="A214" s="363"/>
      <c r="B214" s="364" t="s">
        <v>108</v>
      </c>
      <c r="F214" s="30">
        <f t="shared" si="4"/>
        <v>0</v>
      </c>
      <c r="J214" s="548"/>
    </row>
    <row r="215" spans="1:10" ht="11.1" customHeight="1">
      <c r="A215" s="363"/>
      <c r="B215" s="364" t="s">
        <v>364</v>
      </c>
      <c r="F215" s="30">
        <f t="shared" si="4"/>
        <v>0</v>
      </c>
      <c r="J215" s="548"/>
    </row>
    <row r="216" spans="1:10" ht="11.1" customHeight="1">
      <c r="A216" s="365">
        <v>303000</v>
      </c>
      <c r="B216" s="366" t="s">
        <v>365</v>
      </c>
      <c r="F216" s="30">
        <f t="shared" si="4"/>
        <v>2312</v>
      </c>
      <c r="H216" s="192">
        <v>2312129</v>
      </c>
      <c r="I216" s="192"/>
      <c r="J216" s="549"/>
    </row>
    <row r="217" spans="1:10" ht="11.1" customHeight="1">
      <c r="A217" s="367" t="s">
        <v>366</v>
      </c>
      <c r="B217" s="364" t="s">
        <v>367</v>
      </c>
      <c r="F217" s="30">
        <f t="shared" si="4"/>
        <v>23408</v>
      </c>
      <c r="H217" s="192">
        <v>23408267</v>
      </c>
      <c r="I217" s="192"/>
      <c r="J217" s="548"/>
    </row>
    <row r="218" spans="1:10" ht="11.1" customHeight="1">
      <c r="A218" s="368"/>
      <c r="B218" s="364" t="s">
        <v>368</v>
      </c>
      <c r="F218" s="30">
        <f t="shared" si="4"/>
        <v>25720</v>
      </c>
      <c r="H218" s="192">
        <v>25720396</v>
      </c>
      <c r="I218" s="192"/>
      <c r="J218" s="548"/>
    </row>
    <row r="219" spans="1:10" ht="11.1" customHeight="1">
      <c r="A219" s="368"/>
      <c r="B219" s="364"/>
      <c r="F219" s="30">
        <f t="shared" ref="F219:F283" si="6">ROUND(H219/1000,0)</f>
        <v>0</v>
      </c>
      <c r="H219" s="192"/>
      <c r="I219" s="192"/>
      <c r="J219" s="548"/>
    </row>
    <row r="220" spans="1:10" ht="11.1" customHeight="1">
      <c r="A220" s="368"/>
      <c r="B220" s="364" t="s">
        <v>369</v>
      </c>
      <c r="F220" s="30">
        <f t="shared" si="6"/>
        <v>0</v>
      </c>
      <c r="H220" s="192"/>
      <c r="I220" s="192"/>
      <c r="J220" s="548"/>
    </row>
    <row r="221" spans="1:10" ht="11.1" customHeight="1">
      <c r="A221" s="369" t="s">
        <v>370</v>
      </c>
      <c r="B221" s="364" t="s">
        <v>371</v>
      </c>
      <c r="F221" s="30">
        <f t="shared" si="6"/>
        <v>777</v>
      </c>
      <c r="H221" s="192">
        <v>777458</v>
      </c>
      <c r="I221" s="192"/>
      <c r="J221" s="548"/>
    </row>
    <row r="222" spans="1:10" ht="11.1" customHeight="1">
      <c r="A222" s="369" t="s">
        <v>372</v>
      </c>
      <c r="B222" s="364" t="s">
        <v>373</v>
      </c>
      <c r="F222" s="30">
        <f t="shared" si="6"/>
        <v>1359</v>
      </c>
      <c r="H222" s="192">
        <v>1358620</v>
      </c>
      <c r="I222" s="192"/>
      <c r="J222" s="548"/>
    </row>
    <row r="223" spans="1:10" ht="11.1" customHeight="1">
      <c r="A223" s="369" t="s">
        <v>374</v>
      </c>
      <c r="B223" s="364" t="s">
        <v>375</v>
      </c>
      <c r="F223" s="30">
        <f t="shared" si="6"/>
        <v>13272</v>
      </c>
      <c r="H223" s="192">
        <v>13271690</v>
      </c>
      <c r="I223" s="192"/>
      <c r="J223" s="548"/>
    </row>
    <row r="224" spans="1:10" ht="11.1" customHeight="1">
      <c r="A224" s="369">
        <v>353000</v>
      </c>
      <c r="B224" s="364" t="s">
        <v>376</v>
      </c>
      <c r="F224" s="30">
        <f t="shared" si="6"/>
        <v>737</v>
      </c>
      <c r="H224" s="192">
        <v>736670</v>
      </c>
      <c r="I224" s="192"/>
      <c r="J224" s="548"/>
    </row>
    <row r="225" spans="1:10" ht="11.1" customHeight="1">
      <c r="A225" s="369">
        <v>354000</v>
      </c>
      <c r="B225" s="364" t="s">
        <v>377</v>
      </c>
      <c r="F225" s="30">
        <f t="shared" si="6"/>
        <v>8499</v>
      </c>
      <c r="H225" s="192">
        <v>8498734</v>
      </c>
      <c r="I225" s="192"/>
      <c r="J225" s="548"/>
    </row>
    <row r="226" spans="1:10" ht="11.1" customHeight="1">
      <c r="A226" s="369">
        <v>355000</v>
      </c>
      <c r="B226" s="364" t="s">
        <v>378</v>
      </c>
      <c r="F226" s="30">
        <f t="shared" si="6"/>
        <v>508</v>
      </c>
      <c r="H226" s="192">
        <v>508218</v>
      </c>
      <c r="I226" s="192"/>
      <c r="J226" s="548"/>
    </row>
    <row r="227" spans="1:10" ht="11.1" customHeight="1">
      <c r="A227" s="369">
        <v>356000</v>
      </c>
      <c r="B227" s="364" t="s">
        <v>379</v>
      </c>
      <c r="F227" s="30">
        <f t="shared" si="6"/>
        <v>285</v>
      </c>
      <c r="H227" s="192">
        <v>284739</v>
      </c>
      <c r="I227" s="192"/>
      <c r="J227" s="548"/>
    </row>
    <row r="228" spans="1:10" ht="11.1" customHeight="1">
      <c r="A228" s="369">
        <v>357000</v>
      </c>
      <c r="B228" s="364" t="s">
        <v>291</v>
      </c>
      <c r="F228" s="30">
        <f t="shared" si="6"/>
        <v>1432</v>
      </c>
      <c r="H228" s="192">
        <v>1431546</v>
      </c>
      <c r="I228" s="192"/>
      <c r="J228" s="548"/>
    </row>
    <row r="229" spans="1:10" ht="11.1" customHeight="1">
      <c r="A229" s="369"/>
      <c r="B229" s="364" t="s">
        <v>380</v>
      </c>
      <c r="F229" s="30">
        <f t="shared" si="6"/>
        <v>26868</v>
      </c>
      <c r="H229" s="192">
        <v>26867675</v>
      </c>
      <c r="I229" s="192"/>
      <c r="J229" s="548"/>
    </row>
    <row r="230" spans="1:10" ht="11.1" customHeight="1">
      <c r="A230" s="369"/>
      <c r="B230" s="364"/>
      <c r="F230" s="30">
        <f t="shared" si="6"/>
        <v>0</v>
      </c>
      <c r="H230" s="192"/>
      <c r="I230" s="192"/>
      <c r="J230" s="548"/>
    </row>
    <row r="231" spans="1:10" ht="11.1" customHeight="1">
      <c r="A231" s="369"/>
      <c r="B231" s="364" t="s">
        <v>381</v>
      </c>
      <c r="F231" s="30">
        <f t="shared" si="6"/>
        <v>0</v>
      </c>
      <c r="H231" s="192"/>
      <c r="I231" s="192"/>
      <c r="J231" s="548"/>
    </row>
    <row r="232" spans="1:10" ht="11.1" customHeight="1">
      <c r="A232" s="369">
        <v>374200</v>
      </c>
      <c r="B232" s="364" t="s">
        <v>371</v>
      </c>
      <c r="F232" s="30">
        <f t="shared" si="6"/>
        <v>64</v>
      </c>
      <c r="H232" s="192">
        <v>63925</v>
      </c>
      <c r="I232" s="192"/>
      <c r="J232" s="548"/>
    </row>
    <row r="233" spans="1:10" ht="11.1" customHeight="1">
      <c r="A233" s="369">
        <v>374400</v>
      </c>
      <c r="B233" s="364" t="s">
        <v>371</v>
      </c>
      <c r="F233" s="30">
        <f t="shared" si="6"/>
        <v>123</v>
      </c>
      <c r="H233" s="192">
        <v>123263</v>
      </c>
      <c r="I233" s="192"/>
      <c r="J233" s="548"/>
    </row>
    <row r="234" spans="1:10" ht="11.1" customHeight="1">
      <c r="A234" s="369">
        <v>375000</v>
      </c>
      <c r="B234" s="364" t="s">
        <v>373</v>
      </c>
      <c r="F234" s="30">
        <f t="shared" si="6"/>
        <v>557</v>
      </c>
      <c r="H234" s="192">
        <v>557491</v>
      </c>
      <c r="I234" s="192"/>
      <c r="J234" s="548"/>
    </row>
    <row r="235" spans="1:10" ht="11.1" customHeight="1">
      <c r="A235" s="369">
        <v>376000</v>
      </c>
      <c r="B235" s="370" t="s">
        <v>309</v>
      </c>
      <c r="F235" s="30">
        <f t="shared" si="6"/>
        <v>192797</v>
      </c>
      <c r="H235" s="192">
        <v>192796710</v>
      </c>
      <c r="I235" s="192"/>
      <c r="J235" s="550"/>
    </row>
    <row r="236" spans="1:10" ht="11.1" customHeight="1">
      <c r="A236" s="369">
        <v>378000</v>
      </c>
      <c r="B236" s="364" t="s">
        <v>382</v>
      </c>
      <c r="F236" s="30">
        <f t="shared" si="6"/>
        <v>3470</v>
      </c>
      <c r="H236" s="192">
        <v>3470244</v>
      </c>
      <c r="I236" s="192"/>
      <c r="J236" s="548"/>
    </row>
    <row r="237" spans="1:10" ht="11.1" customHeight="1">
      <c r="A237" s="369">
        <v>379000</v>
      </c>
      <c r="B237" s="364" t="s">
        <v>383</v>
      </c>
      <c r="F237" s="30">
        <f t="shared" si="6"/>
        <v>2318</v>
      </c>
      <c r="H237" s="192">
        <v>2318264</v>
      </c>
      <c r="I237" s="192"/>
      <c r="J237" s="548"/>
    </row>
    <row r="238" spans="1:10" ht="11.1" customHeight="1">
      <c r="A238" s="369">
        <v>380000</v>
      </c>
      <c r="B238" s="364" t="s">
        <v>310</v>
      </c>
      <c r="F238" s="30">
        <f t="shared" si="6"/>
        <v>136966</v>
      </c>
      <c r="H238" s="192">
        <v>136965858</v>
      </c>
      <c r="I238" s="192"/>
      <c r="J238" s="548"/>
    </row>
    <row r="239" spans="1:10" ht="11.1" customHeight="1">
      <c r="A239" s="369">
        <v>381000</v>
      </c>
      <c r="B239" s="364" t="s">
        <v>384</v>
      </c>
      <c r="F239" s="30">
        <f t="shared" si="6"/>
        <v>51608</v>
      </c>
      <c r="H239" s="192">
        <v>51607604</v>
      </c>
      <c r="I239" s="192"/>
      <c r="J239" s="548"/>
    </row>
    <row r="240" spans="1:10" ht="11.1" customHeight="1">
      <c r="A240" s="369">
        <v>382000</v>
      </c>
      <c r="B240" s="364" t="s">
        <v>385</v>
      </c>
      <c r="F240" s="30">
        <f t="shared" si="6"/>
        <v>0</v>
      </c>
      <c r="H240" s="192">
        <v>0</v>
      </c>
      <c r="I240" s="192"/>
      <c r="J240" s="548"/>
    </row>
    <row r="241" spans="1:10" ht="11.1" customHeight="1">
      <c r="A241" s="369">
        <v>383000</v>
      </c>
      <c r="B241" s="364" t="s">
        <v>386</v>
      </c>
      <c r="F241" s="30">
        <f t="shared" si="6"/>
        <v>0</v>
      </c>
      <c r="H241" s="192">
        <v>0</v>
      </c>
      <c r="I241" s="192"/>
      <c r="J241" s="548"/>
    </row>
    <row r="242" spans="1:10" ht="11.1" customHeight="1">
      <c r="A242" s="369">
        <v>384000</v>
      </c>
      <c r="B242" s="364" t="s">
        <v>387</v>
      </c>
      <c r="F242" s="30">
        <f t="shared" si="6"/>
        <v>0</v>
      </c>
      <c r="H242" s="192">
        <v>0</v>
      </c>
      <c r="I242" s="192"/>
      <c r="J242" s="548"/>
    </row>
    <row r="243" spans="1:10" ht="11.1" customHeight="1">
      <c r="A243" s="369">
        <v>385000</v>
      </c>
      <c r="B243" s="364" t="s">
        <v>388</v>
      </c>
      <c r="F243" s="30">
        <f t="shared" si="6"/>
        <v>2605</v>
      </c>
      <c r="H243" s="192">
        <v>2604708</v>
      </c>
      <c r="I243" s="192"/>
      <c r="J243" s="548"/>
    </row>
    <row r="244" spans="1:10" ht="11.1" customHeight="1">
      <c r="A244" s="369">
        <v>387000</v>
      </c>
      <c r="B244" s="364" t="s">
        <v>291</v>
      </c>
      <c r="F244" s="30">
        <f t="shared" si="6"/>
        <v>0</v>
      </c>
      <c r="H244" s="192">
        <v>0</v>
      </c>
      <c r="I244" s="192"/>
      <c r="J244" s="548"/>
    </row>
    <row r="245" spans="1:10" ht="11.1" customHeight="1">
      <c r="A245" s="369"/>
      <c r="B245" s="364" t="s">
        <v>389</v>
      </c>
      <c r="F245" s="30">
        <f t="shared" si="6"/>
        <v>390508</v>
      </c>
      <c r="H245" s="192">
        <v>390508067</v>
      </c>
      <c r="I245" s="192"/>
      <c r="J245" s="548"/>
    </row>
    <row r="246" spans="1:10" ht="11.1" customHeight="1">
      <c r="A246" s="369"/>
      <c r="B246" s="364"/>
      <c r="F246" s="30">
        <f t="shared" si="6"/>
        <v>0</v>
      </c>
      <c r="H246" s="192"/>
      <c r="I246" s="192"/>
      <c r="J246" s="548"/>
    </row>
    <row r="247" spans="1:10" ht="11.1" customHeight="1">
      <c r="A247" s="369"/>
      <c r="B247" s="364" t="s">
        <v>390</v>
      </c>
      <c r="F247" s="30">
        <f t="shared" si="6"/>
        <v>0</v>
      </c>
      <c r="H247" s="192"/>
      <c r="I247" s="192"/>
      <c r="J247" s="548"/>
    </row>
    <row r="248" spans="1:10" ht="11.1" customHeight="1">
      <c r="A248" s="369" t="s">
        <v>391</v>
      </c>
      <c r="B248" s="364" t="s">
        <v>371</v>
      </c>
      <c r="F248" s="30">
        <f t="shared" si="6"/>
        <v>2160</v>
      </c>
      <c r="H248" s="192">
        <v>2160362</v>
      </c>
      <c r="I248" s="192"/>
      <c r="J248" s="548"/>
    </row>
    <row r="249" spans="1:10" ht="11.1" customHeight="1">
      <c r="A249" s="367" t="s">
        <v>392</v>
      </c>
      <c r="B249" s="364" t="s">
        <v>373</v>
      </c>
      <c r="F249" s="30">
        <f t="shared" si="6"/>
        <v>19009</v>
      </c>
      <c r="H249" s="192">
        <v>19008592</v>
      </c>
      <c r="I249" s="192"/>
      <c r="J249" s="548"/>
    </row>
    <row r="250" spans="1:10" ht="11.1" customHeight="1">
      <c r="A250" s="367" t="s">
        <v>393</v>
      </c>
      <c r="B250" s="364" t="s">
        <v>394</v>
      </c>
      <c r="F250" s="30">
        <f t="shared" si="6"/>
        <v>8906</v>
      </c>
      <c r="H250" s="192">
        <v>8905991</v>
      </c>
      <c r="I250" s="192"/>
      <c r="J250" s="548"/>
    </row>
    <row r="251" spans="1:10" ht="11.1" customHeight="1">
      <c r="A251" s="367" t="s">
        <v>395</v>
      </c>
      <c r="B251" s="364" t="s">
        <v>396</v>
      </c>
      <c r="F251" s="30">
        <f t="shared" si="6"/>
        <v>9099</v>
      </c>
      <c r="H251" s="192">
        <v>9098889</v>
      </c>
      <c r="I251" s="192"/>
      <c r="J251" s="548"/>
    </row>
    <row r="252" spans="1:10" ht="11.1" customHeight="1">
      <c r="A252" s="369">
        <v>393000</v>
      </c>
      <c r="B252" s="364" t="s">
        <v>397</v>
      </c>
      <c r="F252" s="30">
        <f t="shared" si="6"/>
        <v>653</v>
      </c>
      <c r="H252" s="192">
        <v>653060</v>
      </c>
      <c r="I252" s="192"/>
      <c r="J252" s="548"/>
    </row>
    <row r="253" spans="1:10" ht="11.1" customHeight="1">
      <c r="A253" s="369">
        <v>394000</v>
      </c>
      <c r="B253" s="364" t="s">
        <v>398</v>
      </c>
      <c r="F253" s="30">
        <f t="shared" si="6"/>
        <v>5392</v>
      </c>
      <c r="H253" s="192">
        <v>5392411</v>
      </c>
      <c r="I253" s="192"/>
      <c r="J253" s="548"/>
    </row>
    <row r="254" spans="1:10" ht="11.1" customHeight="1">
      <c r="A254" s="369">
        <v>395000</v>
      </c>
      <c r="B254" s="364" t="s">
        <v>399</v>
      </c>
      <c r="F254" s="30">
        <f t="shared" si="6"/>
        <v>262</v>
      </c>
      <c r="H254" s="192">
        <v>261993</v>
      </c>
      <c r="I254" s="192"/>
      <c r="J254" s="548"/>
    </row>
    <row r="255" spans="1:10" ht="11.1" customHeight="1">
      <c r="A255" s="369" t="s">
        <v>400</v>
      </c>
      <c r="B255" s="364" t="s">
        <v>401</v>
      </c>
      <c r="F255" s="30">
        <f t="shared" si="6"/>
        <v>3691</v>
      </c>
      <c r="H255" s="192">
        <v>3691203</v>
      </c>
      <c r="I255" s="192"/>
      <c r="J255" s="548"/>
    </row>
    <row r="256" spans="1:10" ht="11.1" customHeight="1">
      <c r="A256" s="369" t="s">
        <v>402</v>
      </c>
      <c r="B256" s="364" t="s">
        <v>403</v>
      </c>
      <c r="F256" s="30">
        <f t="shared" si="6"/>
        <v>7671</v>
      </c>
      <c r="H256" s="192">
        <v>7671362</v>
      </c>
      <c r="I256" s="192"/>
      <c r="J256" s="548"/>
    </row>
    <row r="257" spans="1:10" ht="11.1" customHeight="1">
      <c r="A257" s="369">
        <v>398000</v>
      </c>
      <c r="B257" s="364" t="s">
        <v>404</v>
      </c>
      <c r="F257" s="30">
        <f t="shared" si="6"/>
        <v>60</v>
      </c>
      <c r="H257" s="192">
        <v>60195</v>
      </c>
      <c r="I257" s="192"/>
      <c r="J257" s="548"/>
    </row>
    <row r="258" spans="1:10" ht="11.1" customHeight="1">
      <c r="A258" s="369"/>
      <c r="B258" s="364" t="s">
        <v>405</v>
      </c>
      <c r="F258" s="30">
        <f t="shared" si="6"/>
        <v>56904</v>
      </c>
      <c r="H258" s="192">
        <v>56904058</v>
      </c>
      <c r="I258" s="192"/>
      <c r="J258" s="548"/>
    </row>
    <row r="259" spans="1:10" ht="11.1" customHeight="1">
      <c r="A259" s="369"/>
      <c r="B259" s="364"/>
      <c r="F259" s="30">
        <f t="shared" si="6"/>
        <v>0</v>
      </c>
      <c r="H259" s="192"/>
      <c r="I259" s="192"/>
      <c r="J259" s="548"/>
    </row>
    <row r="260" spans="1:10" ht="11.1" customHeight="1">
      <c r="A260" s="369"/>
      <c r="B260" s="364" t="s">
        <v>406</v>
      </c>
      <c r="F260" s="30">
        <f t="shared" si="6"/>
        <v>500000</v>
      </c>
      <c r="H260" s="192">
        <v>500000196</v>
      </c>
      <c r="I260" s="192"/>
      <c r="J260" s="548"/>
    </row>
    <row r="261" spans="1:10" ht="11.1" customHeight="1">
      <c r="A261" s="369"/>
      <c r="B261" s="364"/>
      <c r="F261" s="30">
        <f t="shared" si="6"/>
        <v>0</v>
      </c>
      <c r="H261" s="192"/>
      <c r="I261" s="192"/>
      <c r="J261" s="548"/>
    </row>
    <row r="262" spans="1:10" ht="11.1" customHeight="1">
      <c r="A262" s="369"/>
      <c r="B262" s="364"/>
      <c r="F262" s="30">
        <f t="shared" si="6"/>
        <v>0</v>
      </c>
      <c r="H262" s="192"/>
      <c r="I262" s="192"/>
      <c r="J262" s="548"/>
    </row>
    <row r="263" spans="1:10" ht="11.1" customHeight="1">
      <c r="A263" s="367"/>
      <c r="B263" s="364" t="s">
        <v>65</v>
      </c>
      <c r="F263" s="30">
        <f t="shared" si="6"/>
        <v>0</v>
      </c>
      <c r="H263" s="192"/>
      <c r="I263" s="192"/>
      <c r="J263" s="548"/>
    </row>
    <row r="264" spans="1:10" ht="11.1" customHeight="1">
      <c r="A264" s="367"/>
      <c r="B264" s="364" t="s">
        <v>43</v>
      </c>
      <c r="F264" s="30">
        <f t="shared" si="6"/>
        <v>-10148</v>
      </c>
      <c r="H264" s="192">
        <v>-10148063</v>
      </c>
      <c r="I264" s="192"/>
      <c r="J264" s="548"/>
    </row>
    <row r="265" spans="1:10" ht="11.1" customHeight="1">
      <c r="A265" s="367"/>
      <c r="B265" s="364" t="s">
        <v>62</v>
      </c>
      <c r="F265" s="30">
        <f t="shared" si="6"/>
        <v>-129098</v>
      </c>
      <c r="H265" s="192">
        <v>-129098113</v>
      </c>
      <c r="I265" s="192"/>
      <c r="J265" s="548"/>
    </row>
    <row r="266" spans="1:10" ht="11.1" customHeight="1">
      <c r="A266" s="367"/>
      <c r="B266" s="364" t="s">
        <v>63</v>
      </c>
      <c r="F266" s="30">
        <f t="shared" si="6"/>
        <v>-16999</v>
      </c>
      <c r="H266" s="192">
        <v>-16998620</v>
      </c>
      <c r="I266" s="192"/>
      <c r="J266" s="548"/>
    </row>
    <row r="267" spans="1:10" ht="11.1" customHeight="1">
      <c r="A267" s="363"/>
      <c r="B267" s="364" t="s">
        <v>407</v>
      </c>
      <c r="F267" s="30">
        <f t="shared" si="6"/>
        <v>-156245</v>
      </c>
      <c r="H267" s="192">
        <v>-156244796</v>
      </c>
      <c r="I267" s="192"/>
      <c r="J267" s="548"/>
    </row>
    <row r="268" spans="1:10" ht="11.1" customHeight="1">
      <c r="A268" s="363"/>
      <c r="B268" s="364"/>
      <c r="F268" s="30">
        <f t="shared" si="6"/>
        <v>0</v>
      </c>
      <c r="H268" s="192"/>
      <c r="I268" s="192"/>
      <c r="J268" s="548"/>
    </row>
    <row r="269" spans="1:10" ht="11.1" customHeight="1">
      <c r="A269" s="363"/>
      <c r="B269" s="364" t="s">
        <v>408</v>
      </c>
      <c r="F269" s="30">
        <f t="shared" si="6"/>
        <v>0</v>
      </c>
      <c r="H269" s="192"/>
      <c r="I269" s="192"/>
      <c r="J269" s="548"/>
    </row>
    <row r="270" spans="1:10" ht="11.1" customHeight="1">
      <c r="A270" s="367"/>
      <c r="B270" s="364" t="s">
        <v>409</v>
      </c>
      <c r="F270" s="30">
        <f t="shared" si="6"/>
        <v>-392</v>
      </c>
      <c r="H270" s="192">
        <v>-392384</v>
      </c>
      <c r="I270" s="192"/>
      <c r="J270" s="548"/>
    </row>
    <row r="271" spans="1:10" ht="11.1" customHeight="1">
      <c r="A271" s="367"/>
      <c r="B271" s="364" t="s">
        <v>410</v>
      </c>
      <c r="F271" s="30">
        <f t="shared" si="6"/>
        <v>-6044</v>
      </c>
      <c r="H271" s="192">
        <v>-6044460</v>
      </c>
      <c r="I271" s="192"/>
      <c r="J271" s="548"/>
    </row>
    <row r="272" spans="1:10" ht="11.1" customHeight="1">
      <c r="A272" s="367"/>
      <c r="B272" s="364" t="s">
        <v>43</v>
      </c>
      <c r="F272" s="30">
        <f t="shared" si="6"/>
        <v>-169</v>
      </c>
      <c r="H272" s="192">
        <v>-169413</v>
      </c>
      <c r="I272" s="192"/>
      <c r="J272" s="548"/>
    </row>
    <row r="273" spans="1:10" ht="11.1" customHeight="1">
      <c r="A273" s="367"/>
      <c r="B273" s="364" t="s">
        <v>411</v>
      </c>
      <c r="F273" s="30">
        <f t="shared" si="6"/>
        <v>-38</v>
      </c>
      <c r="H273" s="192">
        <v>-38118</v>
      </c>
      <c r="I273" s="192"/>
      <c r="J273" s="548"/>
    </row>
    <row r="274" spans="1:10" ht="11.1" customHeight="1">
      <c r="A274" s="367"/>
      <c r="B274" s="364" t="s">
        <v>412</v>
      </c>
      <c r="F274" s="30">
        <f t="shared" si="6"/>
        <v>-6644</v>
      </c>
      <c r="H274" s="192">
        <v>-6644375</v>
      </c>
      <c r="I274" s="192"/>
      <c r="J274" s="548"/>
    </row>
    <row r="275" spans="1:10" ht="11.1" customHeight="1">
      <c r="A275" s="367"/>
      <c r="B275" s="364"/>
      <c r="F275" s="30">
        <f t="shared" si="6"/>
        <v>0</v>
      </c>
      <c r="H275" s="192"/>
      <c r="I275" s="192"/>
      <c r="J275" s="548"/>
    </row>
    <row r="276" spans="1:10" ht="11.1" customHeight="1">
      <c r="A276" s="367"/>
      <c r="B276" s="364" t="s">
        <v>413</v>
      </c>
      <c r="F276" s="30">
        <f t="shared" si="6"/>
        <v>-162889</v>
      </c>
      <c r="H276" s="192">
        <v>-162889171</v>
      </c>
      <c r="I276" s="192"/>
      <c r="J276" s="548"/>
    </row>
    <row r="277" spans="1:10" ht="11.1" customHeight="1">
      <c r="A277" s="367"/>
      <c r="B277" s="364"/>
      <c r="F277" s="30">
        <f t="shared" si="6"/>
        <v>0</v>
      </c>
      <c r="H277" s="192"/>
      <c r="I277" s="192"/>
      <c r="J277" s="548"/>
    </row>
    <row r="278" spans="1:10" ht="11.1" customHeight="1">
      <c r="A278" s="363"/>
      <c r="B278" s="364" t="s">
        <v>414</v>
      </c>
      <c r="F278" s="30">
        <f t="shared" si="6"/>
        <v>337111</v>
      </c>
      <c r="H278" s="192">
        <v>337111025</v>
      </c>
      <c r="I278" s="192"/>
      <c r="J278" s="548"/>
    </row>
    <row r="279" spans="1:10" ht="11.1" customHeight="1">
      <c r="A279" s="363"/>
      <c r="B279" s="364"/>
      <c r="F279" s="30">
        <f t="shared" si="6"/>
        <v>0</v>
      </c>
      <c r="H279" s="192"/>
      <c r="I279" s="192"/>
      <c r="J279" s="548"/>
    </row>
    <row r="280" spans="1:10" ht="11.1" customHeight="1">
      <c r="A280" s="371"/>
      <c r="B280" s="372" t="s">
        <v>415</v>
      </c>
      <c r="F280" s="30">
        <f t="shared" si="6"/>
        <v>0</v>
      </c>
      <c r="H280" s="192"/>
      <c r="I280" s="192"/>
      <c r="J280" s="551"/>
    </row>
    <row r="281" spans="1:10" ht="11.1" customHeight="1">
      <c r="A281" s="373">
        <v>282900</v>
      </c>
      <c r="B281" s="372" t="s">
        <v>416</v>
      </c>
      <c r="F281" s="30">
        <f t="shared" si="6"/>
        <v>-63730</v>
      </c>
      <c r="H281" s="192">
        <v>-63729945</v>
      </c>
      <c r="I281" s="192"/>
      <c r="J281" s="551"/>
    </row>
    <row r="282" spans="1:10" ht="11.1" customHeight="1">
      <c r="A282" s="373">
        <v>282900</v>
      </c>
      <c r="B282" s="372" t="s">
        <v>417</v>
      </c>
      <c r="F282" s="30">
        <f t="shared" ref="F282" si="7">ROUND(H282/1000,0)</f>
        <v>-9325</v>
      </c>
      <c r="H282" s="192">
        <v>-9325397</v>
      </c>
      <c r="I282" s="192"/>
      <c r="J282" s="551"/>
    </row>
    <row r="283" spans="1:10" ht="11.1" customHeight="1">
      <c r="A283" s="373">
        <v>283750</v>
      </c>
      <c r="B283" s="372" t="s">
        <v>461</v>
      </c>
      <c r="F283" s="30">
        <f t="shared" si="6"/>
        <v>-217</v>
      </c>
      <c r="H283" s="192">
        <v>-217030</v>
      </c>
      <c r="I283" s="192"/>
      <c r="J283" s="551"/>
    </row>
    <row r="284" spans="1:10" ht="11.1" customHeight="1">
      <c r="A284" s="373">
        <v>283850</v>
      </c>
      <c r="B284" s="372" t="s">
        <v>418</v>
      </c>
      <c r="F284" s="30">
        <f t="shared" ref="F284:F302" si="8">ROUND(H284/1000,0)</f>
        <v>-584</v>
      </c>
      <c r="H284" s="192">
        <v>-583946</v>
      </c>
      <c r="I284" s="192"/>
      <c r="J284" s="551"/>
    </row>
    <row r="285" spans="1:10" ht="11.1" customHeight="1">
      <c r="A285" s="367"/>
      <c r="B285" s="364" t="s">
        <v>419</v>
      </c>
      <c r="F285" s="30">
        <f t="shared" si="8"/>
        <v>-73856</v>
      </c>
      <c r="H285" s="192">
        <v>-73856318</v>
      </c>
      <c r="I285" s="192"/>
      <c r="J285" s="548"/>
    </row>
    <row r="286" spans="1:10" ht="11.1" customHeight="1">
      <c r="A286" s="363"/>
      <c r="B286" s="364"/>
      <c r="F286" s="30">
        <f t="shared" si="8"/>
        <v>0</v>
      </c>
      <c r="H286" s="192"/>
      <c r="I286" s="192"/>
      <c r="J286" s="548"/>
    </row>
    <row r="287" spans="1:10" ht="11.1" customHeight="1">
      <c r="A287" s="363"/>
      <c r="B287" s="364" t="s">
        <v>420</v>
      </c>
      <c r="F287" s="30">
        <f t="shared" si="8"/>
        <v>263255</v>
      </c>
      <c r="H287" s="192">
        <v>263254707</v>
      </c>
      <c r="I287" s="192"/>
      <c r="J287" s="548"/>
    </row>
    <row r="289" spans="1:10" ht="11.1" customHeight="1">
      <c r="A289" s="374"/>
      <c r="B289" s="375" t="s">
        <v>421</v>
      </c>
      <c r="F289" s="30">
        <f t="shared" si="8"/>
        <v>0</v>
      </c>
      <c r="J289" s="548"/>
    </row>
    <row r="290" spans="1:10" ht="11.1" customHeight="1">
      <c r="A290" s="376">
        <v>253850</v>
      </c>
      <c r="B290" s="375" t="s">
        <v>422</v>
      </c>
      <c r="F290" s="30">
        <f t="shared" si="8"/>
        <v>0</v>
      </c>
      <c r="H290" s="192">
        <v>0</v>
      </c>
      <c r="I290" s="192"/>
      <c r="J290" s="548"/>
    </row>
    <row r="291" spans="1:10" ht="11.1" customHeight="1">
      <c r="A291" s="376">
        <v>190850</v>
      </c>
      <c r="B291" s="375" t="s">
        <v>423</v>
      </c>
      <c r="F291" s="30">
        <f t="shared" si="8"/>
        <v>0</v>
      </c>
      <c r="H291" s="192">
        <v>0</v>
      </c>
      <c r="I291" s="192"/>
      <c r="J291" s="548"/>
    </row>
    <row r="292" spans="1:10" ht="11.1" customHeight="1">
      <c r="A292" s="377">
        <v>117100</v>
      </c>
      <c r="B292" s="378" t="s">
        <v>424</v>
      </c>
      <c r="F292" s="30">
        <f t="shared" si="8"/>
        <v>4042</v>
      </c>
      <c r="H292" s="192">
        <v>4042119</v>
      </c>
      <c r="I292" s="192"/>
      <c r="J292" s="551"/>
    </row>
    <row r="293" spans="1:10" ht="11.1" customHeight="1">
      <c r="A293" s="377">
        <v>164100</v>
      </c>
      <c r="B293" s="378" t="s">
        <v>425</v>
      </c>
      <c r="F293" s="30">
        <f t="shared" si="8"/>
        <v>5074</v>
      </c>
      <c r="H293" s="192">
        <v>5074110</v>
      </c>
      <c r="I293" s="192"/>
      <c r="J293" s="551"/>
    </row>
    <row r="294" spans="1:10" ht="11.1" customHeight="1">
      <c r="A294" s="377">
        <v>252000</v>
      </c>
      <c r="B294" s="379" t="s">
        <v>426</v>
      </c>
      <c r="F294" s="30">
        <f t="shared" si="8"/>
        <v>-12</v>
      </c>
      <c r="H294" s="192">
        <v>-11831</v>
      </c>
      <c r="I294" s="192"/>
      <c r="J294" s="552"/>
    </row>
    <row r="295" spans="1:10" ht="11.1" customHeight="1">
      <c r="A295" s="377">
        <v>235199</v>
      </c>
      <c r="B295" s="379" t="s">
        <v>427</v>
      </c>
      <c r="F295" s="30">
        <f t="shared" si="8"/>
        <v>-472</v>
      </c>
      <c r="H295" s="192">
        <v>-471646</v>
      </c>
      <c r="I295" s="192"/>
      <c r="J295" s="552"/>
    </row>
    <row r="296" spans="1:10" ht="11.1" customHeight="1">
      <c r="A296" s="665">
        <v>182302</v>
      </c>
      <c r="B296" s="552" t="s">
        <v>524</v>
      </c>
      <c r="F296" s="30">
        <f t="shared" si="8"/>
        <v>361</v>
      </c>
      <c r="H296" s="192">
        <v>360805</v>
      </c>
      <c r="I296" s="192"/>
      <c r="J296" s="552"/>
    </row>
    <row r="297" spans="1:10" ht="11.1" customHeight="1">
      <c r="A297" s="665">
        <v>283302</v>
      </c>
      <c r="B297" s="552" t="s">
        <v>525</v>
      </c>
      <c r="F297" s="30">
        <f t="shared" si="8"/>
        <v>-126</v>
      </c>
      <c r="H297" s="192">
        <v>-126282</v>
      </c>
      <c r="I297" s="192"/>
      <c r="J297" s="552"/>
    </row>
    <row r="298" spans="1:10" ht="11.1" customHeight="1">
      <c r="A298" s="380"/>
      <c r="B298" s="381" t="s">
        <v>428</v>
      </c>
      <c r="F298" s="30">
        <f t="shared" si="8"/>
        <v>15664</v>
      </c>
      <c r="H298" s="192">
        <v>15664179</v>
      </c>
      <c r="I298" s="192"/>
      <c r="J298" s="552"/>
    </row>
    <row r="299" spans="1:10" ht="11.1" customHeight="1">
      <c r="A299" s="377">
        <v>186710</v>
      </c>
      <c r="B299" s="378" t="s">
        <v>429</v>
      </c>
      <c r="F299" s="30">
        <f t="shared" si="8"/>
        <v>0</v>
      </c>
      <c r="H299" s="192">
        <v>0</v>
      </c>
      <c r="I299" s="192"/>
      <c r="J299" s="551"/>
    </row>
    <row r="300" spans="1:10" ht="11.1" customHeight="1">
      <c r="A300" s="379"/>
      <c r="B300" s="375" t="s">
        <v>430</v>
      </c>
      <c r="F300" s="30">
        <f t="shared" si="8"/>
        <v>24531</v>
      </c>
      <c r="H300" s="192">
        <v>24531454</v>
      </c>
      <c r="I300" s="192"/>
      <c r="J300" s="548"/>
    </row>
    <row r="301" spans="1:10" ht="11.1" customHeight="1">
      <c r="A301" s="379"/>
      <c r="B301" s="375"/>
      <c r="F301" s="30">
        <f t="shared" si="8"/>
        <v>0</v>
      </c>
      <c r="H301" s="192"/>
      <c r="I301" s="192"/>
      <c r="J301" s="548"/>
    </row>
    <row r="302" spans="1:10" ht="11.1" customHeight="1">
      <c r="A302" s="379"/>
      <c r="B302" s="375" t="s">
        <v>431</v>
      </c>
      <c r="F302" s="30">
        <f t="shared" si="8"/>
        <v>287786</v>
      </c>
      <c r="H302" s="192">
        <v>287786161</v>
      </c>
      <c r="I302" s="192"/>
      <c r="J302" s="548"/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9"/>
  <sheetViews>
    <sheetView view="pageBreakPreview" zoomScale="85" zoomScaleNormal="100" zoomScaleSheetLayoutView="85" workbookViewId="0">
      <selection sqref="A1:O1"/>
    </sheetView>
  </sheetViews>
  <sheetFormatPr defaultColWidth="11.42578125" defaultRowHeight="12.75"/>
  <cols>
    <col min="1" max="1" width="6.42578125" style="36" customWidth="1"/>
    <col min="2" max="2" width="34.85546875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44"/>
    <col min="17" max="17" width="5.85546875" style="144" bestFit="1" customWidth="1"/>
    <col min="18" max="18" width="18.5703125" style="144" customWidth="1"/>
    <col min="19" max="21" width="11.42578125" style="52"/>
    <col min="22" max="16384" width="11.42578125" style="36"/>
  </cols>
  <sheetData>
    <row r="1" spans="1:21" ht="18.75">
      <c r="A1" s="814"/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390"/>
    </row>
    <row r="2" spans="1:21" ht="18.75">
      <c r="A2" s="814" t="s">
        <v>115</v>
      </c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814"/>
      <c r="O2" s="814"/>
      <c r="P2" s="390"/>
    </row>
    <row r="3" spans="1:21" ht="18.75">
      <c r="A3" s="814" t="s">
        <v>184</v>
      </c>
      <c r="B3" s="814"/>
      <c r="C3" s="814"/>
      <c r="D3" s="814"/>
      <c r="E3" s="814"/>
      <c r="F3" s="814"/>
      <c r="G3" s="814"/>
      <c r="H3" s="814"/>
      <c r="I3" s="814"/>
      <c r="J3" s="814"/>
      <c r="K3" s="814"/>
      <c r="L3" s="814"/>
      <c r="M3" s="814"/>
      <c r="N3" s="814"/>
      <c r="O3" s="814"/>
      <c r="P3" s="390"/>
    </row>
    <row r="4" spans="1:21" s="52" customFormat="1" ht="18.75">
      <c r="A4" s="168"/>
      <c r="B4" s="168"/>
      <c r="C4" s="168"/>
      <c r="D4" s="168"/>
      <c r="E4" s="168"/>
      <c r="F4" s="168"/>
      <c r="H4" s="166"/>
      <c r="I4" s="168"/>
      <c r="J4" s="168"/>
      <c r="K4" s="168"/>
      <c r="L4" s="168"/>
      <c r="M4" s="168"/>
      <c r="N4" s="166"/>
      <c r="O4" s="166"/>
      <c r="P4" s="142"/>
      <c r="Q4" s="142"/>
      <c r="R4" s="142"/>
    </row>
    <row r="5" spans="1:21" ht="14.25">
      <c r="H5" s="182" t="s">
        <v>155</v>
      </c>
    </row>
    <row r="7" spans="1:21" s="52" customFormat="1">
      <c r="A7" s="36"/>
      <c r="B7" s="36"/>
      <c r="C7" s="36"/>
      <c r="D7" s="36"/>
      <c r="E7" s="36"/>
      <c r="F7" s="36"/>
      <c r="G7" s="36"/>
      <c r="I7" s="36"/>
      <c r="J7" s="36"/>
      <c r="K7" s="55"/>
      <c r="L7" s="791" t="s">
        <v>175</v>
      </c>
      <c r="M7" s="791"/>
      <c r="N7" s="791"/>
      <c r="P7" s="142"/>
      <c r="Q7" s="142"/>
      <c r="R7" s="142"/>
    </row>
    <row r="8" spans="1:21" s="52" customFormat="1">
      <c r="A8" s="36"/>
      <c r="B8" s="36"/>
      <c r="C8" s="36"/>
      <c r="D8" s="36"/>
      <c r="E8" s="791" t="s">
        <v>176</v>
      </c>
      <c r="F8" s="791"/>
      <c r="G8" s="55"/>
      <c r="H8" s="799"/>
      <c r="I8" s="799"/>
      <c r="J8" s="36"/>
      <c r="K8" s="791" t="s">
        <v>177</v>
      </c>
      <c r="L8" s="791"/>
      <c r="N8" s="791" t="s">
        <v>178</v>
      </c>
      <c r="O8" s="791"/>
      <c r="P8" s="142"/>
      <c r="Q8" s="142"/>
      <c r="R8" s="142"/>
    </row>
    <row r="9" spans="1:21" s="52" customFormat="1">
      <c r="A9" s="36"/>
      <c r="B9" s="36"/>
      <c r="C9" s="36"/>
      <c r="D9" s="36"/>
      <c r="E9" s="813" t="s">
        <v>71</v>
      </c>
      <c r="F9" s="813"/>
      <c r="G9" s="57"/>
      <c r="H9" s="813" t="s">
        <v>71</v>
      </c>
      <c r="I9" s="813"/>
      <c r="J9" s="36"/>
      <c r="K9" s="813" t="s">
        <v>71</v>
      </c>
      <c r="L9" s="813"/>
      <c r="N9" s="37" t="s">
        <v>179</v>
      </c>
      <c r="O9" s="37" t="s">
        <v>19</v>
      </c>
      <c r="P9" s="142"/>
      <c r="Q9" s="142"/>
      <c r="R9" s="142"/>
    </row>
    <row r="10" spans="1:21">
      <c r="A10" s="56" t="s">
        <v>180</v>
      </c>
      <c r="B10" s="56" t="s">
        <v>73</v>
      </c>
      <c r="C10" s="37"/>
      <c r="D10" s="37"/>
      <c r="E10" s="56" t="s">
        <v>74</v>
      </c>
      <c r="F10" s="56" t="s">
        <v>19</v>
      </c>
      <c r="G10" s="38"/>
      <c r="H10" s="56" t="s">
        <v>74</v>
      </c>
      <c r="I10" s="56" t="s">
        <v>19</v>
      </c>
      <c r="K10" s="56" t="s">
        <v>74</v>
      </c>
      <c r="L10" s="56" t="s">
        <v>19</v>
      </c>
      <c r="N10" s="152">
        <f>'Exh. No. BGM-4 2'!F21</f>
        <v>0.620645</v>
      </c>
      <c r="O10" s="153">
        <f>'Exh. No. BGM-4 2'!N15</f>
        <v>7.0800000000000002E-2</v>
      </c>
    </row>
    <row r="11" spans="1:21">
      <c r="A11" s="260">
        <f>'Exh. No. BGM 4 4'!E$11</f>
        <v>1</v>
      </c>
      <c r="B11" s="59" t="str">
        <f>TRIM(CONCATENATE('Exh. No. BGM 4 4'!E$8," ",'Exh. No. BGM 4 4'!E$9," ",'Exh. No. BGM 4 4'!E$10))</f>
        <v>Per Results Report</v>
      </c>
      <c r="C11" s="60"/>
      <c r="D11" s="60"/>
      <c r="E11" s="61">
        <v>14549</v>
      </c>
      <c r="F11" s="61">
        <v>259389</v>
      </c>
      <c r="G11" s="61"/>
      <c r="H11" s="61">
        <f>'Exh. No. BGM 4 4'!E$59</f>
        <v>23458</v>
      </c>
      <c r="I11" s="61">
        <f>'Exh. No. BGM 4 4'!E$82</f>
        <v>287787</v>
      </c>
      <c r="J11" s="52"/>
      <c r="K11" s="154">
        <f>H11-E11</f>
        <v>8909</v>
      </c>
      <c r="L11" s="154">
        <f>I11-F11</f>
        <v>28398</v>
      </c>
      <c r="N11" s="157">
        <f>K11/$N$10*-1</f>
        <v>-14354.421609776926</v>
      </c>
      <c r="O11" s="157">
        <f>L11*$O$10/$N$10</f>
        <v>3239.4982639028754</v>
      </c>
      <c r="P11" s="203">
        <f>N11+O11</f>
        <v>-11114.923345874051</v>
      </c>
      <c r="S11" s="142"/>
    </row>
    <row r="12" spans="1:21" s="70" customFormat="1">
      <c r="A12" s="260">
        <f>'Exh. No. BGM 4 4'!F$11</f>
        <v>1.01</v>
      </c>
      <c r="B12" s="59" t="str">
        <f>TRIM(CONCATENATE('Exh. No. BGM 4 4'!F$8," ",'Exh. No. BGM 4 4'!F$9," ",'Exh. No. BGM 4 4'!F$10))</f>
        <v>Deferred FIT Rate Base</v>
      </c>
      <c r="C12" s="60"/>
      <c r="D12" s="60"/>
      <c r="E12" s="61">
        <v>0.497</v>
      </c>
      <c r="F12" s="61">
        <v>50</v>
      </c>
      <c r="G12" s="68"/>
      <c r="H12" s="68">
        <f>'Exh. No. BGM 4 4'!F$59</f>
        <v>-3.0485000000000002</v>
      </c>
      <c r="I12" s="68">
        <f>'Exh. No. BGM 4 4'!F$82</f>
        <v>-325</v>
      </c>
      <c r="J12" s="72"/>
      <c r="K12" s="154">
        <f t="shared" ref="K12:K14" si="0">H12-E12</f>
        <v>-3.5455000000000001</v>
      </c>
      <c r="L12" s="154">
        <f t="shared" ref="L12:L14" si="1">I12-F12</f>
        <v>-375</v>
      </c>
      <c r="N12" s="157">
        <f t="shared" ref="N12:N14" si="2">K12/$N$10*-1</f>
        <v>5.712605434668772</v>
      </c>
      <c r="O12" s="157">
        <f t="shared" ref="O12:O14" si="3">L12*$O$10/$N$10</f>
        <v>-42.778077645030571</v>
      </c>
      <c r="P12" s="203">
        <f t="shared" ref="P12:P14" si="4">N12+O12</f>
        <v>-37.065472210361797</v>
      </c>
      <c r="Q12" s="145"/>
      <c r="R12" s="145"/>
      <c r="S12" s="146"/>
      <c r="T12" s="72"/>
      <c r="U12" s="72"/>
    </row>
    <row r="13" spans="1:21" s="70" customFormat="1">
      <c r="A13" s="260">
        <f>'Exh. No. BGM 4 4'!G$11</f>
        <v>1.02</v>
      </c>
      <c r="B13" s="59" t="str">
        <f>TRIM(CONCATENATE('Exh. No. BGM 4 4'!G$8," ",'Exh. No. BGM 4 4'!G$9," ",'Exh. No. BGM 4 4'!G$10))</f>
        <v>Deferred Debits and Credits</v>
      </c>
      <c r="C13" s="60"/>
      <c r="D13" s="60"/>
      <c r="E13" s="61">
        <v>-0.65</v>
      </c>
      <c r="F13" s="61">
        <v>0</v>
      </c>
      <c r="G13" s="68"/>
      <c r="H13" s="68">
        <f>'Exh. No. BGM 4 4'!G$59</f>
        <v>-1.3</v>
      </c>
      <c r="I13" s="68">
        <f>'Exh. No. BGM 4 4'!G$82</f>
        <v>0</v>
      </c>
      <c r="J13" s="72"/>
      <c r="K13" s="154">
        <f t="shared" si="0"/>
        <v>-0.65</v>
      </c>
      <c r="L13" s="154">
        <f t="shared" si="1"/>
        <v>0</v>
      </c>
      <c r="N13" s="157">
        <f t="shared" si="2"/>
        <v>1.0472975694640254</v>
      </c>
      <c r="O13" s="157">
        <f t="shared" si="3"/>
        <v>0</v>
      </c>
      <c r="P13" s="203">
        <f t="shared" si="4"/>
        <v>1.0472975694640254</v>
      </c>
      <c r="Q13" s="144"/>
      <c r="R13" s="145"/>
      <c r="S13" s="146"/>
      <c r="T13" s="72"/>
      <c r="U13" s="72"/>
    </row>
    <row r="14" spans="1:21" s="70" customFormat="1">
      <c r="A14" s="260">
        <f>'Exh. No. BGM 4 4'!H$11</f>
        <v>1.03</v>
      </c>
      <c r="B14" s="59" t="str">
        <f>TRIM(CONCATENATE('Exh. No. BGM 4 4'!H$8," ",'Exh. No. BGM 4 4'!H$9," ",'Exh. No. BGM 4 4'!H$10))</f>
        <v>Working Capital</v>
      </c>
      <c r="C14" s="60"/>
      <c r="D14" s="60"/>
      <c r="E14" s="61">
        <v>28.110319999999998</v>
      </c>
      <c r="F14" s="61">
        <v>2828</v>
      </c>
      <c r="G14" s="68"/>
      <c r="H14" s="68">
        <f>'Exh. No. BGM 4 4'!H$59</f>
        <v>-8.1043199999999995</v>
      </c>
      <c r="I14" s="68">
        <f>'Exh. No. BGM 4 4'!H$82</f>
        <v>-864</v>
      </c>
      <c r="J14" s="72"/>
      <c r="K14" s="154">
        <f t="shared" si="0"/>
        <v>-36.214639999999996</v>
      </c>
      <c r="L14" s="154">
        <f t="shared" si="1"/>
        <v>-3692</v>
      </c>
      <c r="N14" s="157">
        <f t="shared" si="2"/>
        <v>58.350006847714873</v>
      </c>
      <c r="O14" s="157">
        <f t="shared" si="3"/>
        <v>-421.16443377454101</v>
      </c>
      <c r="P14" s="203">
        <f t="shared" si="4"/>
        <v>-362.81442692682612</v>
      </c>
      <c r="Q14" s="144"/>
      <c r="R14" s="144"/>
      <c r="S14" s="146"/>
      <c r="T14" s="72"/>
      <c r="U14" s="72"/>
    </row>
    <row r="15" spans="1:21" ht="15.75" customHeight="1">
      <c r="A15" s="260"/>
      <c r="B15" s="139"/>
      <c r="C15" s="140"/>
      <c r="D15" s="140"/>
      <c r="E15" s="61"/>
      <c r="F15" s="61"/>
      <c r="G15" s="141"/>
      <c r="H15" s="141"/>
      <c r="I15" s="141"/>
      <c r="J15" s="146"/>
      <c r="K15" s="154"/>
      <c r="L15" s="154"/>
      <c r="M15" s="156"/>
      <c r="N15" s="157"/>
      <c r="O15" s="157"/>
      <c r="P15" s="203"/>
      <c r="S15" s="142"/>
    </row>
    <row r="16" spans="1:21" ht="8.25" customHeight="1">
      <c r="A16" s="260"/>
      <c r="B16" s="59"/>
      <c r="C16" s="60"/>
      <c r="D16" s="60"/>
      <c r="E16" s="61"/>
      <c r="F16" s="61"/>
      <c r="G16" s="68"/>
      <c r="H16" s="68"/>
      <c r="I16" s="68"/>
      <c r="J16" s="52"/>
      <c r="K16" s="154"/>
      <c r="L16" s="154"/>
      <c r="M16" s="70"/>
      <c r="N16" s="157"/>
      <c r="O16" s="157"/>
      <c r="S16" s="142"/>
    </row>
    <row r="17" spans="1:21">
      <c r="A17" s="260"/>
      <c r="B17" s="36" t="s">
        <v>76</v>
      </c>
      <c r="E17" s="62">
        <f>SUM(E11:E16)</f>
        <v>14576.95732</v>
      </c>
      <c r="F17" s="62">
        <f>SUM(F11:F16)</f>
        <v>262267</v>
      </c>
      <c r="G17" s="62"/>
      <c r="H17" s="62">
        <f>SUM(H11:H16)</f>
        <v>23445.547180000001</v>
      </c>
      <c r="I17" s="62">
        <f>SUM(I11:I16)</f>
        <v>286598</v>
      </c>
      <c r="J17" s="52"/>
      <c r="K17" s="62">
        <f>SUM(K11:K16)</f>
        <v>8868.58986</v>
      </c>
      <c r="L17" s="62">
        <f>SUM(L11:L16)</f>
        <v>24331</v>
      </c>
      <c r="N17" s="62">
        <f>SUM(N11:N16)</f>
        <v>-14289.311699925078</v>
      </c>
      <c r="O17" s="62">
        <f>SUM(O11:O16)</f>
        <v>2775.5557524833039</v>
      </c>
      <c r="S17" s="142"/>
    </row>
    <row r="18" spans="1:21" ht="5.25" customHeight="1">
      <c r="A18" s="260"/>
      <c r="B18" s="59"/>
      <c r="C18" s="60"/>
      <c r="D18" s="60"/>
      <c r="E18" s="61"/>
      <c r="F18" s="61"/>
      <c r="G18" s="61"/>
      <c r="H18" s="61"/>
      <c r="I18" s="61"/>
      <c r="J18" s="52"/>
    </row>
    <row r="19" spans="1:21" s="70" customFormat="1">
      <c r="A19" s="563">
        <f>'Exh. No. BGM 4 4'!I$11</f>
        <v>2.0099999999999998</v>
      </c>
      <c r="B19" s="59" t="str">
        <f>TRIM(CONCATENATE('Exh. No. BGM 4 4'!I$8," ",'Exh. No. BGM 4 4'!I$9," ",'Exh. No. BGM 4 4'!I$10))</f>
        <v>Eliminate B &amp; O Taxes</v>
      </c>
      <c r="C19" s="60"/>
      <c r="D19" s="60"/>
      <c r="E19" s="61">
        <v>-9.1000000000000014</v>
      </c>
      <c r="F19" s="61">
        <v>0</v>
      </c>
      <c r="G19" s="68"/>
      <c r="H19" s="68">
        <f>'Exh. No. BGM 4 4'!I$59</f>
        <v>-20.8</v>
      </c>
      <c r="I19" s="68">
        <f>'Exh. No. BGM 4 4'!I$82</f>
        <v>0</v>
      </c>
      <c r="J19" s="72"/>
      <c r="K19" s="154">
        <f t="shared" ref="K19:K30" si="5">H19-E19</f>
        <v>-11.7</v>
      </c>
      <c r="L19" s="154">
        <f t="shared" ref="L19:L30" si="6">I19-F19</f>
        <v>0</v>
      </c>
      <c r="M19" s="36"/>
      <c r="N19" s="157">
        <f t="shared" ref="N19:N30" si="7">K19/$N$10*-1</f>
        <v>18.851356250352456</v>
      </c>
      <c r="O19" s="157">
        <f t="shared" ref="O19:O30" si="8">L19*$O$10/$N$10</f>
        <v>0</v>
      </c>
      <c r="P19" s="203">
        <f t="shared" ref="P19:P30" si="9">N19+O19</f>
        <v>18.851356250352456</v>
      </c>
      <c r="Q19" s="145"/>
      <c r="R19" s="144"/>
      <c r="S19" s="52"/>
      <c r="T19" s="72"/>
      <c r="U19" s="72"/>
    </row>
    <row r="20" spans="1:21" s="70" customFormat="1">
      <c r="A20" s="563">
        <f>'Exh. No. BGM 4 4'!J$11</f>
        <v>2.0199999999999996</v>
      </c>
      <c r="B20" s="59" t="str">
        <f>TRIM(CONCATENATE('Exh. No. BGM 4 4'!J$8," ",'Exh. No. BGM 4 4'!J$9," ",'Exh. No. BGM 4 4'!J$10))</f>
        <v>Restate Property Tax</v>
      </c>
      <c r="C20" s="60"/>
      <c r="D20" s="60"/>
      <c r="E20" s="61">
        <v>122.2</v>
      </c>
      <c r="F20" s="61">
        <v>0</v>
      </c>
      <c r="G20" s="68"/>
      <c r="H20" s="68">
        <f>'Exh. No. BGM 4 4'!J$59</f>
        <v>-243.75</v>
      </c>
      <c r="I20" s="68">
        <f>'Exh. No. BGM 4 4'!J$82</f>
        <v>0</v>
      </c>
      <c r="J20" s="72"/>
      <c r="K20" s="154">
        <f t="shared" si="5"/>
        <v>-365.95</v>
      </c>
      <c r="L20" s="154">
        <f t="shared" si="6"/>
        <v>0</v>
      </c>
      <c r="M20" s="36"/>
      <c r="N20" s="157">
        <f t="shared" si="7"/>
        <v>589.62853160824625</v>
      </c>
      <c r="O20" s="157">
        <f t="shared" si="8"/>
        <v>0</v>
      </c>
      <c r="P20" s="203">
        <f t="shared" si="9"/>
        <v>589.62853160824625</v>
      </c>
      <c r="Q20" s="145"/>
      <c r="R20" s="144"/>
      <c r="S20" s="209"/>
      <c r="T20" s="72"/>
      <c r="U20" s="72"/>
    </row>
    <row r="21" spans="1:21" s="70" customFormat="1">
      <c r="A21" s="563">
        <f>'Exh. No. BGM 4 4'!K$11</f>
        <v>2.0299999999999994</v>
      </c>
      <c r="B21" s="59" t="str">
        <f>TRIM(CONCATENATE('Exh. No. BGM 4 4'!K$8," ",'Exh. No. BGM 4 4'!K$9," ",'Exh. No. BGM 4 4'!K$10))</f>
        <v>Uncollectible Expense</v>
      </c>
      <c r="C21" s="60"/>
      <c r="D21" s="60"/>
      <c r="E21" s="61">
        <v>203.45</v>
      </c>
      <c r="F21" s="61">
        <v>0</v>
      </c>
      <c r="G21" s="68"/>
      <c r="H21" s="68">
        <f>'Exh. No. BGM 4 4'!K$59</f>
        <v>383.5</v>
      </c>
      <c r="I21" s="68">
        <f>'Exh. No. BGM 4 4'!K$82</f>
        <v>0</v>
      </c>
      <c r="J21" s="72"/>
      <c r="K21" s="154">
        <f t="shared" ref="K21" si="10">H21-E21</f>
        <v>180.05</v>
      </c>
      <c r="L21" s="154">
        <f t="shared" ref="L21" si="11">I21-F21</f>
        <v>0</v>
      </c>
      <c r="M21" s="36"/>
      <c r="N21" s="157">
        <f t="shared" ref="N21" si="12">K21/$N$10*-1</f>
        <v>-290.10142674153502</v>
      </c>
      <c r="O21" s="157">
        <f t="shared" ref="O21" si="13">L21*$O$10/$N$10</f>
        <v>0</v>
      </c>
      <c r="P21" s="203">
        <f t="shared" ref="P21" si="14">N21+O21</f>
        <v>-290.10142674153502</v>
      </c>
      <c r="Q21" s="145"/>
      <c r="R21" s="144"/>
      <c r="S21" s="209"/>
      <c r="T21" s="72"/>
      <c r="U21" s="72"/>
    </row>
    <row r="22" spans="1:21" s="70" customFormat="1">
      <c r="A22" s="563">
        <f>'Exh. No. BGM 4 4'!L$11</f>
        <v>2.0399999999999991</v>
      </c>
      <c r="B22" s="59" t="str">
        <f>TRIM(CONCATENATE('Exh. No. BGM 4 4'!L$8," ",'Exh. No. BGM 4 4'!L$9," ",'Exh. No. BGM 4 4'!L$10))</f>
        <v>Regulatory Expense</v>
      </c>
      <c r="C22" s="60"/>
      <c r="D22" s="60"/>
      <c r="E22" s="61">
        <v>7.8000000000000007</v>
      </c>
      <c r="F22" s="61">
        <v>0</v>
      </c>
      <c r="G22" s="68"/>
      <c r="H22" s="68">
        <f>'Exh. No. BGM 4 4'!L$59</f>
        <v>1.9500000000000002</v>
      </c>
      <c r="I22" s="68">
        <f>'Exh. No. BGM 4 4'!L$82</f>
        <v>0</v>
      </c>
      <c r="J22" s="72"/>
      <c r="K22" s="154">
        <f t="shared" si="5"/>
        <v>-5.8500000000000005</v>
      </c>
      <c r="L22" s="154">
        <f t="shared" si="6"/>
        <v>0</v>
      </c>
      <c r="M22" s="36"/>
      <c r="N22" s="157">
        <f t="shared" si="7"/>
        <v>9.4256781251762281</v>
      </c>
      <c r="O22" s="157">
        <f t="shared" si="8"/>
        <v>0</v>
      </c>
      <c r="P22" s="203">
        <f t="shared" si="9"/>
        <v>9.4256781251762281</v>
      </c>
      <c r="Q22" s="145"/>
      <c r="R22" s="144"/>
      <c r="S22" s="209"/>
      <c r="T22" s="72"/>
      <c r="U22" s="72"/>
    </row>
    <row r="23" spans="1:21" s="70" customFormat="1">
      <c r="A23" s="563">
        <f>'Exh. No. BGM 4 4'!M$11</f>
        <v>2.0499999999999989</v>
      </c>
      <c r="B23" s="59" t="str">
        <f>TRIM(CONCATENATE('Exh. No. BGM 4 4'!M$8," ",'Exh. No. BGM 4 4'!M$9," ",'Exh. No. BGM 4 4'!M$10))</f>
        <v>Injuries &amp; Damages</v>
      </c>
      <c r="C23" s="60"/>
      <c r="D23" s="60"/>
      <c r="E23" s="61">
        <v>-150.15</v>
      </c>
      <c r="F23" s="61">
        <v>0</v>
      </c>
      <c r="G23" s="68"/>
      <c r="H23" s="68">
        <f>'Exh. No. BGM 4 4'!M$59</f>
        <v>-49.400000000000006</v>
      </c>
      <c r="I23" s="68">
        <f>'Exh. No. BGM 4 4'!M$82</f>
        <v>0</v>
      </c>
      <c r="J23" s="72"/>
      <c r="K23" s="154">
        <f t="shared" si="5"/>
        <v>100.75</v>
      </c>
      <c r="L23" s="154">
        <f t="shared" si="6"/>
        <v>0</v>
      </c>
      <c r="M23" s="36"/>
      <c r="N23" s="157">
        <f t="shared" si="7"/>
        <v>-162.33112326692392</v>
      </c>
      <c r="O23" s="157">
        <f t="shared" si="8"/>
        <v>0</v>
      </c>
      <c r="P23" s="203">
        <f t="shared" si="9"/>
        <v>-162.33112326692392</v>
      </c>
      <c r="Q23" s="145"/>
      <c r="R23" s="144"/>
      <c r="S23" s="209"/>
      <c r="T23" s="72"/>
      <c r="U23" s="72"/>
    </row>
    <row r="24" spans="1:21" s="70" customFormat="1">
      <c r="A24" s="563">
        <f>'Exh. No. BGM 4 4'!N$11</f>
        <v>2.0599999999999987</v>
      </c>
      <c r="B24" s="59" t="str">
        <f>TRIM(CONCATENATE('Exh. No. BGM 4 4'!N$8," ",'Exh. No. BGM 4 4'!N$9," ",'Exh. No. BGM 4 4'!N$10))</f>
        <v>FIT / DFIT Expense</v>
      </c>
      <c r="C24" s="60"/>
      <c r="D24" s="60"/>
      <c r="E24" s="61">
        <v>223</v>
      </c>
      <c r="F24" s="61">
        <v>0</v>
      </c>
      <c r="G24" s="68"/>
      <c r="H24" s="68">
        <f>'Exh. No. BGM 4 4'!N$59</f>
        <v>0</v>
      </c>
      <c r="I24" s="68">
        <f>'Exh. No. BGM 4 4'!N$82</f>
        <v>0</v>
      </c>
      <c r="J24" s="72"/>
      <c r="K24" s="154">
        <f t="shared" si="5"/>
        <v>-223</v>
      </c>
      <c r="L24" s="154">
        <f t="shared" si="6"/>
        <v>0</v>
      </c>
      <c r="M24" s="36"/>
      <c r="N24" s="157">
        <f t="shared" si="7"/>
        <v>359.30362767765791</v>
      </c>
      <c r="O24" s="157">
        <f t="shared" si="8"/>
        <v>0</v>
      </c>
      <c r="P24" s="203">
        <f t="shared" si="9"/>
        <v>359.30362767765791</v>
      </c>
      <c r="Q24" s="145"/>
      <c r="R24" s="144"/>
      <c r="S24" s="146"/>
      <c r="T24" s="72"/>
      <c r="U24" s="72"/>
    </row>
    <row r="25" spans="1:21" s="70" customFormat="1">
      <c r="A25" s="563">
        <f>'Exh. No. BGM 4 4'!O$11</f>
        <v>2.0699999999999985</v>
      </c>
      <c r="B25" s="59" t="str">
        <f>TRIM(CONCATENATE('Exh. No. BGM 4 4'!O$8," ",'Exh. No. BGM 4 4'!O$9," ",'Exh. No. BGM 4 4'!O$10))</f>
        <v>Office Space Charges to Subs</v>
      </c>
      <c r="C25" s="60"/>
      <c r="D25" s="60"/>
      <c r="E25" s="61">
        <v>5.85</v>
      </c>
      <c r="F25" s="61">
        <v>0</v>
      </c>
      <c r="G25" s="68"/>
      <c r="H25" s="68">
        <f>'Exh. No. BGM 4 4'!O$59</f>
        <v>5.85</v>
      </c>
      <c r="I25" s="68">
        <f>'Exh. No. BGM 4 4'!O$82</f>
        <v>0</v>
      </c>
      <c r="J25" s="72"/>
      <c r="K25" s="154">
        <f t="shared" si="5"/>
        <v>0</v>
      </c>
      <c r="L25" s="154">
        <f t="shared" si="6"/>
        <v>0</v>
      </c>
      <c r="M25" s="156"/>
      <c r="N25" s="157">
        <f t="shared" si="7"/>
        <v>0</v>
      </c>
      <c r="O25" s="157">
        <f t="shared" si="8"/>
        <v>0</v>
      </c>
      <c r="P25" s="203">
        <f t="shared" si="9"/>
        <v>0</v>
      </c>
      <c r="Q25" s="145"/>
      <c r="R25" s="144"/>
      <c r="S25" s="209"/>
      <c r="T25" s="72"/>
      <c r="U25" s="72"/>
    </row>
    <row r="26" spans="1:21" s="70" customFormat="1">
      <c r="A26" s="563">
        <f>'Exh. No. BGM 4 4'!P$11</f>
        <v>2.0799999999999983</v>
      </c>
      <c r="B26" s="59" t="str">
        <f>TRIM(CONCATENATE('Exh. No. BGM 4 4'!P$8," ",'Exh. No. BGM 4 4'!P$9," ",'Exh. No. BGM 4 4'!P$10))</f>
        <v>Restate Excise Taxes</v>
      </c>
      <c r="C26" s="60"/>
      <c r="D26" s="60"/>
      <c r="E26" s="61">
        <v>3.25</v>
      </c>
      <c r="F26" s="61">
        <v>0</v>
      </c>
      <c r="G26" s="68"/>
      <c r="H26" s="68">
        <f>'Exh. No. BGM 4 4'!P$59</f>
        <v>-1.3</v>
      </c>
      <c r="I26" s="68">
        <f>'Exh. No. BGM 4 4'!P$82</f>
        <v>0</v>
      </c>
      <c r="J26" s="72"/>
      <c r="K26" s="154">
        <f t="shared" si="5"/>
        <v>-4.55</v>
      </c>
      <c r="L26" s="154">
        <f t="shared" si="6"/>
        <v>0</v>
      </c>
      <c r="M26" s="156"/>
      <c r="N26" s="157">
        <f t="shared" si="7"/>
        <v>7.3310829862481768</v>
      </c>
      <c r="O26" s="157">
        <f t="shared" si="8"/>
        <v>0</v>
      </c>
      <c r="P26" s="203">
        <f t="shared" si="9"/>
        <v>7.3310829862481768</v>
      </c>
      <c r="Q26" s="145"/>
      <c r="R26" s="144"/>
      <c r="S26" s="72"/>
      <c r="T26" s="72"/>
      <c r="U26" s="72"/>
    </row>
    <row r="27" spans="1:21" s="70" customFormat="1">
      <c r="A27" s="563">
        <f>'Exh. No. BGM 4 4'!Q$11</f>
        <v>2.0899999999999981</v>
      </c>
      <c r="B27" s="59" t="str">
        <f>TRIM(CONCATENATE('Exh. No. BGM 4 4'!Q$8," ",'Exh. No. BGM 4 4'!Q$9," ",'Exh. No. BGM 4 4'!Q$10))</f>
        <v>Net Gains &amp; Losses</v>
      </c>
      <c r="C27" s="60"/>
      <c r="D27" s="60"/>
      <c r="E27" s="61">
        <v>3.9000000000000004</v>
      </c>
      <c r="F27" s="61">
        <v>0</v>
      </c>
      <c r="G27" s="68"/>
      <c r="H27" s="68">
        <f>'Exh. No. BGM 4 4'!Q$59</f>
        <v>8.4499999999999993</v>
      </c>
      <c r="I27" s="68">
        <f>'Exh. No. BGM 4 4'!Q$82</f>
        <v>0</v>
      </c>
      <c r="J27" s="72"/>
      <c r="K27" s="154">
        <f t="shared" ref="K27:L28" si="15">H27-E27</f>
        <v>4.5499999999999989</v>
      </c>
      <c r="L27" s="154">
        <f t="shared" si="15"/>
        <v>0</v>
      </c>
      <c r="M27" s="156"/>
      <c r="N27" s="157">
        <f>K27/$N$10*-1</f>
        <v>-7.3310829862481759</v>
      </c>
      <c r="O27" s="157">
        <f>L27*$O$10/$N$10</f>
        <v>0</v>
      </c>
      <c r="P27" s="203">
        <f>N27+O27</f>
        <v>-7.3310829862481759</v>
      </c>
      <c r="Q27" s="145"/>
      <c r="R27" s="144"/>
      <c r="S27" s="209"/>
      <c r="T27" s="72"/>
      <c r="U27" s="72"/>
    </row>
    <row r="28" spans="1:21" s="60" customFormat="1">
      <c r="A28" s="563">
        <f>'Exh. No. BGM 4 4'!R$11</f>
        <v>2.0999999999999979</v>
      </c>
      <c r="B28" s="59" t="str">
        <f>TRIM(CONCATENATE('Exh. No. BGM 4 4'!R$8," ",'Exh. No. BGM 4 4'!R$9," ",'Exh. No. BGM 4 4'!R$10))</f>
        <v>Weather Normalization / Gas Cost Adjust</v>
      </c>
      <c r="E28" s="61">
        <v>1154.4000000000001</v>
      </c>
      <c r="F28" s="61">
        <v>0</v>
      </c>
      <c r="G28" s="68"/>
      <c r="H28" s="68">
        <f>'Exh. No. BGM 4 4'!R$59</f>
        <v>-2.6</v>
      </c>
      <c r="I28" s="68">
        <f>'Exh. No. BGM 4 4'!R$82</f>
        <v>0</v>
      </c>
      <c r="J28" s="69"/>
      <c r="K28" s="154">
        <f t="shared" si="15"/>
        <v>-1157</v>
      </c>
      <c r="L28" s="154">
        <f t="shared" si="15"/>
        <v>0</v>
      </c>
      <c r="M28" s="36"/>
      <c r="N28" s="157">
        <f>K28/$N$10*-1</f>
        <v>1864.1896736459651</v>
      </c>
      <c r="O28" s="157">
        <f>L28*$O$10/$N$10</f>
        <v>0</v>
      </c>
      <c r="P28" s="203">
        <f>N28+O28</f>
        <v>1864.1896736459651</v>
      </c>
      <c r="Q28" s="140"/>
      <c r="R28" s="144"/>
      <c r="S28" s="52"/>
      <c r="T28" s="69"/>
      <c r="U28" s="69"/>
    </row>
    <row r="29" spans="1:21" s="497" customFormat="1">
      <c r="A29" s="563">
        <f>'Exh. No. BGM 4 4'!S$11</f>
        <v>2.1099999999999977</v>
      </c>
      <c r="B29" s="59" t="str">
        <f>TRIM(CONCATENATE('Exh. No. BGM 4 4'!S$8," ",'Exh. No. BGM 4 4'!S$9," ",'Exh. No. BGM 4 4'!S$10))</f>
        <v>Eliminate Adder Schedules</v>
      </c>
      <c r="E29" s="61">
        <v>0</v>
      </c>
      <c r="F29" s="61">
        <v>0</v>
      </c>
      <c r="G29" s="68"/>
      <c r="H29" s="68">
        <f>'Exh. No. BGM 4 4'!S$59</f>
        <v>-310.05</v>
      </c>
      <c r="I29" s="68">
        <f>'Exh. No. BGM 4 4'!S$82</f>
        <v>0</v>
      </c>
      <c r="J29" s="69"/>
      <c r="K29" s="501">
        <f t="shared" ref="K29" si="16">H29-E29</f>
        <v>-310.05</v>
      </c>
      <c r="L29" s="501">
        <f t="shared" ref="L29" si="17">I29-F29</f>
        <v>0</v>
      </c>
      <c r="M29" s="493"/>
      <c r="N29" s="505">
        <f>K29/$N$10*-1</f>
        <v>499.56094063434011</v>
      </c>
      <c r="O29" s="505">
        <f>L29*$O$10/$N$10</f>
        <v>0</v>
      </c>
      <c r="P29" s="506">
        <f>N29+O29</f>
        <v>499.56094063434011</v>
      </c>
      <c r="Q29" s="504"/>
      <c r="R29" s="503"/>
      <c r="S29" s="495"/>
      <c r="T29" s="69"/>
      <c r="U29" s="69"/>
    </row>
    <row r="30" spans="1:21" s="145" customFormat="1">
      <c r="A30" s="563">
        <f>'Exh. No. BGM 4 4'!T$11</f>
        <v>2.1199999999999974</v>
      </c>
      <c r="B30" s="139" t="str">
        <f>TRIM(CONCATENATE('Exh. No. BGM 4 4'!T$8," ",'Exh. No. BGM 4 4'!T$9," ",'Exh. No. BGM 4 4'!T$10))</f>
        <v>Misc. Restating Non-Util / Non- Recurring Expenses</v>
      </c>
      <c r="C30" s="140"/>
      <c r="D30" s="140"/>
      <c r="E30" s="61">
        <v>144.30000000000001</v>
      </c>
      <c r="F30" s="61">
        <v>0</v>
      </c>
      <c r="G30" s="141"/>
      <c r="H30" s="141">
        <f>'Exh. No. BGM 4 4'!T$59</f>
        <v>204.75</v>
      </c>
      <c r="I30" s="141">
        <f>'Exh. No. BGM 4 4'!T$82</f>
        <v>0</v>
      </c>
      <c r="J30" s="146"/>
      <c r="K30" s="154">
        <f t="shared" si="5"/>
        <v>60.449999999999989</v>
      </c>
      <c r="L30" s="154">
        <f t="shared" si="6"/>
        <v>0</v>
      </c>
      <c r="M30" s="156"/>
      <c r="N30" s="157">
        <f t="shared" si="7"/>
        <v>-97.398673960154341</v>
      </c>
      <c r="O30" s="157">
        <f t="shared" si="8"/>
        <v>0</v>
      </c>
      <c r="P30" s="203">
        <f t="shared" si="9"/>
        <v>-97.398673960154341</v>
      </c>
      <c r="R30" s="144"/>
      <c r="S30" s="209"/>
      <c r="T30" s="146"/>
      <c r="U30" s="146"/>
    </row>
    <row r="31" spans="1:21" s="145" customFormat="1">
      <c r="A31" s="563">
        <f>'Exh. No. BGM 4 4'!W$11</f>
        <v>2.1499999999999968</v>
      </c>
      <c r="B31" s="139" t="str">
        <f>TRIM(CONCATENATE('Exh. No. BGM 4 4'!W$8," ",'Exh. No. BGM 4 4'!W$9," ",'Exh. No. BGM 4 4'!W$10))</f>
        <v>Restate Debt Interest</v>
      </c>
      <c r="C31" s="140"/>
      <c r="D31" s="140"/>
      <c r="E31" s="61">
        <v>86</v>
      </c>
      <c r="F31" s="61">
        <v>0</v>
      </c>
      <c r="G31" s="141"/>
      <c r="H31" s="141">
        <f>'Exh. No. BGM 4 4'!W$59</f>
        <v>-40</v>
      </c>
      <c r="I31" s="141">
        <f>'Exh. No. BGM 4 4'!W$82</f>
        <v>0</v>
      </c>
      <c r="J31" s="146"/>
      <c r="K31" s="154">
        <f>H31-E31</f>
        <v>-126</v>
      </c>
      <c r="L31" s="154">
        <f>I31-F31</f>
        <v>0</v>
      </c>
      <c r="M31" s="156"/>
      <c r="N31" s="157">
        <f>K31/$N$10*-1</f>
        <v>203.01460577302646</v>
      </c>
      <c r="O31" s="157">
        <f>L31*$O$10/$N$10</f>
        <v>0</v>
      </c>
      <c r="P31" s="203">
        <f>N31+O31</f>
        <v>203.01460577302646</v>
      </c>
      <c r="Q31" s="144" t="s">
        <v>195</v>
      </c>
      <c r="R31" s="144"/>
      <c r="S31" s="146"/>
      <c r="T31" s="146"/>
      <c r="U31" s="146"/>
    </row>
    <row r="32" spans="1:21" s="145" customFormat="1">
      <c r="A32" s="563">
        <f>'Exh. No. BGM 4 4'!U$11</f>
        <v>2.1299999999999972</v>
      </c>
      <c r="B32" s="139" t="str">
        <f>TRIM(CONCATENATE('Exh. No. BGM 4 4'!U$8," ",'Exh. No. BGM 4 4'!U$9," ",'Exh. No. BGM 4 4'!U$10))</f>
        <v>Project Compass Deferral</v>
      </c>
      <c r="C32" s="504"/>
      <c r="D32" s="504"/>
      <c r="E32" s="61">
        <v>978.25</v>
      </c>
      <c r="F32" s="61">
        <v>0</v>
      </c>
      <c r="G32" s="141"/>
      <c r="H32" s="141">
        <f>'Exh. No. BGM 4 4'!U$59</f>
        <v>-701.35</v>
      </c>
      <c r="I32" s="141">
        <f>'Exh. No. BGM 4 4'!U$82</f>
        <v>0</v>
      </c>
      <c r="J32" s="146"/>
      <c r="K32" s="501">
        <f>H32-E32</f>
        <v>-1679.6</v>
      </c>
      <c r="L32" s="501">
        <f>I32-F32</f>
        <v>0</v>
      </c>
      <c r="M32" s="156"/>
      <c r="N32" s="505">
        <f>K32/$N$10*-1</f>
        <v>2706.2169194950411</v>
      </c>
      <c r="O32" s="505">
        <f>L32*$O$10/$N$10</f>
        <v>0</v>
      </c>
      <c r="P32" s="506">
        <f>N32+O32</f>
        <v>2706.2169194950411</v>
      </c>
      <c r="Q32" s="557"/>
      <c r="R32" s="557"/>
      <c r="S32" s="146"/>
      <c r="T32" s="146"/>
      <c r="U32" s="146"/>
    </row>
    <row r="33" spans="1:21">
      <c r="A33" s="563"/>
      <c r="B33" s="59"/>
      <c r="E33" s="68"/>
      <c r="F33" s="68"/>
      <c r="G33" s="68"/>
      <c r="H33" s="68"/>
      <c r="I33" s="68"/>
      <c r="J33" s="52"/>
      <c r="N33" s="186"/>
      <c r="O33" s="186"/>
      <c r="S33" s="142"/>
    </row>
    <row r="34" spans="1:21" ht="18" customHeight="1" thickBot="1">
      <c r="A34" s="563"/>
      <c r="B34" s="36" t="s">
        <v>77</v>
      </c>
      <c r="E34" s="66">
        <f>SUM(E17:E33)</f>
        <v>17350.107319999999</v>
      </c>
      <c r="F34" s="66">
        <f>SUM(F17:F33)</f>
        <v>262267</v>
      </c>
      <c r="G34" s="66"/>
      <c r="H34" s="66">
        <f>SUM(H17:H33)</f>
        <v>22680.797180000005</v>
      </c>
      <c r="I34" s="66">
        <f>SUM(I17:I33)</f>
        <v>286598</v>
      </c>
      <c r="J34" s="52"/>
      <c r="K34" s="66">
        <f>SUM(K17:K33)</f>
        <v>5330.6898599999968</v>
      </c>
      <c r="L34" s="66">
        <f>SUM(L17:L33)</f>
        <v>24331</v>
      </c>
      <c r="M34" s="66"/>
      <c r="N34" s="66">
        <f>SUM(N17:N33)</f>
        <v>-8588.9515906838824</v>
      </c>
      <c r="O34" s="66">
        <f>SUM(O17:O33)</f>
        <v>2775.5557524833039</v>
      </c>
      <c r="S34" s="142"/>
    </row>
    <row r="35" spans="1:21" ht="6.75" customHeight="1" thickTop="1">
      <c r="A35" s="563"/>
      <c r="D35" s="63"/>
      <c r="E35" s="63"/>
      <c r="H35" s="63"/>
      <c r="J35" s="52"/>
      <c r="K35" s="155"/>
      <c r="L35" s="155"/>
      <c r="N35" s="64"/>
      <c r="O35" s="64"/>
      <c r="S35" s="142"/>
    </row>
    <row r="36" spans="1:21" s="503" customFormat="1">
      <c r="A36" s="563">
        <f>'Exh. No. BGM 4 4'!Y$11</f>
        <v>3.01</v>
      </c>
      <c r="B36" s="139" t="str">
        <f>TRIM(CONCATENATE('Exh. No. BGM 4 4'!Y$8," ",'Exh. No. BGM 4 4'!Y$9," ",'Exh. No. BGM 4 4'!Y$10))</f>
        <v>Pro Forma Atmospheric Testing &amp; Leak Survey</v>
      </c>
      <c r="C36" s="504"/>
      <c r="D36" s="504"/>
      <c r="E36" s="61">
        <v>-153.4</v>
      </c>
      <c r="F36" s="61">
        <v>0</v>
      </c>
      <c r="G36" s="141"/>
      <c r="H36" s="141">
        <f>'Exh. No. BGM 4 4'!Y$59</f>
        <v>-226.2</v>
      </c>
      <c r="I36" s="141">
        <f>'Exh. No. BGM 4 4'!Y$82</f>
        <v>0</v>
      </c>
      <c r="J36" s="502"/>
      <c r="K36" s="501">
        <f t="shared" ref="K36" si="18">H36-E36</f>
        <v>-72.799999999999983</v>
      </c>
      <c r="L36" s="501">
        <f t="shared" ref="L36" si="19">I36-F36</f>
        <v>0</v>
      </c>
      <c r="M36" s="493"/>
      <c r="N36" s="505">
        <f t="shared" ref="N36" si="20">K36/$N$10*-1</f>
        <v>117.29732777997081</v>
      </c>
      <c r="O36" s="505">
        <f t="shared" ref="O36" si="21">L36*$O$10/$N$10</f>
        <v>0</v>
      </c>
      <c r="P36" s="506">
        <f t="shared" ref="P36" si="22">N36+O36</f>
        <v>117.29732777997081</v>
      </c>
      <c r="S36" s="502"/>
      <c r="T36" s="502"/>
      <c r="U36" s="502"/>
    </row>
    <row r="37" spans="1:21">
      <c r="A37" s="563">
        <f>'Exh. No. BGM 4 4'!Z$11</f>
        <v>3.0199999999999996</v>
      </c>
      <c r="B37" s="59" t="str">
        <f>TRIM(CONCATENATE('Exh. No. BGM 4 4'!Z$8," ",'Exh. No. BGM 4 4'!Z$9," ",'Exh. No. BGM 4 4'!Z$10))</f>
        <v>Pro Forma Labor Non-Exec</v>
      </c>
      <c r="C37" s="60"/>
      <c r="D37" s="60"/>
      <c r="E37" s="61">
        <v>-418.68450000000001</v>
      </c>
      <c r="F37" s="61">
        <v>0</v>
      </c>
      <c r="G37" s="68"/>
      <c r="H37" s="68">
        <f>'Exh. No. BGM 4 4'!Z$59</f>
        <v>-304.87664999999998</v>
      </c>
      <c r="I37" s="68">
        <f>'Exh. No. BGM 4 4'!Z$82</f>
        <v>0</v>
      </c>
      <c r="J37" s="52"/>
      <c r="K37" s="154">
        <f t="shared" ref="K37:K38" si="23">H37-E37</f>
        <v>113.80785000000003</v>
      </c>
      <c r="L37" s="154">
        <f t="shared" ref="L37:L38" si="24">I37-F37</f>
        <v>0</v>
      </c>
      <c r="N37" s="157">
        <f t="shared" ref="N37:N38" si="25">K37/$N$10*-1</f>
        <v>-183.37028413988679</v>
      </c>
      <c r="O37" s="157">
        <f t="shared" ref="O37:O38" si="26">L37*$O$10/$N$10</f>
        <v>0</v>
      </c>
      <c r="P37" s="203">
        <f t="shared" ref="P37:P38" si="27">N37+O37</f>
        <v>-183.37028413988679</v>
      </c>
      <c r="S37" s="209"/>
    </row>
    <row r="38" spans="1:21" ht="13.5" customHeight="1">
      <c r="A38" s="563">
        <f>'Exh. No. BGM 4 4'!AA$11</f>
        <v>3.0299999999999994</v>
      </c>
      <c r="B38" s="59" t="str">
        <f>TRIM(CONCATENATE('Exh. No. BGM 4 4'!AA$8," ",'Exh. No. BGM 4 4'!AA$9," ",'Exh. No. BGM 4 4'!AA$10))</f>
        <v>Pro Forma Labor Exec</v>
      </c>
      <c r="C38" s="60"/>
      <c r="D38" s="60"/>
      <c r="E38" s="61">
        <v>8.4499999999999993</v>
      </c>
      <c r="F38" s="61">
        <v>0</v>
      </c>
      <c r="G38" s="68"/>
      <c r="H38" s="68">
        <f>'Exh. No. BGM 4 4'!AA$59</f>
        <v>6.5</v>
      </c>
      <c r="I38" s="68">
        <f>'Exh. No. BGM 4 4'!AA$82</f>
        <v>0</v>
      </c>
      <c r="J38" s="52"/>
      <c r="K38" s="154">
        <f t="shared" si="23"/>
        <v>-1.9499999999999993</v>
      </c>
      <c r="L38" s="154">
        <f t="shared" si="24"/>
        <v>0</v>
      </c>
      <c r="N38" s="157">
        <f t="shared" si="25"/>
        <v>3.1418927083920747</v>
      </c>
      <c r="O38" s="157">
        <f t="shared" si="26"/>
        <v>0</v>
      </c>
      <c r="P38" s="203">
        <f t="shared" si="27"/>
        <v>3.1418927083920747</v>
      </c>
      <c r="S38" s="209"/>
    </row>
    <row r="39" spans="1:21">
      <c r="A39" s="563">
        <f>'Exh. No. BGM 4 4'!AB$11</f>
        <v>3.0399999999999991</v>
      </c>
      <c r="B39" s="59" t="str">
        <f>TRIM(CONCATENATE('Exh. No. BGM 4 4'!AB$8," ",'Exh. No. BGM 4 4'!AB$9," ",'Exh. No. BGM 4 4'!AB$10))</f>
        <v>Pro Forma Employee Benefits</v>
      </c>
      <c r="C39" s="60"/>
      <c r="D39" s="60"/>
      <c r="E39" s="61">
        <v>-224.11545000000001</v>
      </c>
      <c r="F39" s="61">
        <v>0</v>
      </c>
      <c r="G39" s="68"/>
      <c r="H39" s="68">
        <f>'Exh. No. BGM 4 4'!AB$59</f>
        <v>114.4</v>
      </c>
      <c r="I39" s="68">
        <f>'Exh. No. BGM 4 4'!AB$82</f>
        <v>0</v>
      </c>
      <c r="J39" s="52"/>
      <c r="K39" s="154">
        <f t="shared" ref="K39:L39" si="28">H39-E39</f>
        <v>338.51544999999999</v>
      </c>
      <c r="L39" s="154">
        <f t="shared" si="28"/>
        <v>0</v>
      </c>
      <c r="N39" s="157">
        <f>K39/$N$10*-1</f>
        <v>-545.42524309387807</v>
      </c>
      <c r="O39" s="157">
        <f>L39*$O$10/$N$10</f>
        <v>0</v>
      </c>
      <c r="P39" s="203">
        <f>N39+O39</f>
        <v>-545.42524309387807</v>
      </c>
      <c r="S39" s="209"/>
    </row>
    <row r="40" spans="1:21" s="145" customFormat="1">
      <c r="A40" s="563">
        <f>'Exh. No. BGM 4 4'!AC$11</f>
        <v>3.0499999999999989</v>
      </c>
      <c r="B40" s="139" t="str">
        <f>TRIM(CONCATENATE('Exh. No. BGM 4 4'!AC$8," ",'Exh. No. BGM 4 4'!AC$9," ",'Exh. No. BGM 4 4'!AC$10))</f>
        <v>Pro Forma Incentive Adjustment</v>
      </c>
      <c r="C40" s="140"/>
      <c r="D40" s="140"/>
      <c r="E40" s="61">
        <v>317.85000000000002</v>
      </c>
      <c r="F40" s="61">
        <v>0</v>
      </c>
      <c r="G40" s="141"/>
      <c r="H40" s="141">
        <f>'Exh. No. BGM 4 4'!AC$59</f>
        <v>-22.1</v>
      </c>
      <c r="I40" s="141">
        <f>'Exh. No. BGM 4 4'!AC$82</f>
        <v>0</v>
      </c>
      <c r="J40" s="146"/>
      <c r="K40" s="154">
        <f t="shared" ref="K40" si="29">H40-E40</f>
        <v>-339.95000000000005</v>
      </c>
      <c r="L40" s="154">
        <f t="shared" ref="L40" si="30">I40-F40</f>
        <v>0</v>
      </c>
      <c r="M40" s="156"/>
      <c r="N40" s="157">
        <f>K40/$N$10*-1</f>
        <v>547.73662882968529</v>
      </c>
      <c r="O40" s="157">
        <f>L40*$O$10/$N$10</f>
        <v>0</v>
      </c>
      <c r="P40" s="203">
        <f>N40+O40</f>
        <v>547.73662882968529</v>
      </c>
      <c r="R40" s="144"/>
      <c r="S40" s="209"/>
      <c r="T40" s="146"/>
      <c r="U40" s="146"/>
    </row>
    <row r="41" spans="1:21">
      <c r="A41" s="563">
        <f>'Exh. No. BGM 4 4'!AD$11</f>
        <v>3.0599999999999987</v>
      </c>
      <c r="B41" s="59" t="str">
        <f>TRIM(CONCATENATE('Exh. No. BGM 4 4'!AD$8," ",'Exh. No. BGM 4 4'!AD$9," ",'Exh. No. BGM 4 4'!AD$10))</f>
        <v>Pro Forma Property Tax</v>
      </c>
      <c r="C41" s="60"/>
      <c r="D41" s="60"/>
      <c r="E41" s="61">
        <v>-127.4</v>
      </c>
      <c r="F41" s="61">
        <v>0</v>
      </c>
      <c r="G41" s="68"/>
      <c r="H41" s="68">
        <f>'Exh. No. BGM 4 4'!AD$59</f>
        <v>-309.39999999999998</v>
      </c>
      <c r="I41" s="68">
        <f>'Exh. No. BGM 4 4'!AD$82</f>
        <v>0</v>
      </c>
      <c r="J41" s="52"/>
      <c r="K41" s="154">
        <f t="shared" ref="K41" si="31">H41-E41</f>
        <v>-181.99999999999997</v>
      </c>
      <c r="L41" s="154">
        <f t="shared" ref="L41" si="32">I41-F41</f>
        <v>0</v>
      </c>
      <c r="N41" s="157">
        <f>K41/$N$10*-1</f>
        <v>293.24331944992707</v>
      </c>
      <c r="O41" s="157">
        <f>L41*$O$10/$N$10</f>
        <v>0</v>
      </c>
      <c r="P41" s="203">
        <f>N41+O41</f>
        <v>293.24331944992707</v>
      </c>
      <c r="S41" s="209"/>
    </row>
    <row r="42" spans="1:21" s="557" customFormat="1">
      <c r="A42" s="619">
        <f>'Exh. No. BGM 4 4'!AE$11</f>
        <v>3.0699999999999985</v>
      </c>
      <c r="B42" s="620" t="str">
        <f>TRIM(CONCATENATE('Exh. No. BGM 4 4'!AE$8," ",'Exh. No. BGM 4 4'!AE$9," ",'Exh. No. BGM 4 4'!AE$10))</f>
        <v>Pro Forma IS/IT Expense</v>
      </c>
      <c r="C42" s="204"/>
      <c r="D42" s="204"/>
      <c r="E42" s="589">
        <v>-661.26017999999999</v>
      </c>
      <c r="F42" s="589">
        <v>9003</v>
      </c>
      <c r="G42" s="590"/>
      <c r="H42" s="590">
        <f>'Exh. No. BGM 4 4'!AE$59</f>
        <v>-130.65</v>
      </c>
      <c r="I42" s="590">
        <f>'Exh. No. BGM 4 4'!AE$82</f>
        <v>0</v>
      </c>
      <c r="J42" s="502"/>
      <c r="K42" s="591">
        <f t="shared" ref="K42" si="33">H42-E42</f>
        <v>530.61018000000001</v>
      </c>
      <c r="L42" s="591">
        <f t="shared" ref="L42" si="34">I42-F42</f>
        <v>-9003</v>
      </c>
      <c r="M42" s="495"/>
      <c r="N42" s="592">
        <f t="shared" ref="N42" si="35">K42/$N$10*-1</f>
        <v>-854.93346437979847</v>
      </c>
      <c r="O42" s="592">
        <f t="shared" ref="O42" si="36">L42*$O$10/$N$10</f>
        <v>-1027.0160881018942</v>
      </c>
      <c r="P42" s="593">
        <f t="shared" ref="P42" si="37">N42+O42</f>
        <v>-1881.9495524816925</v>
      </c>
      <c r="S42" s="502"/>
      <c r="T42" s="502"/>
      <c r="U42" s="502"/>
    </row>
    <row r="43" spans="1:21" s="144" customFormat="1">
      <c r="A43" s="563">
        <f>'Exh. No. BGM 4 4'!AF$11</f>
        <v>3.0799999999999983</v>
      </c>
      <c r="B43" s="139" t="str">
        <f>TRIM(CONCATENATE('Exh. No. BGM 4 4'!AF$8," ",'Exh. No. BGM 4 4'!AF$9," ",'Exh. No. BGM 4 4'!AF$10))</f>
        <v>Pro Forma Revenue Normalization</v>
      </c>
      <c r="C43" s="140"/>
      <c r="D43" s="140"/>
      <c r="E43" s="61">
        <v>8002.1500000000005</v>
      </c>
      <c r="F43" s="61">
        <v>0</v>
      </c>
      <c r="G43" s="141"/>
      <c r="H43" s="141">
        <f>'Exh. No. BGM 4 4'!AF$59</f>
        <v>-599.29999999999995</v>
      </c>
      <c r="I43" s="141">
        <f>'Exh. No. BGM 4 4'!AF$82</f>
        <v>0</v>
      </c>
      <c r="J43" s="142"/>
      <c r="K43" s="154">
        <f>H43-E43</f>
        <v>-8601.4500000000007</v>
      </c>
      <c r="L43" s="154">
        <f>I43-F43</f>
        <v>0</v>
      </c>
      <c r="M43" s="36"/>
      <c r="N43" s="157">
        <f>K43/$N$10*-1</f>
        <v>13858.888736717448</v>
      </c>
      <c r="O43" s="157">
        <f>L43*$O$10/$N$10</f>
        <v>0</v>
      </c>
      <c r="P43" s="203">
        <f>N43+O43</f>
        <v>13858.888736717448</v>
      </c>
      <c r="S43" s="142"/>
      <c r="T43" s="142"/>
      <c r="U43" s="142"/>
    </row>
    <row r="44" spans="1:21" s="503" customFormat="1">
      <c r="A44" s="563">
        <f>'Exh. No. BGM 4 4'!AG$11</f>
        <v>3.0899999999999981</v>
      </c>
      <c r="B44" s="139" t="str">
        <f>TRIM(CONCATENATE('Exh. No. BGM 4 4'!AG$8," ",'Exh. No. BGM 4 4'!AG$9," ",'Exh. No. BGM 4 4'!AG$10))</f>
        <v>Pro Forma Regulatory Amortization</v>
      </c>
      <c r="C44" s="504"/>
      <c r="D44" s="504"/>
      <c r="E44" s="61">
        <v>-1679.6</v>
      </c>
      <c r="F44" s="61">
        <v>0</v>
      </c>
      <c r="G44" s="141"/>
      <c r="H44" s="141">
        <f>'Exh. No. BGM 4 4'!AG$59</f>
        <v>701.35</v>
      </c>
      <c r="I44" s="141">
        <f>'Exh. No. BGM 4 4'!AG$82</f>
        <v>0</v>
      </c>
      <c r="J44" s="502"/>
      <c r="K44" s="501">
        <f t="shared" ref="K44" si="38">H44-E44</f>
        <v>2380.9499999999998</v>
      </c>
      <c r="L44" s="501">
        <f t="shared" ref="L44" si="39">I44-F44</f>
        <v>0</v>
      </c>
      <c r="M44" s="493"/>
      <c r="N44" s="505">
        <f t="shared" ref="N44" si="40">K44/$N$10*-1</f>
        <v>-3836.2509969467246</v>
      </c>
      <c r="O44" s="505">
        <f t="shared" ref="O44" si="41">L44*$O$10/$N$10</f>
        <v>0</v>
      </c>
      <c r="P44" s="506">
        <f t="shared" ref="P44" si="42">N44+O44</f>
        <v>-3836.2509969467246</v>
      </c>
      <c r="S44" s="502"/>
      <c r="T44" s="502"/>
      <c r="U44" s="502"/>
    </row>
    <row r="45" spans="1:21" s="144" customFormat="1">
      <c r="A45" s="563">
        <f>'Exh. No. BGM 4 4'!AH$11</f>
        <v>3.0999999999999979</v>
      </c>
      <c r="B45" s="139" t="str">
        <f>TRIM(CONCATENATE('Exh. No. BGM 4 4'!AH$8," ",'Exh. No. BGM 4 4'!AH$9," ",'Exh. No. BGM 4 4'!AH$10))</f>
        <v>Pro Forma 2017 Threshhold Capital Adds</v>
      </c>
      <c r="C45" s="140"/>
      <c r="D45" s="140"/>
      <c r="E45" s="61">
        <v>-128.63720000000001</v>
      </c>
      <c r="F45" s="61">
        <v>18120</v>
      </c>
      <c r="G45" s="141"/>
      <c r="H45" s="141">
        <f>'Exh. No. BGM 4 4'!AH$59</f>
        <v>-127.7319</v>
      </c>
      <c r="I45" s="141">
        <f>'Exh. No. BGM 4 4'!AH$82</f>
        <v>11745</v>
      </c>
      <c r="J45" s="142"/>
      <c r="K45" s="154">
        <f t="shared" ref="K45" si="43">H45-E45</f>
        <v>0.9053000000000111</v>
      </c>
      <c r="L45" s="154">
        <f t="shared" ref="L45" si="44">I45-F45</f>
        <v>-6375</v>
      </c>
      <c r="M45" s="36"/>
      <c r="N45" s="157">
        <f t="shared" ref="N45" si="45">K45/$N$10*-1</f>
        <v>-1.4586438302089135</v>
      </c>
      <c r="O45" s="157">
        <f t="shared" ref="O45" si="46">L45*$O$10/$N$10</f>
        <v>-727.22731996551977</v>
      </c>
      <c r="P45" s="203">
        <f t="shared" ref="P45" si="47">N45+O45</f>
        <v>-728.68596379572864</v>
      </c>
      <c r="S45" s="142"/>
      <c r="T45" s="142"/>
      <c r="U45" s="142"/>
    </row>
    <row r="46" spans="1:21" s="144" customFormat="1">
      <c r="A46" s="563">
        <f>'Exh. No. BGM 4 4'!AI$11</f>
        <v>3.1099999999999977</v>
      </c>
      <c r="B46" s="139" t="str">
        <f>TRIM(CONCATENATE('Exh. No. BGM 4 4'!AI$8," ",'Exh. No. BGM 4 4'!AI$9," ",'Exh. No. BGM 4 4'!AI$10))</f>
        <v>Pro Forma O&amp;M Offsets</v>
      </c>
      <c r="C46" s="140"/>
      <c r="D46" s="140"/>
      <c r="E46" s="407">
        <v>36.400000000000006</v>
      </c>
      <c r="F46" s="407">
        <v>0</v>
      </c>
      <c r="G46" s="141"/>
      <c r="H46" s="141">
        <f>'Exh. No. BGM 4 4'!AI$59</f>
        <v>20.8</v>
      </c>
      <c r="I46" s="141">
        <f>'Exh. No. BGM 4 4'!AI$82</f>
        <v>0</v>
      </c>
      <c r="J46" s="142"/>
      <c r="K46" s="154">
        <f t="shared" ref="K46" si="48">H46-E46</f>
        <v>-15.600000000000005</v>
      </c>
      <c r="L46" s="154">
        <f t="shared" ref="L46" si="49">I46-F46</f>
        <v>0</v>
      </c>
      <c r="M46" s="36"/>
      <c r="N46" s="157">
        <f t="shared" ref="N46" si="50">K46/$N$10*-1</f>
        <v>25.135141667136615</v>
      </c>
      <c r="O46" s="157">
        <f t="shared" ref="O46" si="51">L46*$O$10/$N$10</f>
        <v>0</v>
      </c>
      <c r="P46" s="203">
        <f t="shared" ref="P46" si="52">N46+O46</f>
        <v>25.135141667136615</v>
      </c>
      <c r="S46" s="142"/>
      <c r="T46" s="142"/>
      <c r="U46" s="142"/>
    </row>
    <row r="47" spans="1:21" s="557" customFormat="1">
      <c r="A47" s="563">
        <f>'Exh. No. BGM 4 4'!AK$11</f>
        <v>3.1299999999999972</v>
      </c>
      <c r="B47" s="139" t="str">
        <f>TRIM(CONCATENATE('Exh. No. BGM 4 4'!AK$8," ",'Exh. No. BGM 4 4'!AK$9," ",'Exh. No. BGM 4 4'!AK$10))</f>
        <v>Pro Forma Leap Deferral Gas Line Ext.</v>
      </c>
      <c r="C47" s="504"/>
      <c r="D47" s="504"/>
      <c r="E47" s="407">
        <v>0</v>
      </c>
      <c r="F47" s="407">
        <v>0</v>
      </c>
      <c r="G47" s="141"/>
      <c r="H47" s="141">
        <f>'Exh. No. BGM 4 4'!AK$59</f>
        <v>-365.77388000000002</v>
      </c>
      <c r="I47" s="141">
        <f>'Exh. No. BGM 4 4'!AK$82</f>
        <v>1474</v>
      </c>
      <c r="J47" s="502"/>
      <c r="K47" s="501">
        <f t="shared" ref="K47:K48" si="53">H47-E47</f>
        <v>-365.77388000000002</v>
      </c>
      <c r="L47" s="501">
        <f t="shared" ref="L47:L48" si="54">I47-F47</f>
        <v>1474</v>
      </c>
      <c r="M47" s="553"/>
      <c r="N47" s="505">
        <f t="shared" ref="N47:N48" si="55">K47/$N$10*-1</f>
        <v>589.34476230373241</v>
      </c>
      <c r="O47" s="505">
        <f t="shared" ref="O47:O48" si="56">L47*$O$10/$N$10</f>
        <v>168.14636386340018</v>
      </c>
      <c r="P47" s="506">
        <f t="shared" ref="P47:P48" si="57">N47+O47</f>
        <v>757.49112616713262</v>
      </c>
      <c r="S47" s="502"/>
      <c r="T47" s="502"/>
      <c r="U47" s="502"/>
    </row>
    <row r="48" spans="1:21" s="557" customFormat="1">
      <c r="A48" s="563" t="e">
        <f>'Exh. No. BGM 4 4'!#REF!</f>
        <v>#REF!</v>
      </c>
      <c r="B48" s="139" t="e">
        <f>TRIM(CONCATENATE('Exh. No. BGM 4 4'!#REF!," ",'Exh. No. BGM 4 4'!#REF!," ",'Exh. No. BGM 4 4'!#REF!))</f>
        <v>#REF!</v>
      </c>
      <c r="C48" s="504"/>
      <c r="D48" s="504"/>
      <c r="E48" s="407">
        <v>0</v>
      </c>
      <c r="F48" s="407">
        <v>0</v>
      </c>
      <c r="G48" s="141"/>
      <c r="H48" s="141" t="e">
        <f>'Exh. No. BGM 4 4'!#REF!</f>
        <v>#REF!</v>
      </c>
      <c r="I48" s="141" t="e">
        <f>'Exh. No. BGM 4 4'!#REF!</f>
        <v>#REF!</v>
      </c>
      <c r="J48" s="502"/>
      <c r="K48" s="501" t="e">
        <f t="shared" si="53"/>
        <v>#REF!</v>
      </c>
      <c r="L48" s="501" t="e">
        <f t="shared" si="54"/>
        <v>#REF!</v>
      </c>
      <c r="M48" s="553"/>
      <c r="N48" s="505" t="e">
        <f t="shared" si="55"/>
        <v>#REF!</v>
      </c>
      <c r="O48" s="505" t="e">
        <f t="shared" si="56"/>
        <v>#REF!</v>
      </c>
      <c r="P48" s="506" t="e">
        <f t="shared" si="57"/>
        <v>#REF!</v>
      </c>
      <c r="S48" s="502"/>
      <c r="T48" s="502"/>
      <c r="U48" s="502"/>
    </row>
    <row r="49" spans="1:22" s="557" customFormat="1" ht="13.5" thickBot="1">
      <c r="A49" s="621"/>
      <c r="B49" s="622"/>
      <c r="C49" s="594"/>
      <c r="D49" s="594"/>
      <c r="E49" s="661"/>
      <c r="F49" s="661"/>
      <c r="G49" s="595"/>
      <c r="H49" s="595"/>
      <c r="I49" s="595"/>
      <c r="J49" s="596"/>
      <c r="K49" s="662"/>
      <c r="L49" s="662"/>
      <c r="M49" s="596"/>
      <c r="N49" s="663"/>
      <c r="O49" s="663"/>
      <c r="P49" s="597"/>
      <c r="S49" s="502"/>
      <c r="T49" s="502"/>
      <c r="U49" s="502"/>
    </row>
    <row r="50" spans="1:22" s="144" customFormat="1">
      <c r="A50" s="563"/>
      <c r="B50" s="139"/>
      <c r="C50" s="140"/>
      <c r="D50" s="140"/>
      <c r="E50" s="61"/>
      <c r="F50" s="61"/>
      <c r="G50" s="141"/>
      <c r="H50" s="141"/>
      <c r="I50" s="141"/>
      <c r="J50" s="142"/>
      <c r="K50" s="154"/>
      <c r="L50" s="154"/>
      <c r="M50" s="36"/>
      <c r="N50" s="157"/>
      <c r="O50" s="157"/>
      <c r="P50" s="203"/>
      <c r="S50" s="142"/>
      <c r="T50" s="142"/>
      <c r="U50" s="142"/>
    </row>
    <row r="51" spans="1:22" ht="16.5" customHeight="1" thickBot="1">
      <c r="A51" s="563"/>
      <c r="B51" s="36" t="s">
        <v>129</v>
      </c>
      <c r="E51" s="66">
        <f>SUM(E34:E50)</f>
        <v>22321.859989999997</v>
      </c>
      <c r="F51" s="66">
        <f>SUM(F34:F50)</f>
        <v>289390</v>
      </c>
      <c r="G51" s="165"/>
      <c r="H51" s="66" t="e">
        <f>SUM(H34:H50)</f>
        <v>#REF!</v>
      </c>
      <c r="I51" s="66" t="e">
        <f>SUM(I34:I50)</f>
        <v>#REF!</v>
      </c>
      <c r="J51" s="52"/>
      <c r="K51" s="66" t="e">
        <f>SUM(K34:K50)</f>
        <v>#REF!</v>
      </c>
      <c r="L51" s="66" t="e">
        <f>SUM(L34:L50)</f>
        <v>#REF!</v>
      </c>
      <c r="M51" s="165"/>
      <c r="N51" s="66" t="e">
        <f>SUM(N34:N50)</f>
        <v>#REF!</v>
      </c>
      <c r="O51" s="66" t="e">
        <f>SUM(O34:O50)</f>
        <v>#REF!</v>
      </c>
      <c r="P51" s="142"/>
      <c r="Q51" s="142">
        <v>-69</v>
      </c>
      <c r="R51" s="142" t="s">
        <v>512</v>
      </c>
      <c r="S51" s="210"/>
      <c r="T51" s="635"/>
      <c r="V51" s="52"/>
    </row>
    <row r="52" spans="1:22" ht="13.5" thickTop="1">
      <c r="A52" s="65"/>
      <c r="D52" s="63"/>
      <c r="E52" s="63"/>
      <c r="H52" s="211" t="e">
        <f>H51-'ADJ SUMMARY'!#REF!</f>
        <v>#REF!</v>
      </c>
      <c r="I52" s="211" t="e">
        <f>I51-'ADJ SUMMARY'!#REF!</f>
        <v>#REF!</v>
      </c>
      <c r="J52" s="52"/>
      <c r="K52" s="154"/>
      <c r="L52" s="154"/>
      <c r="O52" s="50" t="e">
        <f>N51+O51</f>
        <v>#REF!</v>
      </c>
      <c r="P52" s="142"/>
      <c r="Q52" s="142">
        <v>192</v>
      </c>
      <c r="R52" s="142" t="s">
        <v>513</v>
      </c>
      <c r="S52" s="142"/>
      <c r="V52" s="52"/>
    </row>
    <row r="53" spans="1:22" hidden="1">
      <c r="A53" s="65"/>
      <c r="D53" s="63"/>
      <c r="E53" s="63"/>
      <c r="H53" s="63"/>
      <c r="J53" s="52"/>
      <c r="K53" s="154">
        <f t="shared" ref="K53:L55" si="58">E53-H53</f>
        <v>0</v>
      </c>
      <c r="L53" s="154">
        <f t="shared" si="58"/>
        <v>0</v>
      </c>
      <c r="N53" s="164" t="s">
        <v>181</v>
      </c>
      <c r="O53" s="201">
        <v>584</v>
      </c>
      <c r="P53" s="142"/>
      <c r="Q53" s="142"/>
      <c r="R53" s="142"/>
      <c r="S53" s="142"/>
      <c r="V53" s="52"/>
    </row>
    <row r="54" spans="1:22" ht="13.5" hidden="1" thickBot="1">
      <c r="A54" s="138"/>
      <c r="B54" s="59"/>
      <c r="D54" s="63"/>
      <c r="E54" s="63"/>
      <c r="H54" s="63"/>
      <c r="J54" s="52"/>
      <c r="K54" s="154">
        <f t="shared" si="58"/>
        <v>0</v>
      </c>
      <c r="L54" s="154">
        <f t="shared" si="58"/>
        <v>0</v>
      </c>
      <c r="N54" s="164" t="s">
        <v>182</v>
      </c>
      <c r="O54" s="202" t="e">
        <f>SUM(O52:O53)</f>
        <v>#REF!</v>
      </c>
      <c r="P54" s="142"/>
      <c r="Q54" s="142"/>
      <c r="R54" s="142"/>
      <c r="S54" s="142"/>
      <c r="V54" s="52"/>
    </row>
    <row r="55" spans="1:22" hidden="1">
      <c r="A55" s="138"/>
      <c r="B55" s="59"/>
      <c r="D55" s="63"/>
      <c r="E55" s="63"/>
      <c r="H55" s="63"/>
      <c r="J55" s="52"/>
      <c r="K55" s="158">
        <f t="shared" si="58"/>
        <v>0</v>
      </c>
      <c r="L55" s="158">
        <f t="shared" si="58"/>
        <v>0</v>
      </c>
      <c r="N55" s="157">
        <f>K55/$O$10*-1</f>
        <v>0</v>
      </c>
      <c r="O55" s="157" t="e">
        <f>L55*#REF!/$O$10</f>
        <v>#REF!</v>
      </c>
      <c r="P55" s="142"/>
      <c r="Q55" s="142"/>
      <c r="R55" s="142"/>
      <c r="S55" s="142"/>
      <c r="V55" s="52"/>
    </row>
    <row r="56" spans="1:22" hidden="1">
      <c r="A56" s="138"/>
      <c r="B56" s="59"/>
      <c r="D56" s="63"/>
      <c r="E56" s="63"/>
      <c r="H56" s="63"/>
      <c r="J56" s="52"/>
      <c r="K56" s="159">
        <f>E56-H56</f>
        <v>0</v>
      </c>
      <c r="L56" s="159">
        <f>F56-I56</f>
        <v>0</v>
      </c>
      <c r="N56" s="160">
        <f>K56/$O$10*-1</f>
        <v>0</v>
      </c>
      <c r="O56" s="160" t="e">
        <f>L56*#REF!/$O$10</f>
        <v>#REF!</v>
      </c>
      <c r="P56" s="142"/>
      <c r="Q56" s="142"/>
      <c r="R56" s="142"/>
      <c r="S56" s="142"/>
      <c r="V56" s="52"/>
    </row>
    <row r="57" spans="1:22" ht="13.5" hidden="1" thickBot="1">
      <c r="A57" s="138"/>
      <c r="B57" s="59"/>
      <c r="D57" s="63"/>
      <c r="E57" s="63"/>
      <c r="H57" s="63"/>
      <c r="J57" s="52"/>
      <c r="K57" s="66" t="e">
        <f>SUM(K51:K56)</f>
        <v>#REF!</v>
      </c>
      <c r="L57" s="66" t="e">
        <f>SUM(L51:L56)</f>
        <v>#REF!</v>
      </c>
      <c r="N57" s="161" t="e">
        <f>SUM(N51:N56)+1</f>
        <v>#REF!</v>
      </c>
      <c r="O57" s="161" t="e">
        <f>SUM(O51:O56)</f>
        <v>#REF!</v>
      </c>
      <c r="P57" s="142"/>
      <c r="Q57" s="142"/>
      <c r="R57" s="142"/>
      <c r="S57" s="142"/>
      <c r="V57" s="52"/>
    </row>
    <row r="58" spans="1:22" hidden="1">
      <c r="A58" s="138"/>
      <c r="B58" s="59"/>
      <c r="D58" s="63"/>
      <c r="E58" s="63"/>
      <c r="H58" s="63"/>
      <c r="J58" s="52"/>
      <c r="K58" s="51"/>
      <c r="L58" s="57"/>
      <c r="M58" s="162"/>
      <c r="O58" s="50" t="e">
        <f>N57+O57</f>
        <v>#REF!</v>
      </c>
      <c r="P58" s="142"/>
      <c r="Q58" s="142"/>
      <c r="R58" s="142"/>
      <c r="S58" s="142"/>
      <c r="V58" s="52"/>
    </row>
    <row r="59" spans="1:22" hidden="1">
      <c r="A59" s="564"/>
      <c r="B59" s="59"/>
      <c r="D59" s="63"/>
      <c r="E59" s="63"/>
      <c r="H59" s="63"/>
      <c r="J59" s="52"/>
      <c r="L59" s="163"/>
      <c r="M59" s="136"/>
      <c r="N59" s="164" t="s">
        <v>181</v>
      </c>
      <c r="O59" s="201">
        <v>584</v>
      </c>
      <c r="P59" s="142"/>
      <c r="Q59" s="142"/>
      <c r="R59" s="142"/>
      <c r="S59" s="142"/>
      <c r="V59" s="52"/>
    </row>
    <row r="60" spans="1:22" ht="13.5" hidden="1" thickBot="1">
      <c r="A60" s="564"/>
      <c r="B60" s="59"/>
      <c r="D60" s="63"/>
      <c r="E60" s="63"/>
      <c r="H60" s="63"/>
      <c r="J60" s="52"/>
      <c r="L60" s="52"/>
      <c r="M60" s="137"/>
      <c r="N60" s="164" t="s">
        <v>182</v>
      </c>
      <c r="O60" s="202" t="e">
        <f>SUM(O58:O59)</f>
        <v>#REF!</v>
      </c>
      <c r="P60" s="142"/>
      <c r="Q60" s="142"/>
      <c r="R60" s="142"/>
      <c r="S60" s="142"/>
      <c r="V60" s="52"/>
    </row>
    <row r="61" spans="1:22" hidden="1">
      <c r="A61" s="564"/>
      <c r="D61" s="63"/>
      <c r="J61" s="52"/>
      <c r="P61" s="142"/>
      <c r="Q61" s="142"/>
      <c r="R61" s="142"/>
      <c r="S61" s="142"/>
      <c r="V61" s="52"/>
    </row>
    <row r="62" spans="1:22" hidden="1">
      <c r="A62" s="557"/>
      <c r="B62" s="52"/>
      <c r="C62" s="52"/>
      <c r="D62" s="54"/>
      <c r="J62" s="52"/>
      <c r="P62" s="142"/>
      <c r="Q62" s="142"/>
      <c r="R62" s="142"/>
      <c r="S62" s="142"/>
      <c r="V62" s="52"/>
    </row>
    <row r="63" spans="1:22" hidden="1">
      <c r="A63" s="557"/>
      <c r="J63" s="52"/>
      <c r="P63" s="142"/>
      <c r="Q63" s="142"/>
      <c r="R63" s="142"/>
      <c r="S63" s="142"/>
      <c r="V63" s="52"/>
    </row>
    <row r="64" spans="1:22" hidden="1">
      <c r="A64" s="557"/>
      <c r="B64" s="52"/>
      <c r="C64" s="52"/>
      <c r="D64" s="54"/>
      <c r="J64" s="52"/>
      <c r="P64" s="142"/>
      <c r="Q64" s="142"/>
      <c r="R64" s="142"/>
      <c r="S64" s="142"/>
      <c r="V64" s="52"/>
    </row>
    <row r="65" spans="1:22" hidden="1">
      <c r="A65" s="557"/>
      <c r="B65" s="52"/>
      <c r="C65" s="52"/>
      <c r="D65" s="54"/>
      <c r="J65" s="52"/>
      <c r="P65" s="142"/>
      <c r="Q65" s="142"/>
      <c r="R65" s="142"/>
      <c r="S65" s="142"/>
      <c r="V65" s="52"/>
    </row>
    <row r="66" spans="1:22" hidden="1">
      <c r="A66" s="557"/>
      <c r="C66" s="51" t="e">
        <f>#REF!</f>
        <v>#REF!</v>
      </c>
      <c r="P66" s="142"/>
      <c r="Q66" s="142"/>
      <c r="R66" s="142"/>
      <c r="S66" s="142"/>
      <c r="V66" s="52"/>
    </row>
    <row r="67" spans="1:22" hidden="1">
      <c r="A67" s="557"/>
      <c r="C67" s="37"/>
      <c r="P67" s="142"/>
      <c r="Q67" s="142"/>
      <c r="R67" s="142"/>
      <c r="S67" s="142"/>
      <c r="V67" s="52"/>
    </row>
    <row r="68" spans="1:22" s="52" customFormat="1" hidden="1">
      <c r="A68" s="557"/>
      <c r="B68" s="36"/>
      <c r="C68" s="37" t="s">
        <v>70</v>
      </c>
      <c r="D68" s="36"/>
      <c r="E68" s="36"/>
      <c r="F68" s="36"/>
      <c r="G68" s="36"/>
      <c r="H68" s="36"/>
      <c r="I68" s="36"/>
      <c r="P68" s="142"/>
      <c r="Q68" s="142"/>
      <c r="R68" s="142"/>
      <c r="S68" s="142"/>
    </row>
    <row r="69" spans="1:22" s="52" customFormat="1" hidden="1">
      <c r="A69" s="557"/>
      <c r="B69" s="36"/>
      <c r="C69" s="37" t="s">
        <v>78</v>
      </c>
      <c r="D69" s="36"/>
      <c r="E69" s="36"/>
      <c r="F69" s="36"/>
      <c r="G69" s="36"/>
      <c r="H69" s="36"/>
      <c r="I69" s="36"/>
      <c r="P69" s="142"/>
      <c r="Q69" s="142"/>
      <c r="R69" s="142"/>
      <c r="S69" s="142"/>
    </row>
    <row r="70" spans="1:22" s="52" customFormat="1" hidden="1">
      <c r="A70" s="557"/>
      <c r="B70" s="36"/>
      <c r="C70" s="39" t="e">
        <f>#REF!</f>
        <v>#REF!</v>
      </c>
      <c r="D70" s="36"/>
      <c r="E70" s="36"/>
      <c r="F70" s="36"/>
      <c r="G70" s="36"/>
      <c r="H70" s="36"/>
      <c r="I70" s="36"/>
      <c r="P70" s="142"/>
      <c r="Q70" s="142"/>
      <c r="R70" s="142"/>
      <c r="S70" s="142"/>
    </row>
    <row r="71" spans="1:22" hidden="1">
      <c r="A71" s="557"/>
      <c r="P71" s="142"/>
      <c r="Q71" s="142"/>
      <c r="R71" s="142"/>
      <c r="S71" s="142"/>
      <c r="V71" s="52"/>
    </row>
    <row r="72" spans="1:22" hidden="1">
      <c r="A72" s="557"/>
      <c r="P72" s="142"/>
      <c r="Q72" s="142"/>
      <c r="R72" s="142"/>
      <c r="S72" s="142"/>
      <c r="V72" s="52"/>
    </row>
    <row r="73" spans="1:22" hidden="1">
      <c r="A73" s="557"/>
      <c r="E73" s="56"/>
      <c r="F73" s="56" t="s">
        <v>78</v>
      </c>
      <c r="G73" s="56"/>
      <c r="H73" s="56"/>
      <c r="I73" s="56" t="s">
        <v>78</v>
      </c>
      <c r="P73" s="142"/>
      <c r="Q73" s="142"/>
      <c r="R73" s="142"/>
      <c r="S73" s="142"/>
      <c r="V73" s="52"/>
    </row>
    <row r="74" spans="1:22" hidden="1">
      <c r="A74" s="565" t="s">
        <v>72</v>
      </c>
      <c r="B74" s="56" t="s">
        <v>73</v>
      </c>
      <c r="C74" s="37"/>
      <c r="E74" s="56" t="s">
        <v>74</v>
      </c>
      <c r="F74" s="56" t="s">
        <v>19</v>
      </c>
      <c r="G74" s="56"/>
      <c r="H74" s="56" t="s">
        <v>74</v>
      </c>
      <c r="I74" s="56" t="s">
        <v>19</v>
      </c>
      <c r="J74" s="52"/>
      <c r="P74" s="142"/>
      <c r="Q74" s="142"/>
      <c r="R74" s="142"/>
      <c r="S74" s="142"/>
      <c r="V74" s="52"/>
    </row>
    <row r="75" spans="1:22" hidden="1">
      <c r="A75" s="138" t="e">
        <f>#REF!</f>
        <v>#REF!</v>
      </c>
      <c r="B75" s="59" t="e">
        <f>TRIM(CONCATENATE(#REF!," ",#REF!," ",#REF!))</f>
        <v>#REF!</v>
      </c>
      <c r="C75" s="60"/>
      <c r="D75" s="60"/>
      <c r="E75" s="61" t="e">
        <f>#REF!</f>
        <v>#REF!</v>
      </c>
      <c r="F75" s="61" t="e">
        <f>#REF!</f>
        <v>#REF!</v>
      </c>
      <c r="G75" s="61"/>
      <c r="H75" s="61" t="e">
        <f>#REF!</f>
        <v>#REF!</v>
      </c>
      <c r="I75" s="61" t="e">
        <f>#REF!</f>
        <v>#REF!</v>
      </c>
      <c r="J75" s="52"/>
      <c r="P75" s="142"/>
      <c r="Q75" s="142"/>
      <c r="R75" s="142"/>
      <c r="S75" s="142"/>
      <c r="V75" s="52"/>
    </row>
    <row r="76" spans="1:22" s="70" customFormat="1" hidden="1">
      <c r="A76" s="138" t="e">
        <f>#REF!</f>
        <v>#REF!</v>
      </c>
      <c r="B76" s="59" t="e">
        <f>TRIM(CONCATENATE(#REF!," ",#REF!," ",#REF!))</f>
        <v>#REF!</v>
      </c>
      <c r="C76" s="60"/>
      <c r="D76" s="60"/>
      <c r="E76" s="68" t="e">
        <f>#REF!</f>
        <v>#REF!</v>
      </c>
      <c r="F76" s="68" t="e">
        <f>#REF!</f>
        <v>#REF!</v>
      </c>
      <c r="G76" s="68"/>
      <c r="H76" s="68" t="e">
        <f>#REF!</f>
        <v>#REF!</v>
      </c>
      <c r="I76" s="68" t="e">
        <f>#REF!</f>
        <v>#REF!</v>
      </c>
      <c r="J76" s="72"/>
      <c r="P76" s="146"/>
      <c r="Q76" s="146"/>
      <c r="R76" s="142"/>
      <c r="S76" s="146"/>
      <c r="T76" s="72"/>
      <c r="U76" s="72"/>
      <c r="V76" s="72"/>
    </row>
    <row r="77" spans="1:22" s="70" customFormat="1" hidden="1">
      <c r="A77" s="138" t="e">
        <f>#REF!</f>
        <v>#REF!</v>
      </c>
      <c r="B77" s="139" t="e">
        <f>TRIM(CONCATENATE(#REF!," ",#REF!," ",#REF!))</f>
        <v>#REF!</v>
      </c>
      <c r="C77" s="140"/>
      <c r="D77" s="140"/>
      <c r="E77" s="141" t="e">
        <f>#REF!</f>
        <v>#REF!</v>
      </c>
      <c r="F77" s="141" t="e">
        <f>#REF!</f>
        <v>#REF!</v>
      </c>
      <c r="G77" s="141"/>
      <c r="H77" s="141" t="e">
        <f>#REF!</f>
        <v>#REF!</v>
      </c>
      <c r="I77" s="141" t="e">
        <f>#REF!</f>
        <v>#REF!</v>
      </c>
      <c r="J77" s="72"/>
      <c r="P77" s="146"/>
      <c r="Q77" s="146"/>
      <c r="R77" s="142"/>
      <c r="S77" s="146"/>
      <c r="T77" s="72"/>
      <c r="U77" s="72"/>
      <c r="V77" s="72"/>
    </row>
    <row r="78" spans="1:22" s="70" customFormat="1" hidden="1">
      <c r="A78" s="138" t="e">
        <f>#REF!</f>
        <v>#REF!</v>
      </c>
      <c r="B78" s="59" t="e">
        <f>TRIM(CONCATENATE(#REF!," ",#REF!," ",#REF!))</f>
        <v>#REF!</v>
      </c>
      <c r="C78" s="60"/>
      <c r="D78" s="60"/>
      <c r="E78" s="68" t="e">
        <f>#REF!</f>
        <v>#REF!</v>
      </c>
      <c r="F78" s="68" t="e">
        <f>#REF!</f>
        <v>#REF!</v>
      </c>
      <c r="G78" s="68"/>
      <c r="H78" s="68" t="e">
        <f>#REF!</f>
        <v>#REF!</v>
      </c>
      <c r="I78" s="68" t="e">
        <f>#REF!</f>
        <v>#REF!</v>
      </c>
      <c r="J78" s="71"/>
      <c r="P78" s="146"/>
      <c r="Q78" s="146"/>
      <c r="R78" s="142"/>
      <c r="S78" s="146"/>
      <c r="T78" s="72"/>
      <c r="U78" s="72"/>
      <c r="V78" s="72"/>
    </row>
    <row r="79" spans="1:22" s="70" customFormat="1" hidden="1">
      <c r="A79" s="138" t="e">
        <f>#REF!</f>
        <v>#REF!</v>
      </c>
      <c r="B79" s="59" t="e">
        <f>TRIM(CONCATENATE(#REF!," ",#REF!," ",#REF!))</f>
        <v>#REF!</v>
      </c>
      <c r="C79" s="60"/>
      <c r="D79" s="60"/>
      <c r="E79" s="68" t="e">
        <f>#REF!</f>
        <v>#REF!</v>
      </c>
      <c r="F79" s="68" t="e">
        <f>#REF!</f>
        <v>#REF!</v>
      </c>
      <c r="G79" s="68"/>
      <c r="H79" s="68" t="e">
        <f>#REF!</f>
        <v>#REF!</v>
      </c>
      <c r="I79" s="68" t="e">
        <f>#REF!</f>
        <v>#REF!</v>
      </c>
      <c r="J79" s="71"/>
      <c r="P79" s="146"/>
      <c r="Q79" s="146"/>
      <c r="R79" s="142"/>
      <c r="S79" s="146"/>
      <c r="T79" s="72"/>
      <c r="U79" s="72"/>
      <c r="V79" s="72"/>
    </row>
    <row r="80" spans="1:22" s="70" customFormat="1" hidden="1">
      <c r="A80" s="138" t="e">
        <f>#REF!</f>
        <v>#REF!</v>
      </c>
      <c r="B80" s="59" t="e">
        <f>TRIM(CONCATENATE(#REF!," ",#REF!," ",#REF!))</f>
        <v>#REF!</v>
      </c>
      <c r="C80" s="60"/>
      <c r="D80" s="60"/>
      <c r="E80" s="68" t="e">
        <f>#REF!</f>
        <v>#REF!</v>
      </c>
      <c r="F80" s="68" t="e">
        <f>#REF!</f>
        <v>#REF!</v>
      </c>
      <c r="G80" s="68"/>
      <c r="H80" s="68" t="e">
        <f>#REF!</f>
        <v>#REF!</v>
      </c>
      <c r="I80" s="68" t="e">
        <f>#REF!</f>
        <v>#REF!</v>
      </c>
      <c r="J80" s="71"/>
      <c r="P80" s="146"/>
      <c r="Q80" s="146"/>
      <c r="R80" s="142"/>
      <c r="S80" s="146"/>
      <c r="T80" s="72"/>
      <c r="U80" s="72"/>
      <c r="V80" s="72"/>
    </row>
    <row r="81" spans="1:22" hidden="1">
      <c r="A81" s="138"/>
      <c r="B81" s="59"/>
      <c r="C81" s="60"/>
      <c r="D81" s="60"/>
      <c r="E81" s="61"/>
      <c r="F81" s="61"/>
      <c r="G81" s="61"/>
      <c r="H81" s="61"/>
      <c r="I81" s="61"/>
      <c r="J81" s="52"/>
      <c r="P81" s="142"/>
      <c r="Q81" s="142"/>
      <c r="R81" s="142"/>
      <c r="S81" s="142"/>
      <c r="V81" s="52"/>
    </row>
    <row r="82" spans="1:22" hidden="1">
      <c r="A82" s="557"/>
      <c r="B82" s="36" t="s">
        <v>76</v>
      </c>
      <c r="E82" s="62" t="e">
        <f>SUM(E75:E81)</f>
        <v>#REF!</v>
      </c>
      <c r="F82" s="62" t="e">
        <f>SUM(F75:F81)</f>
        <v>#REF!</v>
      </c>
      <c r="G82" s="62"/>
      <c r="H82" s="62" t="e">
        <f>SUM(H75:H81)</f>
        <v>#REF!</v>
      </c>
      <c r="I82" s="62" t="e">
        <f>SUM(I75:I81)</f>
        <v>#REF!</v>
      </c>
      <c r="J82" s="52"/>
      <c r="P82" s="142"/>
      <c r="Q82" s="142"/>
      <c r="R82" s="142"/>
      <c r="S82" s="142"/>
      <c r="V82" s="52"/>
    </row>
    <row r="83" spans="1:22" hidden="1">
      <c r="A83" s="138"/>
      <c r="B83" s="59"/>
      <c r="C83" s="60"/>
      <c r="D83" s="60"/>
      <c r="E83" s="61"/>
      <c r="F83" s="61"/>
      <c r="G83" s="61"/>
      <c r="H83" s="61"/>
      <c r="I83" s="61"/>
      <c r="J83" s="52"/>
      <c r="P83" s="142"/>
      <c r="Q83" s="142"/>
      <c r="R83" s="142"/>
      <c r="S83" s="142"/>
      <c r="V83" s="52"/>
    </row>
    <row r="84" spans="1:22" s="70" customFormat="1" hidden="1">
      <c r="A84" s="138" t="e">
        <f>#REF!</f>
        <v>#REF!</v>
      </c>
      <c r="B84" s="59" t="e">
        <f>TRIM(CONCATENATE(#REF!," ",#REF!," ",#REF!))</f>
        <v>#REF!</v>
      </c>
      <c r="C84" s="60"/>
      <c r="D84" s="60"/>
      <c r="E84" s="68" t="e">
        <f>#REF!</f>
        <v>#REF!</v>
      </c>
      <c r="F84" s="68" t="e">
        <f>#REF!</f>
        <v>#REF!</v>
      </c>
      <c r="G84" s="68"/>
      <c r="H84" s="68" t="e">
        <f>#REF!</f>
        <v>#REF!</v>
      </c>
      <c r="I84" s="68" t="e">
        <f>#REF!</f>
        <v>#REF!</v>
      </c>
      <c r="J84" s="72"/>
      <c r="P84" s="146"/>
      <c r="Q84" s="146"/>
      <c r="R84" s="142"/>
      <c r="S84" s="146"/>
      <c r="T84" s="72"/>
      <c r="U84" s="72"/>
      <c r="V84" s="72"/>
    </row>
    <row r="85" spans="1:22" s="60" customFormat="1" hidden="1">
      <c r="A85" s="138" t="e">
        <f>#REF!</f>
        <v>#REF!</v>
      </c>
      <c r="B85" s="59" t="e">
        <f>TRIM(CONCATENATE(#REF!," ",#REF!," ",#REF!))</f>
        <v>#REF!</v>
      </c>
      <c r="E85" s="68" t="e">
        <f>#REF!</f>
        <v>#REF!</v>
      </c>
      <c r="F85" s="68" t="e">
        <f>#REF!</f>
        <v>#REF!</v>
      </c>
      <c r="G85" s="68"/>
      <c r="H85" s="68" t="e">
        <f>#REF!</f>
        <v>#REF!</v>
      </c>
      <c r="I85" s="68" t="e">
        <f>#REF!</f>
        <v>#REF!</v>
      </c>
      <c r="J85" s="69"/>
      <c r="P85" s="204"/>
      <c r="Q85" s="204"/>
      <c r="R85" s="142"/>
      <c r="S85" s="204"/>
      <c r="T85" s="69"/>
      <c r="U85" s="69"/>
      <c r="V85" s="69"/>
    </row>
    <row r="86" spans="1:22" s="70" customFormat="1" hidden="1">
      <c r="A86" s="138" t="e">
        <f>#REF!</f>
        <v>#REF!</v>
      </c>
      <c r="B86" s="59" t="e">
        <f>TRIM(CONCATENATE(#REF!," ",#REF!," ",#REF!))</f>
        <v>#REF!</v>
      </c>
      <c r="C86" s="60"/>
      <c r="D86" s="60"/>
      <c r="E86" s="68" t="e">
        <f>#REF!</f>
        <v>#REF!</v>
      </c>
      <c r="F86" s="68" t="e">
        <f>#REF!</f>
        <v>#REF!</v>
      </c>
      <c r="G86" s="68"/>
      <c r="H86" s="68" t="e">
        <f>#REF!</f>
        <v>#REF!</v>
      </c>
      <c r="I86" s="68" t="e">
        <f>#REF!</f>
        <v>#REF!</v>
      </c>
      <c r="J86" s="72"/>
      <c r="P86" s="146"/>
      <c r="Q86" s="146"/>
      <c r="R86" s="142"/>
      <c r="S86" s="146"/>
      <c r="T86" s="72"/>
      <c r="U86" s="72"/>
      <c r="V86" s="72"/>
    </row>
    <row r="87" spans="1:22" s="70" customFormat="1" hidden="1">
      <c r="A87" s="138" t="e">
        <f>#REF!</f>
        <v>#REF!</v>
      </c>
      <c r="B87" s="59" t="e">
        <f>TRIM(CONCATENATE(#REF!," ",#REF!," ",#REF!))</f>
        <v>#REF!</v>
      </c>
      <c r="C87" s="60"/>
      <c r="D87" s="60"/>
      <c r="E87" s="68" t="e">
        <f>#REF!</f>
        <v>#REF!</v>
      </c>
      <c r="F87" s="68" t="e">
        <f>#REF!</f>
        <v>#REF!</v>
      </c>
      <c r="G87" s="68"/>
      <c r="H87" s="68" t="e">
        <f>#REF!</f>
        <v>#REF!</v>
      </c>
      <c r="I87" s="68" t="e">
        <f>#REF!</f>
        <v>#REF!</v>
      </c>
      <c r="J87" s="72"/>
      <c r="P87" s="146"/>
      <c r="Q87" s="146"/>
      <c r="R87" s="142"/>
      <c r="S87" s="146"/>
      <c r="T87" s="72"/>
      <c r="U87" s="72"/>
      <c r="V87" s="72"/>
    </row>
    <row r="88" spans="1:22" s="70" customFormat="1" hidden="1">
      <c r="A88" s="138" t="e">
        <f>#REF!</f>
        <v>#REF!</v>
      </c>
      <c r="B88" s="59" t="e">
        <f>TRIM(CONCATENATE(#REF!," ",#REF!," ",#REF!))</f>
        <v>#REF!</v>
      </c>
      <c r="C88" s="60"/>
      <c r="D88" s="60"/>
      <c r="E88" s="68" t="e">
        <f>#REF!</f>
        <v>#REF!</v>
      </c>
      <c r="F88" s="68" t="e">
        <f>#REF!</f>
        <v>#REF!</v>
      </c>
      <c r="G88" s="68"/>
      <c r="H88" s="68" t="e">
        <f>#REF!</f>
        <v>#REF!</v>
      </c>
      <c r="I88" s="68" t="e">
        <f>#REF!</f>
        <v>#REF!</v>
      </c>
      <c r="J88" s="72"/>
      <c r="P88" s="146"/>
      <c r="Q88" s="146"/>
      <c r="R88" s="142"/>
      <c r="S88" s="146"/>
      <c r="T88" s="72"/>
      <c r="U88" s="72"/>
      <c r="V88" s="72"/>
    </row>
    <row r="89" spans="1:22" s="70" customFormat="1" hidden="1">
      <c r="A89" s="138" t="e">
        <f>#REF!</f>
        <v>#REF!</v>
      </c>
      <c r="B89" s="59" t="e">
        <f>TRIM(CONCATENATE(#REF!," ",#REF!," ",#REF!))</f>
        <v>#REF!</v>
      </c>
      <c r="C89" s="60"/>
      <c r="D89" s="60"/>
      <c r="E89" s="68" t="e">
        <f>#REF!</f>
        <v>#REF!</v>
      </c>
      <c r="F89" s="68" t="e">
        <f>#REF!</f>
        <v>#REF!</v>
      </c>
      <c r="G89" s="68"/>
      <c r="H89" s="68" t="e">
        <f>#REF!</f>
        <v>#REF!</v>
      </c>
      <c r="I89" s="68" t="e">
        <f>#REF!</f>
        <v>#REF!</v>
      </c>
      <c r="J89" s="72"/>
      <c r="P89" s="146"/>
      <c r="Q89" s="146"/>
      <c r="R89" s="142"/>
      <c r="S89" s="146"/>
      <c r="T89" s="72"/>
      <c r="U89" s="72"/>
      <c r="V89" s="72"/>
    </row>
    <row r="90" spans="1:22" s="70" customFormat="1" hidden="1">
      <c r="A90" s="138" t="e">
        <f>#REF!</f>
        <v>#REF!</v>
      </c>
      <c r="B90" s="59" t="e">
        <f>TRIM(CONCATENATE(#REF!," ",#REF!," ",#REF!))</f>
        <v>#REF!</v>
      </c>
      <c r="C90" s="60"/>
      <c r="D90" s="60"/>
      <c r="E90" s="68" t="e">
        <f>#REF!</f>
        <v>#REF!</v>
      </c>
      <c r="F90" s="68" t="e">
        <f>#REF!</f>
        <v>#REF!</v>
      </c>
      <c r="G90" s="68"/>
      <c r="H90" s="68" t="e">
        <f>#REF!</f>
        <v>#REF!</v>
      </c>
      <c r="I90" s="68" t="e">
        <f>#REF!</f>
        <v>#REF!</v>
      </c>
      <c r="J90" s="72"/>
      <c r="P90" s="146"/>
      <c r="Q90" s="146"/>
      <c r="R90" s="142"/>
      <c r="S90" s="146"/>
      <c r="T90" s="72"/>
      <c r="U90" s="72"/>
      <c r="V90" s="72"/>
    </row>
    <row r="91" spans="1:22" s="70" customFormat="1" hidden="1">
      <c r="A91" s="138" t="e">
        <f>#REF!</f>
        <v>#REF!</v>
      </c>
      <c r="B91" s="59" t="e">
        <f>TRIM(CONCATENATE(#REF!," ",#REF!," ",#REF!))</f>
        <v>#REF!</v>
      </c>
      <c r="C91" s="60"/>
      <c r="D91" s="60"/>
      <c r="E91" s="68" t="e">
        <f>#REF!</f>
        <v>#REF!</v>
      </c>
      <c r="F91" s="68" t="e">
        <f>#REF!</f>
        <v>#REF!</v>
      </c>
      <c r="G91" s="68"/>
      <c r="H91" s="68" t="e">
        <f>#REF!</f>
        <v>#REF!</v>
      </c>
      <c r="I91" s="68" t="e">
        <f>#REF!</f>
        <v>#REF!</v>
      </c>
      <c r="J91" s="72"/>
      <c r="P91" s="146"/>
      <c r="Q91" s="146"/>
      <c r="R91" s="142"/>
      <c r="S91" s="146"/>
      <c r="T91" s="72"/>
      <c r="U91" s="72"/>
      <c r="V91" s="72"/>
    </row>
    <row r="92" spans="1:22" s="70" customFormat="1" ht="12" hidden="1" customHeight="1">
      <c r="A92" s="138" t="e">
        <f>#REF!</f>
        <v>#REF!</v>
      </c>
      <c r="B92" s="139" t="e">
        <f>TRIM(CONCATENATE(#REF!," ",#REF!," ",#REF!))</f>
        <v>#REF!</v>
      </c>
      <c r="C92" s="140"/>
      <c r="D92" s="140"/>
      <c r="E92" s="141" t="e">
        <f>#REF!</f>
        <v>#REF!</v>
      </c>
      <c r="F92" s="141" t="e">
        <f>#REF!</f>
        <v>#REF!</v>
      </c>
      <c r="G92" s="141"/>
      <c r="H92" s="141" t="e">
        <f>#REF!</f>
        <v>#REF!</v>
      </c>
      <c r="I92" s="141" t="e">
        <f>#REF!</f>
        <v>#REF!</v>
      </c>
      <c r="J92" s="72"/>
      <c r="P92" s="146"/>
      <c r="Q92" s="146"/>
      <c r="R92" s="142"/>
      <c r="S92" s="146"/>
      <c r="T92" s="72"/>
      <c r="U92" s="72"/>
      <c r="V92" s="72"/>
    </row>
    <row r="93" spans="1:22" s="145" customFormat="1" hidden="1">
      <c r="A93" s="138" t="e">
        <f>#REF!</f>
        <v>#REF!</v>
      </c>
      <c r="B93" s="139" t="e">
        <f>TRIM(CONCATENATE(#REF!," ",#REF!," ",#REF!))</f>
        <v>#REF!</v>
      </c>
      <c r="C93" s="140"/>
      <c r="D93" s="140"/>
      <c r="E93" s="141" t="e">
        <f>#REF!</f>
        <v>#REF!</v>
      </c>
      <c r="F93" s="141" t="e">
        <f>#REF!</f>
        <v>#REF!</v>
      </c>
      <c r="G93" s="141"/>
      <c r="H93" s="141" t="e">
        <f>#REF!</f>
        <v>#REF!</v>
      </c>
      <c r="I93" s="141" t="e">
        <f>#REF!</f>
        <v>#REF!</v>
      </c>
      <c r="J93" s="147"/>
      <c r="P93" s="146"/>
      <c r="Q93" s="146"/>
      <c r="R93" s="142"/>
      <c r="S93" s="146"/>
      <c r="T93" s="146"/>
      <c r="U93" s="146"/>
      <c r="V93" s="146"/>
    </row>
    <row r="94" spans="1:22" ht="4.5" hidden="1" customHeight="1">
      <c r="A94" s="557"/>
      <c r="B94" s="63"/>
      <c r="E94" s="64"/>
      <c r="F94" s="64"/>
      <c r="G94" s="64"/>
      <c r="H94" s="64"/>
      <c r="I94" s="64"/>
      <c r="J94" s="52"/>
      <c r="P94" s="142"/>
      <c r="Q94" s="142"/>
      <c r="R94" s="142"/>
      <c r="S94" s="142"/>
      <c r="V94" s="52"/>
    </row>
    <row r="95" spans="1:22" ht="12" hidden="1" customHeight="1">
      <c r="A95" s="482"/>
      <c r="B95" s="63"/>
      <c r="E95" s="64"/>
      <c r="F95" s="64"/>
      <c r="G95" s="64"/>
      <c r="H95" s="64"/>
      <c r="I95" s="64"/>
      <c r="J95" s="52"/>
      <c r="P95" s="142"/>
      <c r="Q95" s="142"/>
      <c r="R95" s="142"/>
      <c r="S95" s="142"/>
      <c r="V95" s="52"/>
    </row>
    <row r="96" spans="1:22" ht="12" hidden="1" customHeight="1">
      <c r="A96" s="482"/>
      <c r="B96" s="63"/>
      <c r="E96" s="64"/>
      <c r="F96" s="64"/>
      <c r="G96" s="64"/>
      <c r="H96" s="64"/>
      <c r="I96" s="64"/>
      <c r="J96" s="52"/>
      <c r="P96" s="142"/>
      <c r="Q96" s="142"/>
      <c r="R96" s="142"/>
      <c r="S96" s="142"/>
      <c r="V96" s="52"/>
    </row>
    <row r="97" spans="1:22" ht="12" hidden="1" customHeight="1" thickBot="1">
      <c r="A97" s="65"/>
      <c r="B97" s="36" t="s">
        <v>77</v>
      </c>
      <c r="E97" s="66" t="e">
        <f>SUM(E82:E95)</f>
        <v>#REF!</v>
      </c>
      <c r="F97" s="66" t="e">
        <f>SUM(F82:F95)</f>
        <v>#REF!</v>
      </c>
      <c r="G97" s="66"/>
      <c r="H97" s="66" t="e">
        <f>SUM(H82:H95)</f>
        <v>#REF!</v>
      </c>
      <c r="I97" s="66" t="e">
        <f>SUM(I82:I95)</f>
        <v>#REF!</v>
      </c>
      <c r="J97" s="52"/>
      <c r="P97" s="142"/>
      <c r="Q97" s="142"/>
      <c r="R97" s="142"/>
      <c r="S97" s="142"/>
      <c r="V97" s="52"/>
    </row>
    <row r="98" spans="1:22" ht="12" hidden="1" customHeight="1" thickTop="1">
      <c r="A98" s="65"/>
      <c r="D98" s="63"/>
      <c r="E98" s="63"/>
      <c r="H98" s="63"/>
      <c r="J98" s="52"/>
      <c r="P98" s="142"/>
      <c r="Q98" s="142"/>
      <c r="R98" s="142"/>
      <c r="S98" s="142"/>
      <c r="V98" s="52"/>
    </row>
    <row r="99" spans="1:22" hidden="1">
      <c r="A99" s="138" t="e">
        <f>#REF!</f>
        <v>#REF!</v>
      </c>
      <c r="B99" s="59" t="e">
        <f>TRIM(CONCATENATE(#REF!," ",#REF!," ",#REF!))</f>
        <v>#REF!</v>
      </c>
      <c r="C99" s="60"/>
      <c r="D99" s="60"/>
      <c r="E99" s="68" t="e">
        <f>#REF!</f>
        <v>#REF!</v>
      </c>
      <c r="F99" s="68" t="e">
        <f>#REF!</f>
        <v>#REF!</v>
      </c>
      <c r="G99" s="68"/>
      <c r="H99" s="68" t="e">
        <f>#REF!</f>
        <v>#REF!</v>
      </c>
      <c r="I99" s="68" t="e">
        <f>#REF!</f>
        <v>#REF!</v>
      </c>
      <c r="J99" s="52"/>
      <c r="P99" s="142"/>
      <c r="Q99" s="142"/>
      <c r="R99" s="142"/>
      <c r="S99" s="142"/>
      <c r="V99" s="52"/>
    </row>
    <row r="100" spans="1:22" ht="14.25" hidden="1" customHeight="1">
      <c r="A100" s="138" t="e">
        <f>#REF!</f>
        <v>#REF!</v>
      </c>
      <c r="B100" s="59" t="e">
        <f>TRIM(CONCATENATE(#REF!," ",#REF!," ",#REF!))</f>
        <v>#REF!</v>
      </c>
      <c r="C100" s="60"/>
      <c r="D100" s="60"/>
      <c r="E100" s="68" t="e">
        <f>#REF!</f>
        <v>#REF!</v>
      </c>
      <c r="F100" s="68" t="e">
        <f>#REF!</f>
        <v>#REF!</v>
      </c>
      <c r="G100" s="68"/>
      <c r="H100" s="68" t="e">
        <f>#REF!</f>
        <v>#REF!</v>
      </c>
      <c r="I100" s="68" t="e">
        <f>#REF!</f>
        <v>#REF!</v>
      </c>
      <c r="J100" s="52"/>
      <c r="P100" s="142"/>
      <c r="Q100" s="142"/>
      <c r="R100" s="142"/>
      <c r="S100" s="142"/>
      <c r="V100" s="52"/>
    </row>
    <row r="101" spans="1:22" s="144" customFormat="1" ht="15" hidden="1" customHeight="1">
      <c r="A101" s="138" t="e">
        <f>#REF!</f>
        <v>#REF!</v>
      </c>
      <c r="B101" s="139" t="e">
        <f>TRIM(CONCATENATE(#REF!," ",#REF!," ",#REF!))</f>
        <v>#REF!</v>
      </c>
      <c r="C101" s="140"/>
      <c r="D101" s="140"/>
      <c r="E101" s="141" t="e">
        <f>#REF!</f>
        <v>#REF!</v>
      </c>
      <c r="F101" s="141" t="e">
        <f>#REF!</f>
        <v>#REF!</v>
      </c>
      <c r="G101" s="141"/>
      <c r="H101" s="141" t="e">
        <f>#REF!</f>
        <v>#REF!</v>
      </c>
      <c r="I101" s="141" t="e">
        <f>#REF!</f>
        <v>#REF!</v>
      </c>
      <c r="J101" s="142"/>
      <c r="P101" s="142"/>
      <c r="Q101" s="142"/>
      <c r="R101" s="142"/>
      <c r="S101" s="142"/>
      <c r="T101" s="142"/>
      <c r="U101" s="142"/>
      <c r="V101" s="142"/>
    </row>
    <row r="102" spans="1:22" ht="15" hidden="1" customHeight="1">
      <c r="A102" s="138" t="e">
        <f>#REF!</f>
        <v>#REF!</v>
      </c>
      <c r="B102" s="59" t="e">
        <f>TRIM(CONCATENATE(#REF!," ",#REF!," ",#REF!))</f>
        <v>#REF!</v>
      </c>
      <c r="C102" s="60"/>
      <c r="D102" s="60"/>
      <c r="E102" s="68" t="e">
        <f>#REF!</f>
        <v>#REF!</v>
      </c>
      <c r="F102" s="68" t="e">
        <f>#REF!</f>
        <v>#REF!</v>
      </c>
      <c r="G102" s="68"/>
      <c r="H102" s="68" t="e">
        <f>#REF!</f>
        <v>#REF!</v>
      </c>
      <c r="I102" s="68" t="e">
        <f>#REF!</f>
        <v>#REF!</v>
      </c>
      <c r="J102" s="52"/>
      <c r="P102" s="142"/>
      <c r="Q102" s="142"/>
      <c r="R102" s="142"/>
      <c r="S102" s="142"/>
      <c r="V102" s="52"/>
    </row>
    <row r="103" spans="1:22" ht="15" hidden="1" customHeight="1">
      <c r="A103" s="138" t="e">
        <f>#REF!</f>
        <v>#REF!</v>
      </c>
      <c r="B103" s="59" t="e">
        <f>TRIM(CONCATENATE(#REF!," ",#REF!," ",#REF!))</f>
        <v>#REF!</v>
      </c>
      <c r="C103" s="60"/>
      <c r="D103" s="60"/>
      <c r="E103" s="68" t="e">
        <f>#REF!</f>
        <v>#REF!</v>
      </c>
      <c r="F103" s="68" t="e">
        <f>#REF!</f>
        <v>#REF!</v>
      </c>
      <c r="G103" s="68"/>
      <c r="H103" s="68" t="e">
        <f>#REF!</f>
        <v>#REF!</v>
      </c>
      <c r="I103" s="68" t="e">
        <f>#REF!</f>
        <v>#REF!</v>
      </c>
      <c r="J103" s="52"/>
      <c r="P103" s="142"/>
      <c r="Q103" s="142"/>
      <c r="R103" s="142"/>
      <c r="S103" s="142"/>
      <c r="V103" s="52"/>
    </row>
    <row r="104" spans="1:22" hidden="1">
      <c r="A104" s="138" t="e">
        <f>#REF!</f>
        <v>#REF!</v>
      </c>
      <c r="B104" s="59" t="e">
        <f>TRIM(CONCATENATE(#REF!," ",#REF!," ",#REF!))</f>
        <v>#REF!</v>
      </c>
      <c r="C104" s="60"/>
      <c r="D104" s="60"/>
      <c r="E104" s="68" t="e">
        <f>#REF!</f>
        <v>#REF!</v>
      </c>
      <c r="F104" s="68" t="e">
        <f>#REF!</f>
        <v>#REF!</v>
      </c>
      <c r="G104" s="68"/>
      <c r="H104" s="68" t="e">
        <f>#REF!</f>
        <v>#REF!</v>
      </c>
      <c r="I104" s="68" t="e">
        <f>#REF!</f>
        <v>#REF!</v>
      </c>
      <c r="J104" s="52"/>
      <c r="P104" s="142"/>
      <c r="Q104" s="142"/>
      <c r="R104" s="142"/>
      <c r="S104" s="142"/>
      <c r="V104" s="52"/>
    </row>
    <row r="105" spans="1:22" s="144" customFormat="1" hidden="1">
      <c r="A105" s="138" t="e">
        <f>#REF!</f>
        <v>#REF!</v>
      </c>
      <c r="B105" s="139" t="e">
        <f>TRIM(CONCATENATE(#REF!," ",#REF!," ",#REF!))</f>
        <v>#REF!</v>
      </c>
      <c r="C105" s="140"/>
      <c r="D105" s="140"/>
      <c r="E105" s="141" t="e">
        <f>#REF!</f>
        <v>#REF!</v>
      </c>
      <c r="F105" s="141" t="e">
        <f>#REF!</f>
        <v>#REF!</v>
      </c>
      <c r="G105" s="141"/>
      <c r="H105" s="141" t="e">
        <f>#REF!</f>
        <v>#REF!</v>
      </c>
      <c r="I105" s="141" t="e">
        <f>#REF!</f>
        <v>#REF!</v>
      </c>
      <c r="J105" s="142"/>
      <c r="P105" s="142"/>
      <c r="Q105" s="142"/>
      <c r="R105" s="142"/>
      <c r="S105" s="142"/>
      <c r="T105" s="142"/>
      <c r="U105" s="142"/>
      <c r="V105" s="142"/>
    </row>
    <row r="106" spans="1:22" hidden="1">
      <c r="A106" s="138" t="e">
        <f>#REF!</f>
        <v>#REF!</v>
      </c>
      <c r="B106" s="59" t="e">
        <f>TRIM(CONCATENATE(#REF!," ",#REF!," ",#REF!))</f>
        <v>#REF!</v>
      </c>
      <c r="C106" s="60"/>
      <c r="D106" s="60"/>
      <c r="E106" s="68" t="e">
        <f>#REF!</f>
        <v>#REF!</v>
      </c>
      <c r="F106" s="68" t="e">
        <f>#REF!</f>
        <v>#REF!</v>
      </c>
      <c r="G106" s="68"/>
      <c r="H106" s="68" t="e">
        <f>#REF!</f>
        <v>#REF!</v>
      </c>
      <c r="I106" s="68" t="e">
        <f>#REF!</f>
        <v>#REF!</v>
      </c>
      <c r="J106" s="52"/>
      <c r="K106" s="133" t="s">
        <v>170</v>
      </c>
      <c r="P106" s="142"/>
      <c r="Q106" s="142"/>
      <c r="R106" s="142"/>
      <c r="S106" s="142"/>
      <c r="V106" s="52"/>
    </row>
    <row r="107" spans="1:22" hidden="1">
      <c r="A107" s="138"/>
      <c r="B107" s="59"/>
      <c r="C107" s="60"/>
      <c r="D107" s="60"/>
      <c r="E107" s="68"/>
      <c r="F107" s="68"/>
      <c r="G107" s="68"/>
      <c r="H107" s="68"/>
      <c r="I107" s="68"/>
      <c r="J107" s="52"/>
      <c r="K107" s="132">
        <v>8.14E-2</v>
      </c>
      <c r="P107" s="142"/>
      <c r="Q107" s="142"/>
      <c r="R107" s="142"/>
      <c r="S107" s="142"/>
      <c r="V107" s="52"/>
    </row>
    <row r="108" spans="1:22" ht="13.5" hidden="1" thickBot="1">
      <c r="A108" s="65"/>
      <c r="B108" s="36" t="s">
        <v>129</v>
      </c>
      <c r="E108" s="66" t="e">
        <f>SUM(E97:E107)</f>
        <v>#REF!</v>
      </c>
      <c r="F108" s="66" t="e">
        <f>SUM(F97:F107)</f>
        <v>#REF!</v>
      </c>
      <c r="G108" s="66"/>
      <c r="H108" s="66" t="e">
        <f>SUM(H97:H107)</f>
        <v>#REF!</v>
      </c>
      <c r="I108" s="66" t="e">
        <f>SUM(I97:I107)</f>
        <v>#REF!</v>
      </c>
      <c r="J108" s="52"/>
      <c r="K108" s="134" t="e">
        <f>#REF!</f>
        <v>#REF!</v>
      </c>
      <c r="P108" s="142"/>
      <c r="Q108" s="142"/>
      <c r="R108" s="142"/>
      <c r="S108" s="142"/>
      <c r="V108" s="52"/>
    </row>
    <row r="109" spans="1:22" hidden="1">
      <c r="A109" s="65"/>
      <c r="D109" s="63"/>
      <c r="E109" s="63"/>
      <c r="H109" s="63"/>
      <c r="J109" s="52"/>
      <c r="K109" s="131"/>
      <c r="P109" s="142"/>
      <c r="Q109" s="142"/>
      <c r="R109" s="142"/>
      <c r="S109" s="142"/>
      <c r="V109" s="52"/>
    </row>
    <row r="110" spans="1:22" hidden="1">
      <c r="A110" s="138"/>
      <c r="B110" s="59"/>
      <c r="D110" s="63"/>
      <c r="E110" s="63"/>
      <c r="H110" s="63"/>
      <c r="J110" s="52"/>
      <c r="K110" s="135" t="e">
        <f>((I97*K107)-H97)/0.64/K108</f>
        <v>#REF!</v>
      </c>
      <c r="P110" s="142"/>
      <c r="Q110" s="142"/>
      <c r="R110" s="142"/>
      <c r="S110" s="142"/>
      <c r="V110" s="52"/>
    </row>
    <row r="111" spans="1:22">
      <c r="A111" s="566"/>
      <c r="B111" s="139"/>
      <c r="D111" s="63"/>
      <c r="E111" s="63"/>
      <c r="F111" s="64">
        <f>F51*(7.68%-7.64%)/N10</f>
        <v>186.50919607827228</v>
      </c>
      <c r="H111" s="63"/>
      <c r="I111" s="636">
        <f>L49*(7.68%-7.64%)/N10</f>
        <v>0</v>
      </c>
      <c r="J111" s="52"/>
      <c r="K111" s="135"/>
      <c r="N111" s="164" t="s">
        <v>199</v>
      </c>
      <c r="O111" s="618">
        <v>192</v>
      </c>
      <c r="P111" s="142"/>
      <c r="Q111" s="142"/>
      <c r="R111" s="142"/>
      <c r="S111" s="205"/>
      <c r="V111" s="52"/>
    </row>
    <row r="112" spans="1:22" ht="13.5" thickBot="1">
      <c r="A112" s="138"/>
      <c r="B112" s="59"/>
      <c r="D112" s="63"/>
      <c r="E112" s="63"/>
      <c r="F112" s="64"/>
      <c r="H112" s="63"/>
      <c r="J112" s="52"/>
      <c r="N112" s="164" t="s">
        <v>182</v>
      </c>
      <c r="O112" s="202" t="e">
        <f>O52+O111</f>
        <v>#REF!</v>
      </c>
      <c r="P112" s="142"/>
      <c r="Q112" s="142"/>
      <c r="R112" s="206"/>
      <c r="S112" s="142"/>
      <c r="V112" s="52"/>
    </row>
    <row r="113" spans="1:22" ht="13.5" thickTop="1">
      <c r="A113" s="58"/>
      <c r="B113" s="59"/>
      <c r="D113" s="63"/>
      <c r="E113" s="63"/>
      <c r="F113" s="64"/>
      <c r="H113" s="63"/>
      <c r="J113" s="52"/>
      <c r="N113" s="164" t="s">
        <v>185</v>
      </c>
      <c r="O113" s="618">
        <v>4397</v>
      </c>
      <c r="P113" s="142"/>
      <c r="Q113" s="142"/>
      <c r="R113" s="142"/>
      <c r="S113" s="142"/>
      <c r="V113" s="52"/>
    </row>
    <row r="114" spans="1:22">
      <c r="A114" s="58"/>
      <c r="B114" s="59"/>
      <c r="D114" s="63"/>
      <c r="E114" s="63"/>
      <c r="F114" s="64"/>
      <c r="H114" s="63"/>
      <c r="J114" s="52"/>
      <c r="N114" s="164" t="s">
        <v>186</v>
      </c>
      <c r="O114" s="208" t="e">
        <f>O113+O112</f>
        <v>#REF!</v>
      </c>
      <c r="P114" s="142"/>
      <c r="Q114" s="142"/>
      <c r="R114" s="142"/>
      <c r="S114" s="142"/>
      <c r="V114" s="52"/>
    </row>
    <row r="115" spans="1:22">
      <c r="A115" s="58"/>
      <c r="B115" s="59"/>
      <c r="D115" s="63"/>
      <c r="H115" s="63"/>
      <c r="J115" s="52"/>
      <c r="N115" s="207"/>
      <c r="O115" s="205" t="s">
        <v>194</v>
      </c>
      <c r="P115" s="142"/>
      <c r="Q115" s="142"/>
      <c r="R115" s="207"/>
      <c r="S115" s="142"/>
      <c r="V115" s="52"/>
    </row>
    <row r="116" spans="1:22">
      <c r="A116" s="37"/>
      <c r="D116" s="63"/>
      <c r="E116" s="63"/>
      <c r="F116" s="198"/>
      <c r="H116" s="63"/>
      <c r="J116" s="52"/>
      <c r="N116" s="207"/>
      <c r="O116" s="205"/>
      <c r="P116" s="142"/>
      <c r="Q116" s="142"/>
      <c r="R116" s="207"/>
      <c r="S116" s="142"/>
      <c r="V116" s="52"/>
    </row>
    <row r="117" spans="1:22">
      <c r="A117" s="37"/>
      <c r="D117" s="63"/>
      <c r="E117" s="63"/>
      <c r="F117" s="64"/>
      <c r="H117" s="63"/>
      <c r="J117" s="52"/>
      <c r="N117" s="142"/>
      <c r="O117" s="205"/>
      <c r="P117" s="142"/>
      <c r="Q117" s="142"/>
      <c r="R117" s="142"/>
      <c r="S117" s="142"/>
      <c r="V117" s="52"/>
    </row>
    <row r="118" spans="1:22">
      <c r="A118" s="37"/>
      <c r="D118" s="63"/>
      <c r="E118" s="63"/>
      <c r="H118" s="63"/>
      <c r="J118" s="52"/>
      <c r="N118" s="142"/>
      <c r="O118" s="205">
        <f>'Exh. No. BGM-4 2'!F23</f>
        <v>-530.23099999999999</v>
      </c>
      <c r="P118" s="205" t="e">
        <f>O114-O118</f>
        <v>#REF!</v>
      </c>
      <c r="S118" s="142"/>
    </row>
    <row r="119" spans="1:22">
      <c r="A119" s="37"/>
      <c r="J119" s="52"/>
      <c r="N119" s="142"/>
      <c r="O119" s="205"/>
      <c r="P119" s="142"/>
      <c r="S119" s="142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8" type="noConversion"/>
  <pageMargins left="0.75" right="0.5" top="1" bottom="1" header="0.5" footer="0.5"/>
  <pageSetup scale="65" orientation="landscape" horizontalDpi="4294967292" r:id="rId1"/>
  <headerFooter alignWithMargins="0"/>
  <rowBreaks count="1" manualBreakCount="1">
    <brk id="65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zoomScaleNormal="100" zoomScaleSheetLayoutView="70" workbookViewId="0"/>
  </sheetViews>
  <sheetFormatPr defaultColWidth="9.140625" defaultRowHeight="12.75"/>
  <cols>
    <col min="1" max="1" width="4.7109375" style="80" customWidth="1"/>
    <col min="2" max="3" width="1.7109375" style="78" customWidth="1"/>
    <col min="4" max="4" width="2.7109375" style="78" customWidth="1"/>
    <col min="5" max="5" width="33.5703125" style="41" customWidth="1"/>
    <col min="6" max="6" width="18.85546875" style="41" customWidth="1"/>
    <col min="7" max="7" width="15.5703125" style="41" customWidth="1"/>
    <col min="8" max="8" width="16.28515625" style="41" customWidth="1"/>
    <col min="9" max="9" width="17.42578125" style="41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>
      <c r="E1" s="193"/>
      <c r="H1" s="193"/>
      <c r="I1" s="193"/>
    </row>
    <row r="2" spans="1:43">
      <c r="A2" s="79" t="str">
        <f>'ROO INPUT'!A3:C3</f>
        <v>AVISTA UTILITIES</v>
      </c>
      <c r="D2" s="80"/>
      <c r="F2" s="639"/>
      <c r="G2" s="639"/>
    </row>
    <row r="3" spans="1:43" ht="18" customHeight="1">
      <c r="A3" s="79" t="str">
        <f>'Exh. No. BGM 4 4'!A3</f>
        <v xml:space="preserve">WASHINGTON NATURAL GAS - PRO FORMA </v>
      </c>
      <c r="D3" s="80"/>
      <c r="G3" s="150"/>
      <c r="H3" s="151"/>
      <c r="I3" s="151"/>
      <c r="J3" s="144"/>
      <c r="K3" s="144"/>
      <c r="L3" s="144"/>
      <c r="M3" s="144"/>
      <c r="N3" s="144"/>
    </row>
    <row r="4" spans="1:43">
      <c r="A4" s="79" t="str">
        <f>'ROO INPUT'!A5:C5</f>
        <v>TWELVE MONTHS ENDED DECEMBER 31, 2016</v>
      </c>
      <c r="D4" s="80"/>
    </row>
    <row r="5" spans="1:43" ht="13.5" thickBot="1">
      <c r="A5" s="79" t="str">
        <f>'ROO INPUT'!A6:C6</f>
        <v xml:space="preserve">(000'S OF DOLLARS)   </v>
      </c>
      <c r="D5" s="80"/>
    </row>
    <row r="6" spans="1:43" ht="14.25">
      <c r="D6" s="80"/>
      <c r="F6" s="815" t="s">
        <v>499</v>
      </c>
      <c r="G6" s="816"/>
      <c r="H6" s="816"/>
      <c r="I6" s="816"/>
      <c r="J6" s="817"/>
      <c r="AD6" s="144"/>
      <c r="AE6" s="408"/>
      <c r="AF6" s="409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</row>
    <row r="7" spans="1:43">
      <c r="A7" s="81"/>
      <c r="B7" s="81"/>
      <c r="C7" s="82"/>
      <c r="D7" s="82"/>
      <c r="E7" s="81"/>
      <c r="F7" s="83" t="s">
        <v>150</v>
      </c>
      <c r="G7" s="84"/>
      <c r="H7" s="85"/>
      <c r="I7" s="85" t="s">
        <v>507</v>
      </c>
      <c r="J7" s="85"/>
      <c r="P7" s="144"/>
      <c r="Y7" s="144"/>
      <c r="Z7" s="144"/>
      <c r="AD7" s="144"/>
      <c r="AE7" s="414"/>
      <c r="AF7" s="415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</row>
    <row r="8" spans="1:43">
      <c r="A8" s="86"/>
      <c r="B8" s="87"/>
      <c r="C8" s="88"/>
      <c r="D8" s="89"/>
      <c r="E8" s="90"/>
      <c r="F8" s="43" t="s">
        <v>151</v>
      </c>
      <c r="G8" s="43"/>
      <c r="H8" s="624" t="s">
        <v>499</v>
      </c>
      <c r="I8" s="43" t="s">
        <v>152</v>
      </c>
      <c r="J8" s="624" t="s">
        <v>499</v>
      </c>
      <c r="AE8" s="410"/>
      <c r="AF8" s="411"/>
    </row>
    <row r="9" spans="1:43">
      <c r="A9" s="91" t="s">
        <v>7</v>
      </c>
      <c r="B9" s="92"/>
      <c r="C9" s="93"/>
      <c r="D9" s="94"/>
      <c r="E9" s="95"/>
      <c r="F9" s="45" t="s">
        <v>8</v>
      </c>
      <c r="G9" s="45" t="s">
        <v>26</v>
      </c>
      <c r="H9" s="45" t="s">
        <v>467</v>
      </c>
      <c r="I9" s="45" t="s">
        <v>153</v>
      </c>
      <c r="J9" s="45" t="s">
        <v>152</v>
      </c>
      <c r="AE9" s="410"/>
      <c r="AF9" s="411"/>
    </row>
    <row r="10" spans="1:43">
      <c r="A10" s="96" t="s">
        <v>16</v>
      </c>
      <c r="B10" s="97"/>
      <c r="C10" s="98"/>
      <c r="D10" s="99"/>
      <c r="E10" s="100" t="s">
        <v>17</v>
      </c>
      <c r="F10" s="47" t="s">
        <v>18</v>
      </c>
      <c r="G10" s="47" t="s">
        <v>120</v>
      </c>
      <c r="H10" s="47" t="s">
        <v>511</v>
      </c>
      <c r="I10" s="47" t="s">
        <v>154</v>
      </c>
      <c r="J10" s="47" t="s">
        <v>26</v>
      </c>
      <c r="AE10" s="410"/>
      <c r="AF10" s="411"/>
    </row>
    <row r="11" spans="1:43">
      <c r="A11" s="101"/>
      <c r="B11" s="101"/>
      <c r="C11" s="102"/>
      <c r="D11" s="102"/>
      <c r="E11" s="102" t="s">
        <v>27</v>
      </c>
      <c r="F11" s="49" t="s">
        <v>28</v>
      </c>
      <c r="G11" s="49" t="s">
        <v>29</v>
      </c>
      <c r="H11" s="49" t="s">
        <v>30</v>
      </c>
      <c r="I11" s="49" t="s">
        <v>31</v>
      </c>
      <c r="J11" s="49" t="s">
        <v>32</v>
      </c>
      <c r="AE11" s="410"/>
      <c r="AF11" s="411"/>
    </row>
    <row r="12" spans="1:43" ht="3.75" customHeight="1">
      <c r="A12" s="101"/>
      <c r="B12" s="101"/>
      <c r="C12" s="102"/>
      <c r="D12" s="102"/>
      <c r="E12" s="102"/>
      <c r="F12" s="49"/>
      <c r="G12" s="49"/>
      <c r="H12" s="49"/>
      <c r="I12" s="49"/>
      <c r="J12" s="49"/>
      <c r="AE12" s="410"/>
      <c r="AF12" s="411"/>
    </row>
    <row r="13" spans="1:43" ht="2.25" customHeight="1">
      <c r="A13" s="101"/>
      <c r="B13" s="101"/>
      <c r="C13" s="102"/>
      <c r="D13" s="102"/>
      <c r="E13" s="102"/>
      <c r="F13" s="49"/>
      <c r="G13" s="49"/>
      <c r="H13" s="49"/>
      <c r="I13" s="49"/>
      <c r="J13" s="49"/>
      <c r="AE13" s="410"/>
      <c r="AF13" s="411"/>
    </row>
    <row r="14" spans="1:43">
      <c r="A14" s="2"/>
      <c r="B14" s="1" t="s">
        <v>33</v>
      </c>
      <c r="C14" s="1"/>
      <c r="D14" s="1"/>
      <c r="E14" s="1"/>
      <c r="F14" s="73"/>
      <c r="G14" s="73"/>
      <c r="J14" s="41"/>
      <c r="AE14" s="410"/>
      <c r="AF14" s="411"/>
    </row>
    <row r="15" spans="1:43">
      <c r="A15" s="2">
        <v>1</v>
      </c>
      <c r="B15" s="3"/>
      <c r="C15" s="3" t="s">
        <v>34</v>
      </c>
      <c r="D15" s="3"/>
      <c r="E15" s="3"/>
      <c r="F15" s="74">
        <f>'Exh. No. BGM 4 4'!E15</f>
        <v>146098</v>
      </c>
      <c r="G15" s="74" t="e">
        <f>H15-F15</f>
        <v>#REF!</v>
      </c>
      <c r="H15" s="74" t="e">
        <f>'Exh. No. BGM 4 4'!#REF!</f>
        <v>#REF!</v>
      </c>
      <c r="I15" s="489">
        <f>'Exh. No. BGM-4 3'!J12</f>
        <v>-530.23099999999999</v>
      </c>
      <c r="J15" s="74" t="e">
        <f>H15+I15</f>
        <v>#REF!</v>
      </c>
      <c r="AE15" s="410"/>
      <c r="AF15" s="411"/>
    </row>
    <row r="16" spans="1:43">
      <c r="A16" s="2">
        <v>2</v>
      </c>
      <c r="B16" s="1"/>
      <c r="C16" s="4" t="s">
        <v>35</v>
      </c>
      <c r="D16" s="4"/>
      <c r="E16" s="4"/>
      <c r="F16" s="344">
        <f>'Exh. No. BGM 4 4'!E16</f>
        <v>4595</v>
      </c>
      <c r="G16" s="344" t="e">
        <f>H16-F16</f>
        <v>#REF!</v>
      </c>
      <c r="H16" s="74" t="e">
        <f>'Exh. No. BGM 4 4'!#REF!</f>
        <v>#REF!</v>
      </c>
      <c r="I16" s="344"/>
      <c r="J16" s="344" t="e">
        <f>H16+I16</f>
        <v>#REF!</v>
      </c>
      <c r="AE16" s="410"/>
      <c r="AF16" s="411"/>
    </row>
    <row r="17" spans="1:32">
      <c r="A17" s="2">
        <v>3</v>
      </c>
      <c r="B17" s="1"/>
      <c r="C17" s="4" t="s">
        <v>36</v>
      </c>
      <c r="D17" s="4"/>
      <c r="E17" s="4"/>
      <c r="F17" s="346">
        <f>'Exh. No. BGM 4 4'!E17</f>
        <v>69723</v>
      </c>
      <c r="G17" s="346" t="e">
        <f>H17-F17</f>
        <v>#REF!</v>
      </c>
      <c r="H17" s="514" t="e">
        <f>'Exh. No. BGM 4 4'!#REF!</f>
        <v>#REF!</v>
      </c>
      <c r="I17" s="346"/>
      <c r="J17" s="346" t="e">
        <f>H17+I17</f>
        <v>#REF!</v>
      </c>
      <c r="AE17" s="410"/>
      <c r="AF17" s="411"/>
    </row>
    <row r="18" spans="1:32">
      <c r="A18" s="2">
        <v>4</v>
      </c>
      <c r="B18" s="1" t="s">
        <v>37</v>
      </c>
      <c r="C18" s="4"/>
      <c r="D18" s="4"/>
      <c r="E18" s="4"/>
      <c r="F18" s="344">
        <f>SUM(F15:F17)</f>
        <v>220416</v>
      </c>
      <c r="G18" s="344" t="e">
        <f t="shared" ref="G18:J18" si="0">SUM(G15:G17)</f>
        <v>#REF!</v>
      </c>
      <c r="H18" s="344" t="e">
        <f t="shared" si="0"/>
        <v>#REF!</v>
      </c>
      <c r="I18" s="344">
        <f t="shared" si="0"/>
        <v>-530.23099999999999</v>
      </c>
      <c r="J18" s="344" t="e">
        <f t="shared" si="0"/>
        <v>#REF!</v>
      </c>
      <c r="AE18" s="410"/>
      <c r="AF18" s="411"/>
    </row>
    <row r="19" spans="1:32" ht="4.5" customHeight="1">
      <c r="A19" s="2"/>
      <c r="B19" s="1"/>
      <c r="C19" s="4"/>
      <c r="D19" s="4"/>
      <c r="E19" s="4"/>
      <c r="F19" s="344"/>
      <c r="G19" s="344"/>
      <c r="H19" s="344"/>
      <c r="I19" s="344"/>
      <c r="J19" s="344"/>
      <c r="AE19" s="410"/>
      <c r="AF19" s="411"/>
    </row>
    <row r="20" spans="1:32">
      <c r="A20" s="2"/>
      <c r="B20" s="1" t="s">
        <v>38</v>
      </c>
      <c r="C20" s="4"/>
      <c r="D20" s="4"/>
      <c r="E20" s="4"/>
      <c r="F20" s="344"/>
      <c r="G20" s="344"/>
      <c r="H20" s="344"/>
      <c r="I20" s="344"/>
      <c r="J20" s="344"/>
      <c r="AE20" s="410"/>
      <c r="AF20" s="411"/>
    </row>
    <row r="21" spans="1:32">
      <c r="A21" s="2"/>
      <c r="B21" s="1"/>
      <c r="C21" s="4" t="s">
        <v>259</v>
      </c>
      <c r="D21" s="4"/>
      <c r="E21" s="4"/>
      <c r="F21" s="344"/>
      <c r="G21" s="344"/>
      <c r="H21" s="344"/>
      <c r="I21" s="344"/>
      <c r="J21" s="344"/>
      <c r="AE21" s="410"/>
      <c r="AF21" s="411"/>
    </row>
    <row r="22" spans="1:32">
      <c r="A22" s="2">
        <v>5</v>
      </c>
      <c r="B22" s="1"/>
      <c r="C22" s="4"/>
      <c r="D22" s="4" t="s">
        <v>39</v>
      </c>
      <c r="E22" s="4"/>
      <c r="F22" s="344">
        <f>'Exh. No. BGM 4 4'!E22</f>
        <v>112605</v>
      </c>
      <c r="G22" s="344" t="e">
        <f>H22-F22</f>
        <v>#REF!</v>
      </c>
      <c r="H22" s="345" t="e">
        <f>'Exh. No. BGM 4 4'!#REF!</f>
        <v>#REF!</v>
      </c>
      <c r="I22" s="344"/>
      <c r="J22" s="344" t="e">
        <f>H22+I22</f>
        <v>#REF!</v>
      </c>
      <c r="AE22" s="410"/>
      <c r="AF22" s="411"/>
    </row>
    <row r="23" spans="1:32">
      <c r="A23" s="2">
        <v>6</v>
      </c>
      <c r="B23" s="1"/>
      <c r="C23" s="4"/>
      <c r="D23" s="4" t="s">
        <v>40</v>
      </c>
      <c r="E23" s="4"/>
      <c r="F23" s="344">
        <f>'Exh. No. BGM 4 4'!E23</f>
        <v>988</v>
      </c>
      <c r="G23" s="344" t="e">
        <f>H23-F23</f>
        <v>#REF!</v>
      </c>
      <c r="H23" s="345" t="e">
        <f>'Exh. No. BGM 4 4'!#REF!</f>
        <v>#REF!</v>
      </c>
      <c r="I23" s="344"/>
      <c r="J23" s="344" t="e">
        <f>H23+I23</f>
        <v>#REF!</v>
      </c>
      <c r="AE23" s="410"/>
      <c r="AF23" s="411"/>
    </row>
    <row r="24" spans="1:32">
      <c r="A24" s="2">
        <v>7</v>
      </c>
      <c r="B24" s="1"/>
      <c r="C24" s="4"/>
      <c r="D24" s="4" t="s">
        <v>41</v>
      </c>
      <c r="E24" s="4"/>
      <c r="F24" s="346">
        <f>'Exh. No. BGM 4 4'!E24</f>
        <v>2932</v>
      </c>
      <c r="G24" s="346" t="e">
        <f>H24-F24</f>
        <v>#REF!</v>
      </c>
      <c r="H24" s="347" t="e">
        <f>'Exh. No. BGM 4 4'!#REF!</f>
        <v>#REF!</v>
      </c>
      <c r="I24" s="346"/>
      <c r="J24" s="346" t="e">
        <f>H24+I24</f>
        <v>#REF!</v>
      </c>
      <c r="AE24" s="410"/>
      <c r="AF24" s="411"/>
    </row>
    <row r="25" spans="1:32">
      <c r="A25" s="2">
        <v>8</v>
      </c>
      <c r="B25" s="1"/>
      <c r="C25" s="4"/>
      <c r="D25" s="4"/>
      <c r="E25" s="4" t="s">
        <v>42</v>
      </c>
      <c r="F25" s="344">
        <f>SUM(F22:F24)</f>
        <v>116525</v>
      </c>
      <c r="G25" s="344" t="e">
        <f t="shared" ref="G25:J25" si="1">SUM(G22:G24)</f>
        <v>#REF!</v>
      </c>
      <c r="H25" s="344" t="e">
        <f t="shared" si="1"/>
        <v>#REF!</v>
      </c>
      <c r="I25" s="344">
        <f t="shared" si="1"/>
        <v>0</v>
      </c>
      <c r="J25" s="344" t="e">
        <f t="shared" si="1"/>
        <v>#REF!</v>
      </c>
      <c r="AE25" s="410"/>
      <c r="AF25" s="411"/>
    </row>
    <row r="26" spans="1:32" ht="5.25" customHeight="1">
      <c r="A26" s="196"/>
      <c r="B26" s="1"/>
      <c r="C26" s="4"/>
      <c r="D26" s="4"/>
      <c r="E26" s="4"/>
      <c r="F26" s="344"/>
      <c r="G26" s="344"/>
      <c r="H26" s="345"/>
      <c r="I26" s="344"/>
      <c r="J26" s="344"/>
      <c r="AE26" s="410"/>
      <c r="AF26" s="411"/>
    </row>
    <row r="27" spans="1:32">
      <c r="A27" s="2"/>
      <c r="B27" s="1"/>
      <c r="C27" s="4" t="s">
        <v>43</v>
      </c>
      <c r="D27" s="4"/>
      <c r="E27" s="4"/>
      <c r="F27" s="344"/>
      <c r="G27" s="344"/>
      <c r="H27" s="344"/>
      <c r="I27" s="344"/>
      <c r="J27" s="344"/>
      <c r="AE27" s="410"/>
      <c r="AF27" s="411"/>
    </row>
    <row r="28" spans="1:32">
      <c r="A28" s="2">
        <v>9</v>
      </c>
      <c r="B28" s="1"/>
      <c r="C28" s="4"/>
      <c r="D28" s="4" t="s">
        <v>44</v>
      </c>
      <c r="E28" s="4"/>
      <c r="F28" s="344">
        <f>'Exh. No. BGM 4 4'!E28</f>
        <v>974</v>
      </c>
      <c r="G28" s="344" t="e">
        <f>H28-F28</f>
        <v>#REF!</v>
      </c>
      <c r="H28" s="345" t="e">
        <f>'Exh. No. BGM 4 4'!#REF!</f>
        <v>#REF!</v>
      </c>
      <c r="I28" s="344"/>
      <c r="J28" s="344" t="e">
        <f>H28+I28</f>
        <v>#REF!</v>
      </c>
      <c r="AE28" s="410"/>
      <c r="AF28" s="411"/>
    </row>
    <row r="29" spans="1:32">
      <c r="A29" s="2">
        <v>10</v>
      </c>
      <c r="B29" s="1"/>
      <c r="C29" s="4"/>
      <c r="D29" s="4" t="s">
        <v>45</v>
      </c>
      <c r="E29" s="4"/>
      <c r="F29" s="344">
        <f>'Exh. No. BGM 4 4'!E29</f>
        <v>492</v>
      </c>
      <c r="G29" s="344" t="e">
        <f>H29-F29</f>
        <v>#REF!</v>
      </c>
      <c r="H29" s="345" t="e">
        <f>'Exh. No. BGM 4 4'!#REF!</f>
        <v>#REF!</v>
      </c>
      <c r="I29" s="344"/>
      <c r="J29" s="344" t="e">
        <f>H29+I29</f>
        <v>#REF!</v>
      </c>
      <c r="AE29" s="410"/>
      <c r="AF29" s="411"/>
    </row>
    <row r="30" spans="1:32">
      <c r="A30" s="383">
        <v>11</v>
      </c>
      <c r="B30" s="1"/>
      <c r="C30" s="4"/>
      <c r="D30" s="4" t="s">
        <v>21</v>
      </c>
      <c r="E30" s="4"/>
      <c r="F30" s="346">
        <f>'Exh. No. BGM 4 4'!E30</f>
        <v>210</v>
      </c>
      <c r="G30" s="346" t="e">
        <f>H30-F30</f>
        <v>#REF!</v>
      </c>
      <c r="H30" s="347" t="e">
        <f>'Exh. No. BGM 4 4'!#REF!</f>
        <v>#REF!</v>
      </c>
      <c r="I30" s="346"/>
      <c r="J30" s="346" t="e">
        <f>H30+I30</f>
        <v>#REF!</v>
      </c>
      <c r="AE30" s="410"/>
      <c r="AF30" s="411"/>
    </row>
    <row r="31" spans="1:32">
      <c r="A31" s="2">
        <v>12</v>
      </c>
      <c r="B31" s="1"/>
      <c r="C31" s="4"/>
      <c r="D31" s="4"/>
      <c r="E31" s="4" t="s">
        <v>46</v>
      </c>
      <c r="F31" s="344">
        <f>SUM(F28:F30)</f>
        <v>1676</v>
      </c>
      <c r="G31" s="344" t="e">
        <f>SUM(G28:G30)</f>
        <v>#REF!</v>
      </c>
      <c r="H31" s="344" t="e">
        <f>SUM(H28:H30)</f>
        <v>#REF!</v>
      </c>
      <c r="I31" s="344">
        <f>SUM(I28:I30)</f>
        <v>0</v>
      </c>
      <c r="J31" s="344" t="e">
        <f>SUM(J28:J30)</f>
        <v>#REF!</v>
      </c>
      <c r="AE31" s="410"/>
      <c r="AF31" s="411"/>
    </row>
    <row r="32" spans="1:32" ht="3" customHeight="1">
      <c r="A32" s="196"/>
      <c r="B32" s="1"/>
      <c r="C32" s="4"/>
      <c r="D32" s="4"/>
      <c r="E32" s="4"/>
      <c r="F32" s="344"/>
      <c r="G32" s="344"/>
      <c r="H32" s="345"/>
      <c r="I32" s="344"/>
      <c r="J32" s="344"/>
      <c r="AE32" s="410"/>
      <c r="AF32" s="411"/>
    </row>
    <row r="33" spans="1:32">
      <c r="A33" s="2"/>
      <c r="B33" s="1"/>
      <c r="C33" s="4" t="s">
        <v>47</v>
      </c>
      <c r="D33" s="4"/>
      <c r="E33" s="4"/>
      <c r="F33" s="344"/>
      <c r="G33" s="344"/>
      <c r="H33" s="344"/>
      <c r="I33" s="344"/>
      <c r="J33" s="344"/>
      <c r="AE33" s="410"/>
      <c r="AF33" s="411"/>
    </row>
    <row r="34" spans="1:32">
      <c r="A34" s="2">
        <v>13</v>
      </c>
      <c r="B34" s="1"/>
      <c r="C34" s="4"/>
      <c r="D34" s="4" t="s">
        <v>44</v>
      </c>
      <c r="E34" s="4"/>
      <c r="F34" s="344">
        <f>'Exh. No. BGM 4 4'!E34</f>
        <v>12049</v>
      </c>
      <c r="G34" s="344" t="e">
        <f>H34-F34</f>
        <v>#REF!</v>
      </c>
      <c r="H34" s="345" t="e">
        <f>'Exh. No. BGM 4 4'!#REF!</f>
        <v>#REF!</v>
      </c>
      <c r="I34" s="344"/>
      <c r="J34" s="344" t="e">
        <f>H34+I34</f>
        <v>#REF!</v>
      </c>
      <c r="AE34" s="410"/>
      <c r="AF34" s="411"/>
    </row>
    <row r="35" spans="1:32">
      <c r="A35" s="2">
        <v>14</v>
      </c>
      <c r="B35" s="1"/>
      <c r="C35" s="4"/>
      <c r="D35" s="4" t="s">
        <v>45</v>
      </c>
      <c r="E35" s="4"/>
      <c r="F35" s="344">
        <f>'Exh. No. BGM 4 4'!E35</f>
        <v>9866</v>
      </c>
      <c r="G35" s="344" t="e">
        <f>H35-F35</f>
        <v>#REF!</v>
      </c>
      <c r="H35" s="345" t="e">
        <f>'Exh. No. BGM 4 4'!#REF!</f>
        <v>#REF!</v>
      </c>
      <c r="I35" s="344"/>
      <c r="J35" s="344" t="e">
        <f>H35+I35</f>
        <v>#REF!</v>
      </c>
      <c r="AE35" s="410"/>
      <c r="AF35" s="411"/>
    </row>
    <row r="36" spans="1:32">
      <c r="A36" s="2">
        <v>15</v>
      </c>
      <c r="B36" s="1"/>
      <c r="C36" s="4"/>
      <c r="D36" s="4" t="s">
        <v>21</v>
      </c>
      <c r="E36" s="4"/>
      <c r="F36" s="348">
        <f>'Exh. No. BGM 4 4'!E36</f>
        <v>12807</v>
      </c>
      <c r="G36" s="346" t="e">
        <f>H36-F36</f>
        <v>#REF!</v>
      </c>
      <c r="H36" s="347" t="e">
        <f>'Exh. No. BGM 4 4'!#REF!</f>
        <v>#REF!</v>
      </c>
      <c r="I36" s="346">
        <f>'Exh. No. BGM-4 3'!J19</f>
        <v>-20</v>
      </c>
      <c r="J36" s="346" t="e">
        <f>H36+I36</f>
        <v>#REF!</v>
      </c>
      <c r="AE36" s="410"/>
      <c r="AF36" s="411"/>
    </row>
    <row r="37" spans="1:32">
      <c r="A37" s="2">
        <v>16</v>
      </c>
      <c r="B37" s="1"/>
      <c r="C37" s="4"/>
      <c r="D37" s="4"/>
      <c r="E37" s="4" t="s">
        <v>48</v>
      </c>
      <c r="F37" s="344">
        <f>SUM(F34:F36)</f>
        <v>34722</v>
      </c>
      <c r="G37" s="344" t="e">
        <f t="shared" ref="G37:J37" si="2">SUM(G34:G36)</f>
        <v>#REF!</v>
      </c>
      <c r="H37" s="344" t="e">
        <f t="shared" si="2"/>
        <v>#REF!</v>
      </c>
      <c r="I37" s="344">
        <f t="shared" si="2"/>
        <v>-20</v>
      </c>
      <c r="J37" s="344" t="e">
        <f t="shared" si="2"/>
        <v>#REF!</v>
      </c>
      <c r="AE37" s="410"/>
      <c r="AF37" s="411"/>
    </row>
    <row r="38" spans="1:32" ht="5.25" customHeight="1">
      <c r="A38" s="2"/>
      <c r="B38" s="1"/>
      <c r="C38" s="4"/>
      <c r="D38" s="4"/>
      <c r="E38" s="4"/>
      <c r="F38" s="344"/>
      <c r="G38" s="344"/>
      <c r="H38" s="344"/>
      <c r="I38" s="344"/>
      <c r="J38" s="344"/>
      <c r="AE38" s="410"/>
      <c r="AF38" s="411"/>
    </row>
    <row r="39" spans="1:32">
      <c r="A39" s="2">
        <v>17</v>
      </c>
      <c r="B39" s="1" t="s">
        <v>49</v>
      </c>
      <c r="C39" s="4"/>
      <c r="D39" s="4"/>
      <c r="E39" s="4"/>
      <c r="F39" s="344">
        <f>'Exh. No. BGM 4 4'!E39</f>
        <v>7352</v>
      </c>
      <c r="G39" s="344" t="e">
        <f>H39-F39</f>
        <v>#REF!</v>
      </c>
      <c r="H39" s="345" t="e">
        <f>'Exh. No. BGM 4 4'!#REF!</f>
        <v>#REF!</v>
      </c>
      <c r="I39" s="344">
        <f>'Exh. No. BGM-4 3'!J15</f>
        <v>-3</v>
      </c>
      <c r="J39" s="344" t="e">
        <f>H39+I39</f>
        <v>#REF!</v>
      </c>
      <c r="AE39" s="410"/>
      <c r="AF39" s="411"/>
    </row>
    <row r="40" spans="1:32">
      <c r="A40" s="2">
        <v>18</v>
      </c>
      <c r="B40" s="1" t="s">
        <v>50</v>
      </c>
      <c r="C40" s="4"/>
      <c r="D40" s="4"/>
      <c r="E40" s="4"/>
      <c r="F40" s="344">
        <f>'Exh. No. BGM 4 4'!E40</f>
        <v>7595</v>
      </c>
      <c r="G40" s="344" t="e">
        <f>H40-F40</f>
        <v>#REF!</v>
      </c>
      <c r="H40" s="345" t="e">
        <f>'Exh. No. BGM 4 4'!#REF!</f>
        <v>#REF!</v>
      </c>
      <c r="I40" s="344"/>
      <c r="J40" s="344" t="e">
        <f>H40+I40</f>
        <v>#REF!</v>
      </c>
      <c r="AE40" s="410"/>
      <c r="AF40" s="411"/>
    </row>
    <row r="41" spans="1:32">
      <c r="A41" s="2">
        <v>19</v>
      </c>
      <c r="B41" s="1" t="s">
        <v>51</v>
      </c>
      <c r="C41" s="4"/>
      <c r="D41" s="4"/>
      <c r="E41" s="4"/>
      <c r="F41" s="344">
        <f>'Exh. No. BGM 4 4'!E41</f>
        <v>0</v>
      </c>
      <c r="G41" s="344" t="e">
        <f>H41-F41</f>
        <v>#REF!</v>
      </c>
      <c r="H41" s="349" t="e">
        <f>'Exh. No. BGM 4 4'!#REF!</f>
        <v>#REF!</v>
      </c>
      <c r="I41" s="344"/>
      <c r="J41" s="344" t="e">
        <f>H41+I41</f>
        <v>#REF!</v>
      </c>
      <c r="AE41" s="410"/>
      <c r="AF41" s="411"/>
    </row>
    <row r="42" spans="1:32" ht="4.5" customHeight="1">
      <c r="A42" s="196"/>
      <c r="B42" s="1"/>
      <c r="C42" s="4"/>
      <c r="D42" s="4"/>
      <c r="E42" s="4"/>
      <c r="F42" s="344"/>
      <c r="G42" s="344"/>
      <c r="H42" s="349"/>
      <c r="I42" s="344"/>
      <c r="J42" s="344"/>
      <c r="AE42" s="410"/>
      <c r="AF42" s="411"/>
    </row>
    <row r="43" spans="1:32">
      <c r="A43" s="2"/>
      <c r="B43" s="1" t="s">
        <v>52</v>
      </c>
      <c r="C43" s="4"/>
      <c r="D43" s="4"/>
      <c r="E43" s="4"/>
      <c r="F43" s="344"/>
      <c r="G43" s="344"/>
      <c r="H43" s="344"/>
      <c r="I43" s="344"/>
      <c r="J43" s="344"/>
      <c r="AE43" s="410"/>
      <c r="AF43" s="411"/>
    </row>
    <row r="44" spans="1:32">
      <c r="A44" s="2">
        <v>20</v>
      </c>
      <c r="B44" s="1"/>
      <c r="C44" s="4" t="s">
        <v>44</v>
      </c>
      <c r="D44" s="4"/>
      <c r="E44" s="4"/>
      <c r="F44" s="344">
        <f>'Exh. No. BGM 4 4'!E44</f>
        <v>13763</v>
      </c>
      <c r="G44" s="344" t="e">
        <f>H44-F44</f>
        <v>#REF!</v>
      </c>
      <c r="H44" s="345" t="e">
        <f>'Exh. No. BGM 4 4'!#REF!</f>
        <v>#REF!</v>
      </c>
      <c r="I44" s="344">
        <f>'Exh. No. BGM-4 3'!J17</f>
        <v>-1</v>
      </c>
      <c r="J44" s="344" t="e">
        <f>H44+I44</f>
        <v>#REF!</v>
      </c>
      <c r="AE44" s="410"/>
      <c r="AF44" s="411"/>
    </row>
    <row r="45" spans="1:32">
      <c r="A45" s="2">
        <v>21</v>
      </c>
      <c r="B45" s="1"/>
      <c r="C45" s="4" t="s">
        <v>219</v>
      </c>
      <c r="D45" s="4"/>
      <c r="E45" s="4"/>
      <c r="F45" s="344">
        <f>'Exh. No. BGM 4 4'!E45</f>
        <v>6260</v>
      </c>
      <c r="G45" s="344" t="e">
        <f>H45-F45</f>
        <v>#REF!</v>
      </c>
      <c r="H45" s="345" t="e">
        <f>'Exh. No. BGM 4 4'!#REF!</f>
        <v>#REF!</v>
      </c>
      <c r="I45" s="344"/>
      <c r="J45" s="344" t="e">
        <f>H45+I45</f>
        <v>#REF!</v>
      </c>
      <c r="AE45" s="410"/>
      <c r="AF45" s="411"/>
    </row>
    <row r="46" spans="1:32">
      <c r="A46" s="196">
        <v>22</v>
      </c>
      <c r="B46" s="1"/>
      <c r="C46" s="9" t="s">
        <v>433</v>
      </c>
      <c r="D46" s="4"/>
      <c r="E46" s="4"/>
      <c r="F46" s="344">
        <f>'Exh. No. BGM 4 4'!E46</f>
        <v>0</v>
      </c>
      <c r="G46" s="344" t="e">
        <f>H46-F46</f>
        <v>#REF!</v>
      </c>
      <c r="H46" s="345" t="e">
        <f>'Exh. No. BGM 4 4'!#REF!</f>
        <v>#REF!</v>
      </c>
      <c r="I46" s="344"/>
      <c r="J46" s="344" t="e">
        <f>H46+I46</f>
        <v>#REF!</v>
      </c>
      <c r="AE46" s="410"/>
      <c r="AF46" s="411"/>
    </row>
    <row r="47" spans="1:32">
      <c r="A47" s="2">
        <v>23</v>
      </c>
      <c r="B47" s="1"/>
      <c r="C47" s="4" t="s">
        <v>21</v>
      </c>
      <c r="D47" s="4"/>
      <c r="E47" s="4"/>
      <c r="F47" s="346">
        <f>'Exh. No. BGM 4 4'!E47</f>
        <v>0</v>
      </c>
      <c r="G47" s="346" t="e">
        <f>H47-F47</f>
        <v>#REF!</v>
      </c>
      <c r="H47" s="347" t="e">
        <f>'Exh. No. BGM 4 4'!#REF!</f>
        <v>#REF!</v>
      </c>
      <c r="I47" s="346"/>
      <c r="J47" s="346" t="e">
        <f>H47+I47</f>
        <v>#REF!</v>
      </c>
      <c r="AE47" s="410"/>
      <c r="AF47" s="411"/>
    </row>
    <row r="48" spans="1:32">
      <c r="A48" s="2">
        <v>24</v>
      </c>
      <c r="B48" s="1"/>
      <c r="C48" s="4"/>
      <c r="D48" s="4" t="s">
        <v>53</v>
      </c>
      <c r="E48" s="36"/>
      <c r="F48" s="350">
        <f>SUM(F44:F47)</f>
        <v>20023</v>
      </c>
      <c r="G48" s="350" t="e">
        <f t="shared" ref="G48:J48" si="3">SUM(G44:G47)</f>
        <v>#REF!</v>
      </c>
      <c r="H48" s="350" t="e">
        <f t="shared" si="3"/>
        <v>#REF!</v>
      </c>
      <c r="I48" s="350">
        <f t="shared" si="3"/>
        <v>-1</v>
      </c>
      <c r="J48" s="350" t="e">
        <f t="shared" si="3"/>
        <v>#REF!</v>
      </c>
      <c r="AE48" s="410"/>
      <c r="AF48" s="411"/>
    </row>
    <row r="49" spans="1:32">
      <c r="A49" s="2">
        <v>25</v>
      </c>
      <c r="B49" s="1" t="s">
        <v>54</v>
      </c>
      <c r="C49" s="4"/>
      <c r="D49" s="4"/>
      <c r="E49" s="4"/>
      <c r="F49" s="346">
        <f>F48+F37+F31+F25+F39+F40+F41</f>
        <v>187893</v>
      </c>
      <c r="G49" s="346" t="e">
        <f>G48+G37+G31+G25+G39+G40+G41</f>
        <v>#REF!</v>
      </c>
      <c r="H49" s="346" t="e">
        <f>H48+H37+H31+H25+H39+H40+H41</f>
        <v>#REF!</v>
      </c>
      <c r="I49" s="346">
        <f>I48+I37+I31+I25+I39+I40+I41</f>
        <v>-24</v>
      </c>
      <c r="J49" s="346" t="e">
        <f>J48+J37+J31+J25+J39+J40+J41</f>
        <v>#REF!</v>
      </c>
      <c r="AE49" s="410"/>
      <c r="AF49" s="411"/>
    </row>
    <row r="50" spans="1:32" ht="8.25" customHeight="1">
      <c r="A50" s="2"/>
      <c r="B50" s="1"/>
      <c r="C50" s="4"/>
      <c r="D50" s="4"/>
      <c r="E50" s="4"/>
      <c r="F50" s="344"/>
      <c r="G50" s="344"/>
      <c r="H50" s="344"/>
      <c r="I50" s="344"/>
      <c r="J50" s="344"/>
      <c r="AE50" s="410"/>
      <c r="AF50" s="411"/>
    </row>
    <row r="51" spans="1:32">
      <c r="A51" s="2">
        <v>26</v>
      </c>
      <c r="B51" s="1" t="s">
        <v>55</v>
      </c>
      <c r="C51" s="4"/>
      <c r="D51" s="4"/>
      <c r="E51" s="4"/>
      <c r="F51" s="344">
        <f>F18-F49</f>
        <v>32523</v>
      </c>
      <c r="G51" s="344" t="e">
        <f>G18-G49</f>
        <v>#REF!</v>
      </c>
      <c r="H51" s="344" t="e">
        <f>H18-H49</f>
        <v>#REF!</v>
      </c>
      <c r="I51" s="344">
        <f>I18-I49</f>
        <v>-506.23099999999999</v>
      </c>
      <c r="J51" s="344" t="e">
        <f>J18-J49</f>
        <v>#REF!</v>
      </c>
      <c r="AE51" s="410"/>
      <c r="AF51" s="411"/>
    </row>
    <row r="52" spans="1:32" ht="6.75" customHeight="1">
      <c r="A52" s="2"/>
      <c r="B52" s="1"/>
      <c r="C52" s="4"/>
      <c r="D52" s="4"/>
      <c r="E52" s="4"/>
      <c r="F52" s="344"/>
      <c r="G52" s="344"/>
      <c r="H52" s="344"/>
      <c r="I52" s="344"/>
      <c r="J52" s="344"/>
      <c r="AE52" s="410"/>
      <c r="AF52" s="411"/>
    </row>
    <row r="53" spans="1:32">
      <c r="A53" s="2"/>
      <c r="B53" s="1" t="s">
        <v>56</v>
      </c>
      <c r="C53" s="4"/>
      <c r="D53" s="4"/>
      <c r="E53" s="4"/>
      <c r="F53" s="344"/>
      <c r="G53" s="344"/>
      <c r="H53" s="344"/>
      <c r="I53" s="344"/>
      <c r="J53" s="344"/>
      <c r="N53" s="486"/>
      <c r="AE53" s="410"/>
      <c r="AF53" s="411"/>
    </row>
    <row r="54" spans="1:32">
      <c r="A54" s="2">
        <v>27</v>
      </c>
      <c r="B54" s="1"/>
      <c r="C54" s="4" t="s">
        <v>57</v>
      </c>
      <c r="D54" s="4"/>
      <c r="E54" s="4"/>
      <c r="F54" s="344">
        <f>'Exh. No. BGM 4 4'!E54</f>
        <v>-841</v>
      </c>
      <c r="G54" s="344" t="e">
        <f>H54-F54</f>
        <v>#REF!</v>
      </c>
      <c r="H54" s="345" t="e">
        <f>'Exh. No. BGM 4 4'!#REF!</f>
        <v>#REF!</v>
      </c>
      <c r="I54" s="344">
        <f>'Exh. No. BGM-4 3'!J25</f>
        <v>-177</v>
      </c>
      <c r="J54" s="344" t="e">
        <f>H54+I54</f>
        <v>#REF!</v>
      </c>
      <c r="N54" s="120"/>
      <c r="Q54" s="120"/>
      <c r="AE54" s="410"/>
      <c r="AF54" s="411"/>
    </row>
    <row r="55" spans="1:32">
      <c r="A55" s="196">
        <v>28</v>
      </c>
      <c r="B55" s="1"/>
      <c r="C55" s="241" t="s">
        <v>200</v>
      </c>
      <c r="D55" s="4"/>
      <c r="E55" s="4"/>
      <c r="F55" s="344">
        <f>'Exh. No. BGM 4 4'!E55</f>
        <v>0</v>
      </c>
      <c r="G55" s="344" t="e">
        <f>H55-F55</f>
        <v>#REF!</v>
      </c>
      <c r="H55" s="345" t="e">
        <f>'Exh. No. BGM 4 4'!#REF!</f>
        <v>#REF!</v>
      </c>
      <c r="I55" s="344">
        <f>'Exh. No. BGM-4 3'!J26</f>
        <v>0</v>
      </c>
      <c r="J55" s="344" t="e">
        <f>H55+I55</f>
        <v>#REF!</v>
      </c>
      <c r="N55" s="486"/>
      <c r="AE55" s="410"/>
      <c r="AF55" s="411"/>
    </row>
    <row r="56" spans="1:32">
      <c r="A56" s="2">
        <v>29</v>
      </c>
      <c r="B56" s="1"/>
      <c r="C56" s="4" t="s">
        <v>58</v>
      </c>
      <c r="D56" s="4"/>
      <c r="E56" s="4"/>
      <c r="F56" s="344">
        <f>'Exh. No. BGM 4 4'!E56</f>
        <v>9923</v>
      </c>
      <c r="G56" s="344" t="e">
        <f>H56-F56</f>
        <v>#REF!</v>
      </c>
      <c r="H56" s="345" t="e">
        <f>'Exh. No. BGM 4 4'!#REF!</f>
        <v>#REF!</v>
      </c>
      <c r="I56" s="344"/>
      <c r="J56" s="344" t="e">
        <f>H56+I56</f>
        <v>#REF!</v>
      </c>
      <c r="AE56" s="410"/>
      <c r="AF56" s="411"/>
    </row>
    <row r="57" spans="1:32">
      <c r="A57" s="2">
        <v>30</v>
      </c>
      <c r="B57" s="1"/>
      <c r="C57" s="4" t="s">
        <v>59</v>
      </c>
      <c r="D57" s="4"/>
      <c r="E57" s="4"/>
      <c r="F57" s="346">
        <f>'Exh. No. BGM 4 4'!E57</f>
        <v>-17</v>
      </c>
      <c r="G57" s="346" t="e">
        <f>H57-F57</f>
        <v>#REF!</v>
      </c>
      <c r="H57" s="347" t="e">
        <f>'Exh. No. BGM 4 4'!#REF!</f>
        <v>#REF!</v>
      </c>
      <c r="I57" s="346"/>
      <c r="J57" s="346" t="e">
        <f>H57+I57</f>
        <v>#REF!</v>
      </c>
      <c r="N57" s="198"/>
      <c r="AE57" s="410"/>
      <c r="AF57" s="411"/>
    </row>
    <row r="58" spans="1:32" ht="6" customHeight="1">
      <c r="A58" s="2"/>
      <c r="B58" s="1"/>
      <c r="C58" s="1"/>
      <c r="D58" s="1"/>
      <c r="E58" s="1"/>
      <c r="F58" s="344"/>
      <c r="G58" s="344"/>
      <c r="H58" s="344"/>
      <c r="I58" s="351"/>
      <c r="J58" s="344"/>
      <c r="AE58" s="410"/>
      <c r="AF58" s="411"/>
    </row>
    <row r="59" spans="1:32" ht="13.5" thickBot="1">
      <c r="A59" s="2">
        <v>31</v>
      </c>
      <c r="B59" s="3" t="s">
        <v>60</v>
      </c>
      <c r="C59" s="3"/>
      <c r="D59" s="3"/>
      <c r="E59" s="3"/>
      <c r="F59" s="352">
        <f>F51-SUM(F54:F57)</f>
        <v>23458</v>
      </c>
      <c r="G59" s="352" t="e">
        <f>G51-SUM(G54:G57)</f>
        <v>#REF!</v>
      </c>
      <c r="H59" s="352" t="e">
        <f>H51-SUM(H54:H57)</f>
        <v>#REF!</v>
      </c>
      <c r="I59" s="352">
        <f>I51-SUM(I54:I57)</f>
        <v>-329.23099999999999</v>
      </c>
      <c r="J59" s="352" t="e">
        <f>J51-SUM(J54:J57)</f>
        <v>#REF!</v>
      </c>
      <c r="N59" s="163"/>
      <c r="AE59" s="410"/>
      <c r="AF59" s="411"/>
    </row>
    <row r="60" spans="1:32" ht="7.5" customHeight="1" thickTop="1">
      <c r="A60" s="2"/>
      <c r="B60" s="1"/>
      <c r="C60" s="1"/>
      <c r="D60" s="1"/>
      <c r="E60" s="1"/>
      <c r="F60" s="344"/>
      <c r="G60" s="344"/>
      <c r="H60" s="344"/>
      <c r="I60" s="344"/>
      <c r="J60" s="344"/>
      <c r="AE60" s="410"/>
      <c r="AF60" s="411"/>
    </row>
    <row r="61" spans="1:32" hidden="1">
      <c r="A61" s="2"/>
      <c r="B61" s="1"/>
      <c r="C61" s="1"/>
      <c r="D61" s="1"/>
      <c r="E61" s="1"/>
      <c r="F61" s="344"/>
      <c r="G61" s="344"/>
      <c r="H61" s="344"/>
      <c r="I61" s="344"/>
      <c r="J61" s="344"/>
      <c r="AE61" s="410"/>
      <c r="AF61" s="411"/>
    </row>
    <row r="62" spans="1:32">
      <c r="A62" s="2"/>
      <c r="B62" s="1" t="s">
        <v>61</v>
      </c>
      <c r="C62" s="1"/>
      <c r="D62" s="1"/>
      <c r="E62" s="1"/>
      <c r="F62" s="344"/>
      <c r="G62" s="344"/>
      <c r="H62" s="344"/>
      <c r="I62" s="344"/>
      <c r="J62" s="344"/>
      <c r="AE62" s="410"/>
      <c r="AF62" s="411"/>
    </row>
    <row r="63" spans="1:32">
      <c r="A63" s="2">
        <v>32</v>
      </c>
      <c r="B63" s="4"/>
      <c r="C63" s="4" t="s">
        <v>43</v>
      </c>
      <c r="D63" s="4"/>
      <c r="E63" s="4"/>
      <c r="F63" s="344">
        <f>'Exh. No. BGM 4 4'!E63</f>
        <v>26868</v>
      </c>
      <c r="G63" s="344" t="e">
        <f>H63-F63</f>
        <v>#REF!</v>
      </c>
      <c r="H63" s="345" t="e">
        <f>'Exh. No. BGM 4 4'!#REF!</f>
        <v>#REF!</v>
      </c>
      <c r="I63" s="344"/>
      <c r="J63" s="344" t="e">
        <f>H63+I63</f>
        <v>#REF!</v>
      </c>
      <c r="AE63" s="410"/>
      <c r="AF63" s="411"/>
    </row>
    <row r="64" spans="1:32">
      <c r="A64" s="2">
        <v>33</v>
      </c>
      <c r="B64" s="4"/>
      <c r="C64" s="4" t="s">
        <v>62</v>
      </c>
      <c r="D64" s="4"/>
      <c r="E64" s="4"/>
      <c r="F64" s="344">
        <f>'Exh. No. BGM 4 4'!E64</f>
        <v>390508</v>
      </c>
      <c r="G64" s="344" t="e">
        <f>H64-F64</f>
        <v>#REF!</v>
      </c>
      <c r="H64" s="345" t="e">
        <f>'Exh. No. BGM 4 4'!#REF!</f>
        <v>#REF!</v>
      </c>
      <c r="I64" s="344"/>
      <c r="J64" s="344" t="e">
        <f>H64+I64</f>
        <v>#REF!</v>
      </c>
      <c r="AE64" s="410"/>
      <c r="AF64" s="411"/>
    </row>
    <row r="65" spans="1:32">
      <c r="A65" s="2">
        <v>34</v>
      </c>
      <c r="B65" s="4"/>
      <c r="C65" s="4" t="s">
        <v>63</v>
      </c>
      <c r="D65" s="4"/>
      <c r="E65" s="4"/>
      <c r="F65" s="346">
        <f>'Exh. No. BGM 4 4'!E65</f>
        <v>82624</v>
      </c>
      <c r="G65" s="346" t="e">
        <f>H65-F65</f>
        <v>#REF!</v>
      </c>
      <c r="H65" s="347" t="e">
        <f>'Exh. No. BGM 4 4'!#REF!</f>
        <v>#REF!</v>
      </c>
      <c r="I65" s="346"/>
      <c r="J65" s="346" t="e">
        <f>H65+I65</f>
        <v>#REF!</v>
      </c>
      <c r="AE65" s="410"/>
      <c r="AF65" s="411"/>
    </row>
    <row r="66" spans="1:32">
      <c r="A66" s="2">
        <v>35</v>
      </c>
      <c r="B66" s="4"/>
      <c r="C66" s="4"/>
      <c r="D66" s="4"/>
      <c r="E66" s="4" t="s">
        <v>64</v>
      </c>
      <c r="F66" s="353">
        <f>SUM(F63:F65)</f>
        <v>500000</v>
      </c>
      <c r="G66" s="353" t="e">
        <f t="shared" ref="G66:J66" si="4">SUM(G63:G65)</f>
        <v>#REF!</v>
      </c>
      <c r="H66" s="353" t="e">
        <f t="shared" si="4"/>
        <v>#REF!</v>
      </c>
      <c r="I66" s="353">
        <f t="shared" si="4"/>
        <v>0</v>
      </c>
      <c r="J66" s="353" t="e">
        <f t="shared" si="4"/>
        <v>#REF!</v>
      </c>
      <c r="AE66" s="410"/>
      <c r="AF66" s="411"/>
    </row>
    <row r="67" spans="1:32" ht="5.25" customHeight="1">
      <c r="A67" s="196"/>
      <c r="B67" s="4"/>
      <c r="C67" s="4"/>
      <c r="D67" s="4"/>
      <c r="E67" s="4"/>
      <c r="F67" s="353"/>
      <c r="G67" s="353"/>
      <c r="H67" s="353"/>
      <c r="I67" s="353"/>
      <c r="J67" s="353"/>
      <c r="AE67" s="410"/>
      <c r="AF67" s="411"/>
    </row>
    <row r="68" spans="1:32">
      <c r="A68" s="2"/>
      <c r="B68" s="4" t="s">
        <v>438</v>
      </c>
      <c r="C68" s="4"/>
      <c r="D68" s="4"/>
      <c r="E68" s="4"/>
      <c r="F68" s="344"/>
      <c r="G68" s="344"/>
      <c r="H68" s="344"/>
      <c r="I68" s="344"/>
      <c r="J68" s="344"/>
      <c r="AE68" s="410"/>
      <c r="AF68" s="411"/>
    </row>
    <row r="69" spans="1:32">
      <c r="A69" s="2">
        <v>36</v>
      </c>
      <c r="B69" s="4"/>
      <c r="C69" s="4" t="s">
        <v>43</v>
      </c>
      <c r="D69" s="4"/>
      <c r="E69" s="4"/>
      <c r="F69" s="344">
        <f>'Exh. No. BGM 4 4'!E69</f>
        <v>-10317</v>
      </c>
      <c r="G69" s="344" t="e">
        <f t="shared" ref="G69:G79" si="5">H69-F69</f>
        <v>#REF!</v>
      </c>
      <c r="H69" s="345" t="e">
        <f>'Exh. No. BGM 4 4'!#REF!</f>
        <v>#REF!</v>
      </c>
      <c r="I69" s="344"/>
      <c r="J69" s="344" t="e">
        <f t="shared" ref="J69:J79" si="6">H69+I69</f>
        <v>#REF!</v>
      </c>
      <c r="AE69" s="410"/>
      <c r="AF69" s="411"/>
    </row>
    <row r="70" spans="1:32">
      <c r="A70" s="2">
        <v>37</v>
      </c>
      <c r="B70" s="4"/>
      <c r="C70" s="4" t="s">
        <v>62</v>
      </c>
      <c r="D70" s="4"/>
      <c r="E70" s="4"/>
      <c r="F70" s="344">
        <f>'Exh. No. BGM 4 4'!E70</f>
        <v>-129098</v>
      </c>
      <c r="G70" s="344" t="e">
        <f t="shared" si="5"/>
        <v>#REF!</v>
      </c>
      <c r="H70" s="345" t="e">
        <f>'Exh. No. BGM 4 4'!#REF!</f>
        <v>#REF!</v>
      </c>
      <c r="I70" s="344"/>
      <c r="J70" s="344" t="e">
        <f t="shared" si="6"/>
        <v>#REF!</v>
      </c>
      <c r="AE70" s="410"/>
      <c r="AF70" s="411"/>
    </row>
    <row r="71" spans="1:32">
      <c r="A71" s="2">
        <v>38</v>
      </c>
      <c r="B71" s="4"/>
      <c r="C71" s="4" t="s">
        <v>63</v>
      </c>
      <c r="D71" s="4"/>
      <c r="E71" s="4"/>
      <c r="F71" s="346">
        <f>'Exh. No. BGM 4 4'!E71</f>
        <v>-23473</v>
      </c>
      <c r="G71" s="346" t="e">
        <f t="shared" si="5"/>
        <v>#REF!</v>
      </c>
      <c r="H71" s="347" t="e">
        <f>'Exh. No. BGM 4 4'!#REF!</f>
        <v>#REF!</v>
      </c>
      <c r="I71" s="346"/>
      <c r="J71" s="346" t="e">
        <f t="shared" si="6"/>
        <v>#REF!</v>
      </c>
      <c r="AE71" s="410"/>
      <c r="AF71" s="411"/>
    </row>
    <row r="72" spans="1:32">
      <c r="A72" s="2">
        <v>39</v>
      </c>
      <c r="B72" s="4" t="s">
        <v>439</v>
      </c>
      <c r="C72" s="4"/>
      <c r="D72" s="4"/>
      <c r="E72" s="36"/>
      <c r="F72" s="350">
        <f>SUM(F69:F71)</f>
        <v>-162888</v>
      </c>
      <c r="G72" s="350" t="e">
        <f t="shared" ref="G72:J72" si="7">SUM(G69:G71)</f>
        <v>#REF!</v>
      </c>
      <c r="H72" s="350" t="e">
        <f t="shared" si="7"/>
        <v>#REF!</v>
      </c>
      <c r="I72" s="350">
        <f t="shared" si="7"/>
        <v>0</v>
      </c>
      <c r="J72" s="350" t="e">
        <f t="shared" si="7"/>
        <v>#REF!</v>
      </c>
      <c r="AE72" s="410"/>
      <c r="AF72" s="411"/>
    </row>
    <row r="73" spans="1:32">
      <c r="A73" s="196">
        <v>40</v>
      </c>
      <c r="B73" s="241" t="s">
        <v>189</v>
      </c>
      <c r="C73" s="4"/>
      <c r="D73" s="4"/>
      <c r="E73" s="4"/>
      <c r="F73" s="353">
        <f>F66+F72</f>
        <v>337112</v>
      </c>
      <c r="G73" s="353" t="e">
        <f t="shared" ref="G73:J73" si="8">G66+G72</f>
        <v>#REF!</v>
      </c>
      <c r="H73" s="353" t="e">
        <f t="shared" si="8"/>
        <v>#REF!</v>
      </c>
      <c r="I73" s="353">
        <f t="shared" si="8"/>
        <v>0</v>
      </c>
      <c r="J73" s="353" t="e">
        <f t="shared" si="8"/>
        <v>#REF!</v>
      </c>
      <c r="AE73" s="410"/>
      <c r="AF73" s="411"/>
    </row>
    <row r="74" spans="1:32">
      <c r="A74" s="5">
        <v>41</v>
      </c>
      <c r="B74" s="6" t="s">
        <v>66</v>
      </c>
      <c r="C74" s="6"/>
      <c r="D74" s="6"/>
      <c r="E74" s="6"/>
      <c r="F74" s="346">
        <f>'Exh. No. BGM 4 4'!E74</f>
        <v>-73856</v>
      </c>
      <c r="G74" s="346" t="e">
        <f t="shared" si="5"/>
        <v>#REF!</v>
      </c>
      <c r="H74" s="347" t="e">
        <f>'Exh. No. BGM 4 4'!#REF!</f>
        <v>#REF!</v>
      </c>
      <c r="I74" s="346"/>
      <c r="J74" s="346" t="e">
        <f>H74+I74</f>
        <v>#REF!</v>
      </c>
      <c r="AE74" s="410"/>
      <c r="AF74" s="411"/>
    </row>
    <row r="75" spans="1:32">
      <c r="A75" s="5">
        <v>42</v>
      </c>
      <c r="B75" s="6"/>
      <c r="C75" s="243" t="s">
        <v>222</v>
      </c>
      <c r="D75" s="6"/>
      <c r="E75" s="6"/>
      <c r="F75" s="344">
        <f>F73+F74</f>
        <v>263256</v>
      </c>
      <c r="G75" s="344" t="e">
        <f t="shared" ref="G75:J75" si="9">G73+G74</f>
        <v>#REF!</v>
      </c>
      <c r="H75" s="344" t="e">
        <f>H73+H74</f>
        <v>#REF!</v>
      </c>
      <c r="I75" s="344">
        <f t="shared" si="9"/>
        <v>0</v>
      </c>
      <c r="J75" s="344" t="e">
        <f t="shared" si="9"/>
        <v>#REF!</v>
      </c>
      <c r="AE75" s="410"/>
      <c r="AF75" s="411"/>
    </row>
    <row r="76" spans="1:32" ht="12" customHeight="1">
      <c r="A76" s="2">
        <v>43</v>
      </c>
      <c r="B76" s="398" t="s">
        <v>67</v>
      </c>
      <c r="C76" s="398"/>
      <c r="D76" s="398"/>
      <c r="E76" s="398"/>
      <c r="F76" s="399">
        <f>'Exh. No. BGM 4 4'!E76</f>
        <v>9116</v>
      </c>
      <c r="G76" s="399" t="e">
        <f t="shared" si="5"/>
        <v>#REF!</v>
      </c>
      <c r="H76" s="400" t="e">
        <f>'Exh. No. BGM 4 4'!#REF!</f>
        <v>#REF!</v>
      </c>
      <c r="I76" s="399"/>
      <c r="J76" s="399" t="e">
        <f t="shared" si="6"/>
        <v>#REF!</v>
      </c>
      <c r="AE76" s="410"/>
      <c r="AF76" s="411"/>
    </row>
    <row r="77" spans="1:32">
      <c r="A77" s="196">
        <v>44</v>
      </c>
      <c r="B77" s="398" t="s">
        <v>68</v>
      </c>
      <c r="C77" s="398"/>
      <c r="D77" s="398"/>
      <c r="E77" s="398"/>
      <c r="F77" s="399">
        <f>'Exh. No. BGM 4 4'!E77</f>
        <v>0</v>
      </c>
      <c r="G77" s="399" t="e">
        <f>H77-F77</f>
        <v>#REF!</v>
      </c>
      <c r="H77" s="400" t="e">
        <f>'Exh. No. BGM 4 4'!#REF!</f>
        <v>#REF!</v>
      </c>
      <c r="I77" s="399"/>
      <c r="J77" s="399" t="e">
        <f t="shared" ref="J77" si="10">H77+I77</f>
        <v>#REF!</v>
      </c>
      <c r="AE77" s="410"/>
      <c r="AF77" s="411"/>
    </row>
    <row r="78" spans="1:32">
      <c r="A78" s="196">
        <v>45</v>
      </c>
      <c r="B78" s="398" t="s">
        <v>440</v>
      </c>
      <c r="C78" s="398"/>
      <c r="D78" s="398"/>
      <c r="E78" s="398"/>
      <c r="F78" s="399">
        <f>'Exh. No. BGM 4 4'!E78</f>
        <v>-249</v>
      </c>
      <c r="G78" s="399" t="e">
        <f t="shared" ref="G78" si="11">H78-F78</f>
        <v>#REF!</v>
      </c>
      <c r="H78" s="400" t="e">
        <f>'Exh. No. BGM 4 4'!#REF!</f>
        <v>#REF!</v>
      </c>
      <c r="I78" s="399"/>
      <c r="J78" s="399" t="e">
        <f t="shared" ref="J78" si="12">H78+I78</f>
        <v>#REF!</v>
      </c>
      <c r="AE78" s="410"/>
      <c r="AF78" s="411"/>
    </row>
    <row r="79" spans="1:32">
      <c r="A79" s="2">
        <v>46</v>
      </c>
      <c r="B79" s="398" t="s">
        <v>193</v>
      </c>
      <c r="C79" s="398"/>
      <c r="D79" s="398"/>
      <c r="E79" s="398"/>
      <c r="F79" s="348">
        <f>'Exh. No. BGM 4 4'!E79</f>
        <v>15664</v>
      </c>
      <c r="G79" s="348" t="e">
        <f t="shared" si="5"/>
        <v>#REF!</v>
      </c>
      <c r="H79" s="401" t="e">
        <f>'Exh. No. BGM 4 4'!#REF!</f>
        <v>#REF!</v>
      </c>
      <c r="I79" s="348"/>
      <c r="J79" s="348" t="e">
        <f t="shared" si="6"/>
        <v>#REF!</v>
      </c>
      <c r="AE79" s="410"/>
      <c r="AF79" s="411"/>
    </row>
    <row r="80" spans="1:32" ht="3" customHeight="1">
      <c r="A80" s="2"/>
      <c r="B80" s="1"/>
      <c r="C80" s="1"/>
      <c r="D80" s="1"/>
      <c r="E80" s="1"/>
      <c r="F80" s="73"/>
      <c r="G80" s="73"/>
      <c r="H80" s="110"/>
      <c r="I80" s="73"/>
      <c r="J80" s="73"/>
      <c r="AE80" s="410"/>
      <c r="AF80" s="411"/>
    </row>
    <row r="81" spans="1:36" ht="13.5" thickBot="1">
      <c r="A81" s="2">
        <v>47</v>
      </c>
      <c r="B81" s="3" t="s">
        <v>69</v>
      </c>
      <c r="C81" s="3"/>
      <c r="D81" s="3"/>
      <c r="E81" s="3"/>
      <c r="F81" s="109">
        <f>F79+F77+F76+F75+F78</f>
        <v>287787</v>
      </c>
      <c r="G81" s="109" t="e">
        <f>G79+G77+G76+G75</f>
        <v>#REF!</v>
      </c>
      <c r="H81" s="109" t="e">
        <f>H79+H77+H76+H75+H78</f>
        <v>#REF!</v>
      </c>
      <c r="I81" s="109">
        <f>I79+I77+I76+I75</f>
        <v>0</v>
      </c>
      <c r="J81" s="109" t="e">
        <f>J79+J77+J76+J75+J78</f>
        <v>#REF!</v>
      </c>
      <c r="AE81" s="410"/>
      <c r="AF81" s="411"/>
    </row>
    <row r="82" spans="1:36" ht="13.5" thickTop="1">
      <c r="A82" s="2">
        <v>48</v>
      </c>
      <c r="B82" s="1" t="s">
        <v>483</v>
      </c>
      <c r="C82" s="1"/>
      <c r="D82" s="1"/>
      <c r="E82" s="1"/>
      <c r="F82" s="470">
        <f>ROUND(F59/F81,4)</f>
        <v>8.1500000000000003E-2</v>
      </c>
      <c r="G82" s="103"/>
      <c r="H82" s="470" t="e">
        <f>ROUND(H59/H81,4)</f>
        <v>#REF!</v>
      </c>
      <c r="I82" s="7"/>
      <c r="J82" s="470" t="e">
        <f>ROUND(J59/J81,4)</f>
        <v>#REF!</v>
      </c>
      <c r="AE82" s="410"/>
      <c r="AF82" s="411"/>
    </row>
    <row r="83" spans="1:36" ht="7.5" customHeight="1">
      <c r="A83" s="657"/>
      <c r="B83" s="657"/>
      <c r="C83" s="657"/>
      <c r="D83" s="657"/>
      <c r="E83" s="657"/>
      <c r="F83" s="657"/>
      <c r="G83" s="657"/>
      <c r="H83" s="657"/>
      <c r="I83" s="657"/>
      <c r="J83" s="657"/>
      <c r="AE83" s="416"/>
      <c r="AF83" s="417"/>
    </row>
    <row r="84" spans="1:36" ht="13.5" thickBot="1">
      <c r="A84" s="104"/>
      <c r="B84" s="105"/>
      <c r="C84" s="105"/>
      <c r="D84" s="105"/>
      <c r="E84" s="77"/>
      <c r="F84" s="77"/>
      <c r="G84" s="77"/>
      <c r="H84" s="77"/>
      <c r="I84" s="77"/>
      <c r="J84" s="77"/>
      <c r="AE84" s="412"/>
      <c r="AF84" s="413"/>
      <c r="AJ84" s="36">
        <f>AJ90</f>
        <v>0</v>
      </c>
    </row>
  </sheetData>
  <mergeCells count="1">
    <mergeCell ref="F6:J6"/>
  </mergeCells>
  <phoneticPr fontId="0" type="noConversion"/>
  <pageMargins left="0.75" right="0.5" top="0.72" bottom="0.84" header="0.5" footer="0.5"/>
  <pageSetup scale="72" orientation="portrait" r:id="rId1"/>
  <headerFooter scaleWithDoc="0" alignWithMargins="0">
    <oddHeader xml:space="preserve">&amp;RExhibit No. ___(JSS-3)
</oddHeader>
    <oddFooter>&amp;LStaff_DR_091-Supplemental 3 -Attachment G         (09.2015 PF/CC Study Update)&amp;RPage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84"/>
  <sheetViews>
    <sheetView view="pageBreakPreview" zoomScaleNormal="100" zoomScaleSheetLayoutView="100" workbookViewId="0"/>
  </sheetViews>
  <sheetFormatPr defaultColWidth="9.140625" defaultRowHeight="12.75"/>
  <cols>
    <col min="1" max="1" width="4.7109375" style="80" customWidth="1"/>
    <col min="2" max="3" width="1.7109375" style="78" customWidth="1"/>
    <col min="4" max="4" width="2.7109375" style="78" customWidth="1"/>
    <col min="5" max="5" width="28.140625" style="193" customWidth="1"/>
    <col min="6" max="6" width="16" style="193" customWidth="1"/>
    <col min="7" max="7" width="14.42578125" style="193" customWidth="1"/>
    <col min="8" max="8" width="15.140625" style="193" customWidth="1"/>
    <col min="9" max="9" width="15" style="193" customWidth="1"/>
    <col min="10" max="10" width="16.28515625" style="193" customWidth="1"/>
    <col min="11" max="11" width="15.7109375" style="553" customWidth="1"/>
    <col min="12" max="13" width="9" style="553" customWidth="1"/>
    <col min="14" max="14" width="9.140625" style="553"/>
    <col min="15" max="15" width="9.85546875" style="553" bestFit="1" customWidth="1"/>
    <col min="16" max="17" width="9.140625" style="553"/>
    <col min="18" max="18" width="11.140625" style="553" bestFit="1" customWidth="1"/>
    <col min="19" max="31" width="9.140625" style="553"/>
    <col min="32" max="32" width="14.7109375" style="553" customWidth="1"/>
    <col min="33" max="33" width="13" style="553" customWidth="1"/>
    <col min="34" max="16384" width="9.140625" style="553"/>
  </cols>
  <sheetData>
    <row r="2" spans="1:44">
      <c r="A2" s="79" t="str">
        <f>'ROO INPUT'!A3:C3</f>
        <v>AVISTA UTILITIES</v>
      </c>
      <c r="D2" s="80"/>
      <c r="G2" s="639"/>
      <c r="H2" s="639"/>
    </row>
    <row r="3" spans="1:44" ht="18.75">
      <c r="A3" s="79" t="str">
        <f>'Exh. No. BGM 4 4'!A3</f>
        <v xml:space="preserve">WASHINGTON NATURAL GAS - PRO FORMA </v>
      </c>
      <c r="D3" s="80"/>
      <c r="G3" s="150"/>
      <c r="H3" s="151"/>
      <c r="I3" s="151"/>
      <c r="J3" s="151"/>
      <c r="K3" s="557"/>
      <c r="L3" s="557"/>
      <c r="M3" s="557"/>
      <c r="N3" s="557"/>
      <c r="O3" s="557"/>
    </row>
    <row r="4" spans="1:44">
      <c r="A4" s="79" t="str">
        <f>'ROO INPUT'!A5:C5</f>
        <v>TWELVE MONTHS ENDED DECEMBER 31, 2016</v>
      </c>
      <c r="D4" s="80"/>
      <c r="G4" s="623"/>
      <c r="H4" s="623"/>
      <c r="I4" s="623"/>
      <c r="J4" s="623"/>
      <c r="K4" s="403"/>
    </row>
    <row r="5" spans="1:44" ht="13.5" thickBot="1">
      <c r="A5" s="79" t="str">
        <f>'ROO INPUT'!A6:C6</f>
        <v xml:space="preserve">(000'S OF DOLLARS)   </v>
      </c>
      <c r="D5" s="80"/>
      <c r="G5" s="151"/>
      <c r="H5" s="151"/>
      <c r="I5" s="151"/>
      <c r="J5" s="151"/>
      <c r="K5" s="557"/>
    </row>
    <row r="6" spans="1:44" ht="14.25">
      <c r="D6" s="80"/>
      <c r="F6" s="815" t="s">
        <v>514</v>
      </c>
      <c r="G6" s="816"/>
      <c r="H6" s="816"/>
      <c r="I6" s="816"/>
      <c r="J6" s="816"/>
      <c r="K6" s="817"/>
      <c r="AE6" s="557"/>
      <c r="AF6" s="408"/>
      <c r="AG6" s="409"/>
      <c r="AH6" s="557"/>
      <c r="AI6" s="557"/>
      <c r="AJ6" s="557"/>
      <c r="AK6" s="557"/>
      <c r="AL6" s="557"/>
      <c r="AM6" s="557"/>
      <c r="AN6" s="557"/>
      <c r="AO6" s="557"/>
      <c r="AP6" s="557"/>
      <c r="AQ6" s="557"/>
      <c r="AR6" s="557"/>
    </row>
    <row r="7" spans="1:44">
      <c r="A7" s="81"/>
      <c r="B7" s="81"/>
      <c r="C7" s="82"/>
      <c r="D7" s="82"/>
      <c r="E7" s="81"/>
      <c r="F7" s="83" t="s">
        <v>150</v>
      </c>
      <c r="G7" s="84"/>
      <c r="H7" s="85"/>
      <c r="I7" s="85"/>
      <c r="J7" s="85" t="s">
        <v>522</v>
      </c>
      <c r="K7" s="85"/>
      <c r="Q7" s="557"/>
      <c r="Z7" s="557"/>
      <c r="AA7" s="557"/>
      <c r="AE7" s="557"/>
      <c r="AF7" s="414"/>
      <c r="AG7" s="415"/>
      <c r="AH7" s="557"/>
      <c r="AI7" s="557"/>
      <c r="AJ7" s="557"/>
      <c r="AK7" s="557"/>
      <c r="AL7" s="557"/>
      <c r="AM7" s="557"/>
      <c r="AN7" s="557"/>
      <c r="AO7" s="557"/>
      <c r="AP7" s="557"/>
      <c r="AQ7" s="557"/>
      <c r="AR7" s="557"/>
    </row>
    <row r="8" spans="1:44">
      <c r="A8" s="86"/>
      <c r="B8" s="87"/>
      <c r="C8" s="88"/>
      <c r="D8" s="89"/>
      <c r="E8" s="90"/>
      <c r="F8" s="624" t="s">
        <v>499</v>
      </c>
      <c r="G8" s="624" t="s">
        <v>514</v>
      </c>
      <c r="H8" s="624" t="s">
        <v>514</v>
      </c>
      <c r="I8" s="43" t="s">
        <v>508</v>
      </c>
      <c r="J8" s="43" t="s">
        <v>523</v>
      </c>
      <c r="K8" s="630" t="s">
        <v>514</v>
      </c>
      <c r="AF8" s="410"/>
      <c r="AG8" s="411"/>
    </row>
    <row r="9" spans="1:44">
      <c r="A9" s="91" t="s">
        <v>7</v>
      </c>
      <c r="B9" s="92"/>
      <c r="C9" s="93"/>
      <c r="D9" s="94"/>
      <c r="E9" s="95"/>
      <c r="F9" s="45" t="s">
        <v>15</v>
      </c>
      <c r="G9" s="45" t="s">
        <v>505</v>
      </c>
      <c r="H9" s="45" t="s">
        <v>467</v>
      </c>
      <c r="I9" s="45" t="s">
        <v>153</v>
      </c>
      <c r="J9" s="45" t="s">
        <v>153</v>
      </c>
      <c r="K9" s="45" t="s">
        <v>152</v>
      </c>
      <c r="AF9" s="410"/>
      <c r="AG9" s="411"/>
    </row>
    <row r="10" spans="1:44">
      <c r="A10" s="96" t="s">
        <v>16</v>
      </c>
      <c r="B10" s="97"/>
      <c r="C10" s="98"/>
      <c r="D10" s="99"/>
      <c r="E10" s="100" t="s">
        <v>17</v>
      </c>
      <c r="F10" s="47" t="s">
        <v>511</v>
      </c>
      <c r="G10" s="47" t="s">
        <v>120</v>
      </c>
      <c r="H10" s="47" t="s">
        <v>26</v>
      </c>
      <c r="I10" s="47" t="s">
        <v>154</v>
      </c>
      <c r="J10" s="47" t="s">
        <v>154</v>
      </c>
      <c r="K10" s="47" t="s">
        <v>26</v>
      </c>
      <c r="AF10" s="410"/>
      <c r="AG10" s="411"/>
    </row>
    <row r="11" spans="1:44">
      <c r="A11" s="101"/>
      <c r="B11" s="101"/>
      <c r="C11" s="102"/>
      <c r="D11" s="102"/>
      <c r="E11" s="102" t="s">
        <v>27</v>
      </c>
      <c r="F11" s="49" t="s">
        <v>28</v>
      </c>
      <c r="G11" s="49" t="s">
        <v>29</v>
      </c>
      <c r="H11" s="49" t="s">
        <v>30</v>
      </c>
      <c r="I11" s="49" t="s">
        <v>31</v>
      </c>
      <c r="J11" s="49" t="s">
        <v>32</v>
      </c>
      <c r="K11" s="49" t="s">
        <v>506</v>
      </c>
      <c r="AF11" s="410"/>
      <c r="AG11" s="411"/>
    </row>
    <row r="12" spans="1:44" ht="3.75" customHeight="1">
      <c r="A12" s="101"/>
      <c r="B12" s="101"/>
      <c r="C12" s="102"/>
      <c r="D12" s="102"/>
      <c r="E12" s="102"/>
      <c r="F12" s="49"/>
      <c r="G12" s="49"/>
      <c r="H12" s="49"/>
      <c r="I12" s="49"/>
      <c r="J12" s="49"/>
      <c r="K12" s="49"/>
      <c r="AF12" s="410"/>
      <c r="AG12" s="411"/>
    </row>
    <row r="13" spans="1:44" ht="5.25" customHeight="1">
      <c r="A13" s="101"/>
      <c r="B13" s="101"/>
      <c r="C13" s="102"/>
      <c r="D13" s="102"/>
      <c r="E13" s="102"/>
      <c r="F13" s="49"/>
      <c r="G13" s="49"/>
      <c r="H13" s="49"/>
      <c r="I13" s="49"/>
      <c r="J13" s="49"/>
      <c r="K13" s="49"/>
      <c r="AF13" s="410"/>
      <c r="AG13" s="411"/>
    </row>
    <row r="14" spans="1:44">
      <c r="A14" s="196"/>
      <c r="B14" s="1" t="s">
        <v>33</v>
      </c>
      <c r="C14" s="1"/>
      <c r="D14" s="1"/>
      <c r="E14" s="1"/>
      <c r="F14" s="73"/>
      <c r="G14" s="73"/>
      <c r="K14" s="193"/>
      <c r="AF14" s="410"/>
      <c r="AG14" s="411"/>
    </row>
    <row r="15" spans="1:44">
      <c r="A15" s="196">
        <v>1</v>
      </c>
      <c r="B15" s="3"/>
      <c r="C15" s="3" t="s">
        <v>34</v>
      </c>
      <c r="D15" s="3"/>
      <c r="E15" s="3"/>
      <c r="F15" s="74" t="e">
        <f>'not used PROP0SED RATES-2018'!H15</f>
        <v>#REF!</v>
      </c>
      <c r="G15" s="74" t="e">
        <f>H15-F15</f>
        <v>#REF!</v>
      </c>
      <c r="H15" s="74" t="e">
        <f>'Exh. No. BGM 4 4'!#REF!</f>
        <v>#REF!</v>
      </c>
      <c r="I15" s="489">
        <f>'Exh. No. BGM-4 3'!J12</f>
        <v>-530.23099999999999</v>
      </c>
      <c r="J15" s="489" t="e">
        <f>'Exh. No. BGM-4 3'!#REF!</f>
        <v>#REF!</v>
      </c>
      <c r="K15" s="74" t="e">
        <f>H15+I15+J15</f>
        <v>#REF!</v>
      </c>
      <c r="AF15" s="410"/>
      <c r="AG15" s="411"/>
    </row>
    <row r="16" spans="1:44">
      <c r="A16" s="196">
        <v>2</v>
      </c>
      <c r="B16" s="1"/>
      <c r="C16" s="4" t="s">
        <v>35</v>
      </c>
      <c r="D16" s="4"/>
      <c r="E16" s="4"/>
      <c r="F16" s="344" t="e">
        <f>'not used PROP0SED RATES-2018'!H16</f>
        <v>#REF!</v>
      </c>
      <c r="G16" s="344" t="e">
        <f>H16-F16</f>
        <v>#REF!</v>
      </c>
      <c r="H16" s="74" t="e">
        <f>'Exh. No. BGM 4 4'!#REF!</f>
        <v>#REF!</v>
      </c>
      <c r="I16" s="344"/>
      <c r="J16" s="344"/>
      <c r="K16" s="110" t="e">
        <f>H16+I16+J16</f>
        <v>#REF!</v>
      </c>
      <c r="AF16" s="410"/>
      <c r="AG16" s="411"/>
    </row>
    <row r="17" spans="1:33">
      <c r="A17" s="196">
        <v>3</v>
      </c>
      <c r="B17" s="1"/>
      <c r="C17" s="4" t="s">
        <v>36</v>
      </c>
      <c r="D17" s="4"/>
      <c r="E17" s="4"/>
      <c r="F17" s="346" t="e">
        <f>'not used PROP0SED RATES-2018'!H17</f>
        <v>#REF!</v>
      </c>
      <c r="G17" s="346" t="e">
        <f>H17-F17</f>
        <v>#REF!</v>
      </c>
      <c r="H17" s="514" t="e">
        <f>'Exh. No. BGM 4 4'!#REF!</f>
        <v>#REF!</v>
      </c>
      <c r="I17" s="346"/>
      <c r="J17" s="346"/>
      <c r="K17" s="625" t="e">
        <f>H17+I17+J17</f>
        <v>#REF!</v>
      </c>
      <c r="AF17" s="410"/>
      <c r="AG17" s="411"/>
    </row>
    <row r="18" spans="1:33">
      <c r="A18" s="196">
        <v>4</v>
      </c>
      <c r="B18" s="1" t="s">
        <v>37</v>
      </c>
      <c r="C18" s="4"/>
      <c r="D18" s="4"/>
      <c r="E18" s="4"/>
      <c r="F18" s="344" t="e">
        <f>SUM(F15:F17)</f>
        <v>#REF!</v>
      </c>
      <c r="G18" s="344" t="e">
        <f t="shared" ref="G18:K18" si="0">SUM(G15:G17)</f>
        <v>#REF!</v>
      </c>
      <c r="H18" s="344" t="e">
        <f t="shared" si="0"/>
        <v>#REF!</v>
      </c>
      <c r="I18" s="344">
        <f t="shared" si="0"/>
        <v>-530.23099999999999</v>
      </c>
      <c r="J18" s="344" t="e">
        <f t="shared" ref="J18" si="1">SUM(J15:J17)</f>
        <v>#REF!</v>
      </c>
      <c r="K18" s="344" t="e">
        <f t="shared" si="0"/>
        <v>#REF!</v>
      </c>
      <c r="AF18" s="410"/>
      <c r="AG18" s="411"/>
    </row>
    <row r="19" spans="1:33">
      <c r="A19" s="196"/>
      <c r="B19" s="1"/>
      <c r="C19" s="4"/>
      <c r="D19" s="4"/>
      <c r="E19" s="4"/>
      <c r="F19" s="344"/>
      <c r="G19" s="344"/>
      <c r="H19" s="344"/>
      <c r="I19" s="344"/>
      <c r="J19" s="344"/>
      <c r="K19" s="344"/>
      <c r="AF19" s="410"/>
      <c r="AG19" s="411"/>
    </row>
    <row r="20" spans="1:33">
      <c r="A20" s="196"/>
      <c r="B20" s="1" t="s">
        <v>38</v>
      </c>
      <c r="C20" s="4"/>
      <c r="D20" s="4"/>
      <c r="E20" s="4"/>
      <c r="F20" s="344"/>
      <c r="G20" s="344"/>
      <c r="H20" s="344"/>
      <c r="I20" s="344"/>
      <c r="J20" s="344"/>
      <c r="K20" s="344"/>
      <c r="AF20" s="410"/>
      <c r="AG20" s="411"/>
    </row>
    <row r="21" spans="1:33">
      <c r="A21" s="196"/>
      <c r="B21" s="1"/>
      <c r="C21" s="4" t="s">
        <v>259</v>
      </c>
      <c r="D21" s="4"/>
      <c r="E21" s="4"/>
      <c r="F21" s="344"/>
      <c r="G21" s="344"/>
      <c r="H21" s="344"/>
      <c r="I21" s="344"/>
      <c r="J21" s="344"/>
      <c r="K21" s="344"/>
      <c r="AF21" s="410"/>
      <c r="AG21" s="411"/>
    </row>
    <row r="22" spans="1:33">
      <c r="A22" s="196">
        <v>5</v>
      </c>
      <c r="B22" s="1"/>
      <c r="C22" s="4"/>
      <c r="D22" s="4" t="s">
        <v>39</v>
      </c>
      <c r="E22" s="4"/>
      <c r="F22" s="344" t="e">
        <f>'not used PROP0SED RATES-2018'!H22</f>
        <v>#REF!</v>
      </c>
      <c r="G22" s="344" t="e">
        <f>H22-F22</f>
        <v>#REF!</v>
      </c>
      <c r="H22" s="345" t="e">
        <f>'Exh. No. BGM 4 4'!#REF!</f>
        <v>#REF!</v>
      </c>
      <c r="I22" s="344"/>
      <c r="J22" s="344"/>
      <c r="K22" s="110" t="e">
        <f t="shared" ref="K22:K24" si="2">H22+I22+J22</f>
        <v>#REF!</v>
      </c>
      <c r="AF22" s="410"/>
      <c r="AG22" s="411"/>
    </row>
    <row r="23" spans="1:33">
      <c r="A23" s="196">
        <v>6</v>
      </c>
      <c r="B23" s="1"/>
      <c r="C23" s="4"/>
      <c r="D23" s="4" t="s">
        <v>40</v>
      </c>
      <c r="E23" s="4"/>
      <c r="F23" s="344" t="e">
        <f>'not used PROP0SED RATES-2018'!H23</f>
        <v>#REF!</v>
      </c>
      <c r="G23" s="344" t="e">
        <f>H23-F23</f>
        <v>#REF!</v>
      </c>
      <c r="H23" s="345" t="e">
        <f>'Exh. No. BGM 4 4'!#REF!</f>
        <v>#REF!</v>
      </c>
      <c r="I23" s="344"/>
      <c r="J23" s="344"/>
      <c r="K23" s="110" t="e">
        <f t="shared" si="2"/>
        <v>#REF!</v>
      </c>
      <c r="AF23" s="410"/>
      <c r="AG23" s="411"/>
    </row>
    <row r="24" spans="1:33">
      <c r="A24" s="196">
        <v>7</v>
      </c>
      <c r="B24" s="1"/>
      <c r="C24" s="4"/>
      <c r="D24" s="4" t="s">
        <v>41</v>
      </c>
      <c r="E24" s="4"/>
      <c r="F24" s="346" t="e">
        <f>'not used PROP0SED RATES-2018'!H24</f>
        <v>#REF!</v>
      </c>
      <c r="G24" s="346" t="e">
        <f>H24-F24</f>
        <v>#REF!</v>
      </c>
      <c r="H24" s="347" t="e">
        <f>'Exh. No. BGM 4 4'!#REF!</f>
        <v>#REF!</v>
      </c>
      <c r="I24" s="346"/>
      <c r="J24" s="346"/>
      <c r="K24" s="625" t="e">
        <f t="shared" si="2"/>
        <v>#REF!</v>
      </c>
      <c r="AF24" s="410"/>
      <c r="AG24" s="411"/>
    </row>
    <row r="25" spans="1:33">
      <c r="A25" s="196">
        <v>8</v>
      </c>
      <c r="B25" s="1"/>
      <c r="C25" s="4"/>
      <c r="D25" s="4"/>
      <c r="E25" s="4" t="s">
        <v>42</v>
      </c>
      <c r="F25" s="344" t="e">
        <f>'not used PROP0SED RATES-2018'!H25</f>
        <v>#REF!</v>
      </c>
      <c r="G25" s="344" t="e">
        <f t="shared" ref="G25:K25" si="3">SUM(G22:G24)</f>
        <v>#REF!</v>
      </c>
      <c r="H25" s="344" t="e">
        <f t="shared" si="3"/>
        <v>#REF!</v>
      </c>
      <c r="I25" s="344">
        <f t="shared" si="3"/>
        <v>0</v>
      </c>
      <c r="J25" s="344">
        <f t="shared" ref="J25" si="4">SUM(J22:J24)</f>
        <v>0</v>
      </c>
      <c r="K25" s="344" t="e">
        <f t="shared" si="3"/>
        <v>#REF!</v>
      </c>
      <c r="AF25" s="410"/>
      <c r="AG25" s="411"/>
    </row>
    <row r="26" spans="1:33">
      <c r="A26" s="196"/>
      <c r="B26" s="1"/>
      <c r="C26" s="4"/>
      <c r="D26" s="4"/>
      <c r="E26" s="4"/>
      <c r="F26" s="344"/>
      <c r="G26" s="344"/>
      <c r="H26" s="345"/>
      <c r="I26" s="344"/>
      <c r="J26" s="344"/>
      <c r="K26" s="344"/>
      <c r="AF26" s="410"/>
      <c r="AG26" s="411"/>
    </row>
    <row r="27" spans="1:33">
      <c r="A27" s="196"/>
      <c r="B27" s="1"/>
      <c r="C27" s="4" t="s">
        <v>43</v>
      </c>
      <c r="D27" s="4"/>
      <c r="E27" s="4"/>
      <c r="F27" s="344"/>
      <c r="G27" s="344"/>
      <c r="H27" s="344"/>
      <c r="I27" s="344"/>
      <c r="J27" s="344"/>
      <c r="K27" s="344"/>
      <c r="AF27" s="410"/>
      <c r="AG27" s="411"/>
    </row>
    <row r="28" spans="1:33">
      <c r="A28" s="196">
        <v>9</v>
      </c>
      <c r="B28" s="1"/>
      <c r="C28" s="4"/>
      <c r="D28" s="4" t="s">
        <v>44</v>
      </c>
      <c r="E28" s="4"/>
      <c r="F28" s="344" t="e">
        <f>'not used PROP0SED RATES-2018'!H28</f>
        <v>#REF!</v>
      </c>
      <c r="G28" s="344" t="e">
        <f>H28-F28</f>
        <v>#REF!</v>
      </c>
      <c r="H28" s="345" t="e">
        <f>'Exh. No. BGM 4 4'!#REF!</f>
        <v>#REF!</v>
      </c>
      <c r="I28" s="344"/>
      <c r="J28" s="344"/>
      <c r="K28" s="110" t="e">
        <f t="shared" ref="K28:K30" si="5">H28+I28+J28</f>
        <v>#REF!</v>
      </c>
      <c r="AF28" s="410"/>
      <c r="AG28" s="411"/>
    </row>
    <row r="29" spans="1:33">
      <c r="A29" s="196">
        <v>10</v>
      </c>
      <c r="B29" s="1"/>
      <c r="C29" s="4"/>
      <c r="D29" s="4" t="s">
        <v>45</v>
      </c>
      <c r="E29" s="4"/>
      <c r="F29" s="344" t="e">
        <f>'not used PROP0SED RATES-2018'!H29</f>
        <v>#REF!</v>
      </c>
      <c r="G29" s="344" t="e">
        <f>H29-F29</f>
        <v>#REF!</v>
      </c>
      <c r="H29" s="345" t="e">
        <f>'Exh. No. BGM 4 4'!#REF!</f>
        <v>#REF!</v>
      </c>
      <c r="I29" s="344"/>
      <c r="J29" s="344"/>
      <c r="K29" s="110" t="e">
        <f t="shared" si="5"/>
        <v>#REF!</v>
      </c>
      <c r="AF29" s="410"/>
      <c r="AG29" s="411"/>
    </row>
    <row r="30" spans="1:33">
      <c r="A30" s="383">
        <v>11</v>
      </c>
      <c r="B30" s="1"/>
      <c r="C30" s="4"/>
      <c r="D30" s="4" t="s">
        <v>21</v>
      </c>
      <c r="E30" s="4"/>
      <c r="F30" s="344" t="e">
        <f>'not used PROP0SED RATES-2018'!H30</f>
        <v>#REF!</v>
      </c>
      <c r="G30" s="346" t="e">
        <f>H30-F30</f>
        <v>#REF!</v>
      </c>
      <c r="H30" s="347" t="e">
        <f>'Exh. No. BGM 4 4'!#REF!</f>
        <v>#REF!</v>
      </c>
      <c r="I30" s="346"/>
      <c r="J30" s="346"/>
      <c r="K30" s="625" t="e">
        <f t="shared" si="5"/>
        <v>#REF!</v>
      </c>
      <c r="AF30" s="410"/>
      <c r="AG30" s="411"/>
    </row>
    <row r="31" spans="1:33">
      <c r="A31" s="196">
        <v>12</v>
      </c>
      <c r="B31" s="1"/>
      <c r="C31" s="4"/>
      <c r="D31" s="4"/>
      <c r="E31" s="4" t="s">
        <v>46</v>
      </c>
      <c r="F31" s="344" t="e">
        <f t="shared" ref="F31:K31" si="6">SUM(F28:F30)</f>
        <v>#REF!</v>
      </c>
      <c r="G31" s="344" t="e">
        <f t="shared" si="6"/>
        <v>#REF!</v>
      </c>
      <c r="H31" s="344" t="e">
        <f t="shared" si="6"/>
        <v>#REF!</v>
      </c>
      <c r="I31" s="344">
        <f t="shared" si="6"/>
        <v>0</v>
      </c>
      <c r="J31" s="344">
        <f t="shared" si="6"/>
        <v>0</v>
      </c>
      <c r="K31" s="344" t="e">
        <f t="shared" si="6"/>
        <v>#REF!</v>
      </c>
      <c r="AF31" s="410"/>
      <c r="AG31" s="411"/>
    </row>
    <row r="32" spans="1:33">
      <c r="A32" s="196"/>
      <c r="B32" s="1"/>
      <c r="C32" s="4"/>
      <c r="D32" s="4"/>
      <c r="E32" s="4"/>
      <c r="F32" s="344"/>
      <c r="G32" s="344"/>
      <c r="H32" s="345"/>
      <c r="I32" s="344"/>
      <c r="J32" s="344"/>
      <c r="K32" s="344"/>
      <c r="AF32" s="410"/>
      <c r="AG32" s="411"/>
    </row>
    <row r="33" spans="1:33">
      <c r="A33" s="196"/>
      <c r="B33" s="1"/>
      <c r="C33" s="4" t="s">
        <v>47</v>
      </c>
      <c r="D33" s="4"/>
      <c r="E33" s="4"/>
      <c r="F33" s="344"/>
      <c r="G33" s="344"/>
      <c r="H33" s="344"/>
      <c r="I33" s="344"/>
      <c r="J33" s="344"/>
      <c r="K33" s="344"/>
      <c r="AF33" s="410"/>
      <c r="AG33" s="411"/>
    </row>
    <row r="34" spans="1:33">
      <c r="A34" s="196">
        <v>13</v>
      </c>
      <c r="B34" s="1"/>
      <c r="C34" s="4"/>
      <c r="D34" s="4" t="s">
        <v>44</v>
      </c>
      <c r="E34" s="4"/>
      <c r="F34" s="344" t="e">
        <f>'not used PROP0SED RATES-2018'!H34</f>
        <v>#REF!</v>
      </c>
      <c r="G34" s="344" t="e">
        <f>H34-F34</f>
        <v>#REF!</v>
      </c>
      <c r="H34" s="345" t="e">
        <f>'Exh. No. BGM 4 4'!#REF!</f>
        <v>#REF!</v>
      </c>
      <c r="I34" s="344"/>
      <c r="J34" s="344"/>
      <c r="K34" s="110" t="e">
        <f t="shared" ref="K34:K36" si="7">H34+I34+J34</f>
        <v>#REF!</v>
      </c>
      <c r="AF34" s="410"/>
      <c r="AG34" s="411"/>
    </row>
    <row r="35" spans="1:33">
      <c r="A35" s="196">
        <v>14</v>
      </c>
      <c r="B35" s="1"/>
      <c r="C35" s="4"/>
      <c r="D35" s="4" t="s">
        <v>45</v>
      </c>
      <c r="E35" s="4"/>
      <c r="F35" s="344" t="e">
        <f>'not used PROP0SED RATES-2018'!H35</f>
        <v>#REF!</v>
      </c>
      <c r="G35" s="344" t="e">
        <f>H35-F35</f>
        <v>#REF!</v>
      </c>
      <c r="H35" s="345" t="e">
        <f>'Exh. No. BGM 4 4'!#REF!</f>
        <v>#REF!</v>
      </c>
      <c r="I35" s="344"/>
      <c r="J35" s="344"/>
      <c r="K35" s="110" t="e">
        <f t="shared" si="7"/>
        <v>#REF!</v>
      </c>
      <c r="AF35" s="410"/>
      <c r="AG35" s="411"/>
    </row>
    <row r="36" spans="1:33">
      <c r="A36" s="196">
        <v>15</v>
      </c>
      <c r="B36" s="1"/>
      <c r="C36" s="4"/>
      <c r="D36" s="4" t="s">
        <v>21</v>
      </c>
      <c r="E36" s="4"/>
      <c r="F36" s="344" t="e">
        <f>'not used PROP0SED RATES-2018'!H36</f>
        <v>#REF!</v>
      </c>
      <c r="G36" s="346" t="e">
        <f>H36-F36</f>
        <v>#REF!</v>
      </c>
      <c r="H36" s="347" t="e">
        <f>'Exh. No. BGM 4 4'!#REF!</f>
        <v>#REF!</v>
      </c>
      <c r="I36" s="346">
        <f>'Exh. No. BGM-4 3'!J19</f>
        <v>-20</v>
      </c>
      <c r="J36" s="346" t="e">
        <f>'Exh. No. BGM-4 3'!#REF!</f>
        <v>#REF!</v>
      </c>
      <c r="K36" s="625" t="e">
        <f t="shared" si="7"/>
        <v>#REF!</v>
      </c>
      <c r="AF36" s="410"/>
      <c r="AG36" s="411"/>
    </row>
    <row r="37" spans="1:33">
      <c r="A37" s="196">
        <v>16</v>
      </c>
      <c r="B37" s="1"/>
      <c r="C37" s="4"/>
      <c r="D37" s="4"/>
      <c r="E37" s="4" t="s">
        <v>48</v>
      </c>
      <c r="F37" s="344" t="e">
        <f>SUM(F34:F36)</f>
        <v>#REF!</v>
      </c>
      <c r="G37" s="344" t="e">
        <f t="shared" ref="G37:K37" si="8">SUM(G34:G36)</f>
        <v>#REF!</v>
      </c>
      <c r="H37" s="344" t="e">
        <f t="shared" si="8"/>
        <v>#REF!</v>
      </c>
      <c r="I37" s="344">
        <f t="shared" si="8"/>
        <v>-20</v>
      </c>
      <c r="J37" s="344" t="e">
        <f t="shared" ref="J37" si="9">SUM(J34:J36)</f>
        <v>#REF!</v>
      </c>
      <c r="K37" s="344" t="e">
        <f t="shared" si="8"/>
        <v>#REF!</v>
      </c>
      <c r="AF37" s="410"/>
      <c r="AG37" s="411"/>
    </row>
    <row r="38" spans="1:33">
      <c r="A38" s="196"/>
      <c r="B38" s="1"/>
      <c r="C38" s="4"/>
      <c r="D38" s="4"/>
      <c r="E38" s="4"/>
      <c r="F38" s="344"/>
      <c r="G38" s="344"/>
      <c r="H38" s="344"/>
      <c r="I38" s="344"/>
      <c r="J38" s="344"/>
      <c r="K38" s="344"/>
      <c r="AF38" s="410"/>
      <c r="AG38" s="411"/>
    </row>
    <row r="39" spans="1:33">
      <c r="A39" s="196">
        <v>17</v>
      </c>
      <c r="B39" s="1" t="s">
        <v>49</v>
      </c>
      <c r="C39" s="4"/>
      <c r="D39" s="4"/>
      <c r="E39" s="4"/>
      <c r="F39" s="344" t="e">
        <f>'not used PROP0SED RATES-2018'!H39</f>
        <v>#REF!</v>
      </c>
      <c r="G39" s="344" t="e">
        <f>H39-F39</f>
        <v>#REF!</v>
      </c>
      <c r="H39" s="345" t="e">
        <f>'Exh. No. BGM 4 4'!#REF!</f>
        <v>#REF!</v>
      </c>
      <c r="I39" s="344">
        <f>'Exh. No. BGM-4 3'!J15</f>
        <v>-3</v>
      </c>
      <c r="J39" s="344" t="e">
        <f>'Exh. No. BGM-4 3'!#REF!</f>
        <v>#REF!</v>
      </c>
      <c r="K39" s="110" t="e">
        <f t="shared" ref="K39:K41" si="10">H39+I39+J39</f>
        <v>#REF!</v>
      </c>
      <c r="AF39" s="410"/>
      <c r="AG39" s="411"/>
    </row>
    <row r="40" spans="1:33">
      <c r="A40" s="196">
        <v>18</v>
      </c>
      <c r="B40" s="1" t="s">
        <v>50</v>
      </c>
      <c r="C40" s="4"/>
      <c r="D40" s="4"/>
      <c r="E40" s="4"/>
      <c r="F40" s="344" t="e">
        <f>'not used PROP0SED RATES-2018'!H40</f>
        <v>#REF!</v>
      </c>
      <c r="G40" s="344" t="e">
        <f>H40-F40</f>
        <v>#REF!</v>
      </c>
      <c r="H40" s="345" t="e">
        <f>'Exh. No. BGM 4 4'!#REF!</f>
        <v>#REF!</v>
      </c>
      <c r="I40" s="344"/>
      <c r="J40" s="344"/>
      <c r="K40" s="110" t="e">
        <f t="shared" si="10"/>
        <v>#REF!</v>
      </c>
      <c r="AF40" s="410"/>
      <c r="AG40" s="411"/>
    </row>
    <row r="41" spans="1:33">
      <c r="A41" s="196">
        <v>19</v>
      </c>
      <c r="B41" s="1" t="s">
        <v>51</v>
      </c>
      <c r="C41" s="4"/>
      <c r="D41" s="4"/>
      <c r="E41" s="4"/>
      <c r="F41" s="344">
        <f>'Exh. No. BGM 4 4'!E41</f>
        <v>0</v>
      </c>
      <c r="G41" s="344" t="e">
        <f>H41-F41</f>
        <v>#REF!</v>
      </c>
      <c r="H41" s="349" t="e">
        <f>'Exh. No. BGM 4 4'!#REF!</f>
        <v>#REF!</v>
      </c>
      <c r="I41" s="344"/>
      <c r="J41" s="344"/>
      <c r="K41" s="110" t="e">
        <f t="shared" si="10"/>
        <v>#REF!</v>
      </c>
      <c r="AF41" s="410"/>
      <c r="AG41" s="411"/>
    </row>
    <row r="42" spans="1:33">
      <c r="A42" s="196"/>
      <c r="B42" s="1"/>
      <c r="C42" s="4"/>
      <c r="D42" s="4"/>
      <c r="E42" s="4"/>
      <c r="F42" s="344"/>
      <c r="G42" s="344"/>
      <c r="H42" s="349"/>
      <c r="I42" s="344"/>
      <c r="J42" s="344"/>
      <c r="K42" s="344"/>
      <c r="AF42" s="410"/>
      <c r="AG42" s="411"/>
    </row>
    <row r="43" spans="1:33">
      <c r="A43" s="196"/>
      <c r="B43" s="1" t="s">
        <v>52</v>
      </c>
      <c r="C43" s="4"/>
      <c r="D43" s="4"/>
      <c r="E43" s="4"/>
      <c r="F43" s="344"/>
      <c r="G43" s="344"/>
      <c r="H43" s="344"/>
      <c r="I43" s="344"/>
      <c r="J43" s="344"/>
      <c r="K43" s="344"/>
      <c r="AF43" s="410"/>
      <c r="AG43" s="411"/>
    </row>
    <row r="44" spans="1:33">
      <c r="A44" s="196">
        <v>20</v>
      </c>
      <c r="B44" s="1"/>
      <c r="C44" s="4" t="s">
        <v>44</v>
      </c>
      <c r="D44" s="4"/>
      <c r="E44" s="4"/>
      <c r="F44" s="344" t="e">
        <f>'not used PROP0SED RATES-2018'!H44</f>
        <v>#REF!</v>
      </c>
      <c r="G44" s="344" t="e">
        <f>H44-F44</f>
        <v>#REF!</v>
      </c>
      <c r="H44" s="345" t="e">
        <f>'Exh. No. BGM 4 4'!#REF!</f>
        <v>#REF!</v>
      </c>
      <c r="I44" s="344">
        <f>'Exh. No. BGM-4 3'!J17</f>
        <v>-1</v>
      </c>
      <c r="J44" s="344" t="e">
        <f>'Exh. No. BGM-4 3'!#REF!</f>
        <v>#REF!</v>
      </c>
      <c r="K44" s="110" t="e">
        <f t="shared" ref="K44:K47" si="11">H44+I44+J44</f>
        <v>#REF!</v>
      </c>
      <c r="AF44" s="410"/>
      <c r="AG44" s="411"/>
    </row>
    <row r="45" spans="1:33">
      <c r="A45" s="196">
        <v>21</v>
      </c>
      <c r="B45" s="1"/>
      <c r="C45" s="4" t="s">
        <v>219</v>
      </c>
      <c r="D45" s="4"/>
      <c r="E45" s="4"/>
      <c r="F45" s="344" t="e">
        <f>'not used PROP0SED RATES-2018'!H45</f>
        <v>#REF!</v>
      </c>
      <c r="G45" s="344" t="e">
        <f>H45-F45</f>
        <v>#REF!</v>
      </c>
      <c r="H45" s="345" t="e">
        <f>'Exh. No. BGM 4 4'!#REF!</f>
        <v>#REF!</v>
      </c>
      <c r="I45" s="344"/>
      <c r="J45" s="344"/>
      <c r="K45" s="110" t="e">
        <f t="shared" si="11"/>
        <v>#REF!</v>
      </c>
      <c r="AF45" s="410"/>
      <c r="AG45" s="411"/>
    </row>
    <row r="46" spans="1:33">
      <c r="A46" s="196">
        <v>22</v>
      </c>
      <c r="B46" s="1"/>
      <c r="C46" s="9" t="s">
        <v>433</v>
      </c>
      <c r="D46" s="4"/>
      <c r="E46" s="4"/>
      <c r="F46" s="344" t="e">
        <f>'not used PROP0SED RATES-2018'!H46</f>
        <v>#REF!</v>
      </c>
      <c r="G46" s="344" t="e">
        <f>H46-F46</f>
        <v>#REF!</v>
      </c>
      <c r="H46" s="345" t="e">
        <f>'Exh. No. BGM 4 4'!#REF!</f>
        <v>#REF!</v>
      </c>
      <c r="I46" s="344"/>
      <c r="J46" s="344"/>
      <c r="K46" s="110" t="e">
        <f t="shared" si="11"/>
        <v>#REF!</v>
      </c>
      <c r="AF46" s="410"/>
      <c r="AG46" s="411"/>
    </row>
    <row r="47" spans="1:33">
      <c r="A47" s="196">
        <v>23</v>
      </c>
      <c r="B47" s="1"/>
      <c r="C47" s="4" t="s">
        <v>21</v>
      </c>
      <c r="D47" s="4"/>
      <c r="E47" s="4"/>
      <c r="F47" s="344" t="e">
        <f>'not used PROP0SED RATES-2018'!H47</f>
        <v>#REF!</v>
      </c>
      <c r="G47" s="346" t="e">
        <f>H47-F47</f>
        <v>#REF!</v>
      </c>
      <c r="H47" s="347" t="e">
        <f>'Exh. No. BGM 4 4'!#REF!</f>
        <v>#REF!</v>
      </c>
      <c r="I47" s="346"/>
      <c r="J47" s="346"/>
      <c r="K47" s="110" t="e">
        <f t="shared" si="11"/>
        <v>#REF!</v>
      </c>
      <c r="AF47" s="410"/>
      <c r="AG47" s="411"/>
    </row>
    <row r="48" spans="1:33">
      <c r="A48" s="196">
        <v>24</v>
      </c>
      <c r="B48" s="1"/>
      <c r="C48" s="4"/>
      <c r="D48" s="4" t="s">
        <v>53</v>
      </c>
      <c r="E48" s="553"/>
      <c r="F48" s="350" t="e">
        <f>SUM(F44:F47)</f>
        <v>#REF!</v>
      </c>
      <c r="G48" s="350" t="e">
        <f t="shared" ref="G48:K48" si="12">SUM(G44:G47)</f>
        <v>#REF!</v>
      </c>
      <c r="H48" s="350" t="e">
        <f t="shared" si="12"/>
        <v>#REF!</v>
      </c>
      <c r="I48" s="350">
        <f t="shared" si="12"/>
        <v>-1</v>
      </c>
      <c r="J48" s="350" t="e">
        <f t="shared" ref="J48" si="13">SUM(J44:J47)</f>
        <v>#REF!</v>
      </c>
      <c r="K48" s="350" t="e">
        <f t="shared" si="12"/>
        <v>#REF!</v>
      </c>
      <c r="AF48" s="410"/>
      <c r="AG48" s="411"/>
    </row>
    <row r="49" spans="1:33">
      <c r="A49" s="196">
        <v>25</v>
      </c>
      <c r="B49" s="1" t="s">
        <v>54</v>
      </c>
      <c r="C49" s="4"/>
      <c r="D49" s="4"/>
      <c r="E49" s="4"/>
      <c r="F49" s="346" t="e">
        <f t="shared" ref="F49:K49" si="14">F48+F37+F31+F25+F39+F40+F41</f>
        <v>#REF!</v>
      </c>
      <c r="G49" s="346" t="e">
        <f t="shared" si="14"/>
        <v>#REF!</v>
      </c>
      <c r="H49" s="346" t="e">
        <f t="shared" si="14"/>
        <v>#REF!</v>
      </c>
      <c r="I49" s="346">
        <f t="shared" si="14"/>
        <v>-24</v>
      </c>
      <c r="J49" s="346" t="e">
        <f t="shared" si="14"/>
        <v>#REF!</v>
      </c>
      <c r="K49" s="346" t="e">
        <f t="shared" si="14"/>
        <v>#REF!</v>
      </c>
      <c r="AF49" s="410"/>
      <c r="AG49" s="411"/>
    </row>
    <row r="50" spans="1:33">
      <c r="A50" s="196"/>
      <c r="B50" s="1"/>
      <c r="C50" s="4"/>
      <c r="D50" s="4"/>
      <c r="E50" s="4"/>
      <c r="F50" s="344"/>
      <c r="G50" s="344"/>
      <c r="H50" s="344"/>
      <c r="I50" s="344"/>
      <c r="J50" s="344"/>
      <c r="K50" s="344"/>
      <c r="AF50" s="410"/>
      <c r="AG50" s="411"/>
    </row>
    <row r="51" spans="1:33">
      <c r="A51" s="196">
        <v>26</v>
      </c>
      <c r="B51" s="1" t="s">
        <v>55</v>
      </c>
      <c r="C51" s="4"/>
      <c r="D51" s="4"/>
      <c r="E51" s="4"/>
      <c r="F51" s="344" t="e">
        <f t="shared" ref="F51:K51" si="15">F18-F49</f>
        <v>#REF!</v>
      </c>
      <c r="G51" s="344" t="e">
        <f t="shared" si="15"/>
        <v>#REF!</v>
      </c>
      <c r="H51" s="344" t="e">
        <f t="shared" si="15"/>
        <v>#REF!</v>
      </c>
      <c r="I51" s="344">
        <f t="shared" si="15"/>
        <v>-506.23099999999999</v>
      </c>
      <c r="J51" s="344" t="e">
        <f t="shared" si="15"/>
        <v>#REF!</v>
      </c>
      <c r="K51" s="344" t="e">
        <f t="shared" si="15"/>
        <v>#REF!</v>
      </c>
      <c r="AF51" s="410"/>
      <c r="AG51" s="411"/>
    </row>
    <row r="52" spans="1:33">
      <c r="A52" s="196"/>
      <c r="B52" s="1"/>
      <c r="C52" s="4"/>
      <c r="D52" s="4"/>
      <c r="E52" s="4"/>
      <c r="F52" s="344"/>
      <c r="G52" s="344"/>
      <c r="H52" s="344"/>
      <c r="I52" s="344"/>
      <c r="J52" s="344"/>
      <c r="K52" s="344"/>
      <c r="AF52" s="410"/>
      <c r="AG52" s="411"/>
    </row>
    <row r="53" spans="1:33">
      <c r="A53" s="196"/>
      <c r="B53" s="1" t="s">
        <v>56</v>
      </c>
      <c r="C53" s="4"/>
      <c r="D53" s="4"/>
      <c r="E53" s="4"/>
      <c r="F53" s="344"/>
      <c r="G53" s="344"/>
      <c r="H53" s="344"/>
      <c r="I53" s="344"/>
      <c r="J53" s="344"/>
      <c r="K53" s="344"/>
      <c r="O53" s="486"/>
      <c r="AF53" s="410"/>
      <c r="AG53" s="411"/>
    </row>
    <row r="54" spans="1:33">
      <c r="A54" s="196">
        <v>27</v>
      </c>
      <c r="B54" s="1"/>
      <c r="C54" s="4" t="s">
        <v>57</v>
      </c>
      <c r="D54" s="4"/>
      <c r="E54" s="4"/>
      <c r="F54" s="344" t="e">
        <f>'not used PROP0SED RATES-2018'!H54</f>
        <v>#REF!</v>
      </c>
      <c r="G54" s="344" t="e">
        <f>H54-F54</f>
        <v>#REF!</v>
      </c>
      <c r="H54" s="345" t="e">
        <f>'Exh. No. BGM 4 4'!#REF!</f>
        <v>#REF!</v>
      </c>
      <c r="I54" s="344">
        <f>'Exh. No. BGM-4 3'!J25</f>
        <v>-177</v>
      </c>
      <c r="J54" s="344" t="e">
        <f>'Exh. No. BGM-4 3'!#REF!</f>
        <v>#REF!</v>
      </c>
      <c r="K54" s="110" t="e">
        <f t="shared" ref="K54:K57" si="16">H54+I54+J54</f>
        <v>#REF!</v>
      </c>
      <c r="O54" s="120"/>
      <c r="R54" s="120"/>
      <c r="AF54" s="410"/>
      <c r="AG54" s="411"/>
    </row>
    <row r="55" spans="1:33">
      <c r="A55" s="196">
        <v>28</v>
      </c>
      <c r="B55" s="1"/>
      <c r="C55" s="241" t="s">
        <v>200</v>
      </c>
      <c r="D55" s="4"/>
      <c r="E55" s="4"/>
      <c r="F55" s="344" t="e">
        <f>'not used PROP0SED RATES-2018'!H55</f>
        <v>#REF!</v>
      </c>
      <c r="G55" s="344" t="e">
        <f>H55-F55</f>
        <v>#REF!</v>
      </c>
      <c r="H55" s="345" t="e">
        <f>'Exh. No. BGM 4 4'!#REF!</f>
        <v>#REF!</v>
      </c>
      <c r="I55" s="344">
        <f>'Exh. No. BGM-4 3'!J26</f>
        <v>0</v>
      </c>
      <c r="J55" s="344" t="e">
        <f>'Exh. No. BGM-4 3'!#REF!</f>
        <v>#REF!</v>
      </c>
      <c r="K55" s="110" t="e">
        <f t="shared" si="16"/>
        <v>#REF!</v>
      </c>
      <c r="O55" s="486"/>
      <c r="AF55" s="410"/>
      <c r="AG55" s="411"/>
    </row>
    <row r="56" spans="1:33">
      <c r="A56" s="196">
        <v>29</v>
      </c>
      <c r="B56" s="1"/>
      <c r="C56" s="4" t="s">
        <v>58</v>
      </c>
      <c r="D56" s="4"/>
      <c r="E56" s="4"/>
      <c r="F56" s="344" t="e">
        <f>'not used PROP0SED RATES-2018'!H56</f>
        <v>#REF!</v>
      </c>
      <c r="G56" s="344" t="e">
        <f>H56-F56</f>
        <v>#REF!</v>
      </c>
      <c r="H56" s="345" t="e">
        <f>'Exh. No. BGM 4 4'!#REF!</f>
        <v>#REF!</v>
      </c>
      <c r="I56" s="344"/>
      <c r="J56" s="344"/>
      <c r="K56" s="110" t="e">
        <f t="shared" si="16"/>
        <v>#REF!</v>
      </c>
      <c r="AF56" s="410"/>
      <c r="AG56" s="411"/>
    </row>
    <row r="57" spans="1:33">
      <c r="A57" s="196">
        <v>30</v>
      </c>
      <c r="B57" s="1"/>
      <c r="C57" s="4" t="s">
        <v>59</v>
      </c>
      <c r="D57" s="4"/>
      <c r="E57" s="4"/>
      <c r="F57" s="346" t="e">
        <f>'not used PROP0SED RATES-2018'!H57</f>
        <v>#REF!</v>
      </c>
      <c r="G57" s="346" t="e">
        <f>H57-F57</f>
        <v>#REF!</v>
      </c>
      <c r="H57" s="347" t="e">
        <f>'Exh. No. BGM 4 4'!#REF!</f>
        <v>#REF!</v>
      </c>
      <c r="I57" s="346"/>
      <c r="J57" s="346"/>
      <c r="K57" s="625" t="e">
        <f t="shared" si="16"/>
        <v>#REF!</v>
      </c>
      <c r="O57" s="556"/>
      <c r="AF57" s="410"/>
      <c r="AG57" s="411"/>
    </row>
    <row r="58" spans="1:33">
      <c r="A58" s="196"/>
      <c r="B58" s="1"/>
      <c r="C58" s="1"/>
      <c r="D58" s="1"/>
      <c r="E58" s="1"/>
      <c r="F58" s="344"/>
      <c r="G58" s="344"/>
      <c r="H58" s="344"/>
      <c r="I58" s="351"/>
      <c r="J58" s="351"/>
      <c r="K58" s="344"/>
      <c r="AF58" s="410"/>
      <c r="AG58" s="411"/>
    </row>
    <row r="59" spans="1:33" ht="13.5" thickBot="1">
      <c r="A59" s="196">
        <v>31</v>
      </c>
      <c r="B59" s="3" t="s">
        <v>60</v>
      </c>
      <c r="C59" s="3"/>
      <c r="D59" s="3"/>
      <c r="E59" s="3"/>
      <c r="F59" s="352" t="e">
        <f t="shared" ref="F59:K59" si="17">F51-SUM(F54:F57)</f>
        <v>#REF!</v>
      </c>
      <c r="G59" s="352" t="e">
        <f t="shared" si="17"/>
        <v>#REF!</v>
      </c>
      <c r="H59" s="352" t="e">
        <f t="shared" si="17"/>
        <v>#REF!</v>
      </c>
      <c r="I59" s="352">
        <f t="shared" si="17"/>
        <v>-329.23099999999999</v>
      </c>
      <c r="J59" s="352" t="e">
        <f t="shared" si="17"/>
        <v>#REF!</v>
      </c>
      <c r="K59" s="352" t="e">
        <f t="shared" si="17"/>
        <v>#REF!</v>
      </c>
      <c r="O59" s="163"/>
      <c r="AF59" s="410"/>
      <c r="AG59" s="411"/>
    </row>
    <row r="60" spans="1:33" ht="12.75" customHeight="1" thickTop="1">
      <c r="A60" s="196"/>
      <c r="B60" s="1"/>
      <c r="C60" s="1"/>
      <c r="D60" s="1"/>
      <c r="E60" s="1"/>
      <c r="F60" s="344"/>
      <c r="G60" s="344"/>
      <c r="H60" s="344"/>
      <c r="I60" s="344"/>
      <c r="J60" s="344"/>
      <c r="K60" s="344"/>
      <c r="AF60" s="410"/>
      <c r="AG60" s="411"/>
    </row>
    <row r="61" spans="1:33" hidden="1">
      <c r="A61" s="196"/>
      <c r="B61" s="1"/>
      <c r="C61" s="1"/>
      <c r="D61" s="1"/>
      <c r="E61" s="1"/>
      <c r="F61" s="344"/>
      <c r="G61" s="344"/>
      <c r="H61" s="344"/>
      <c r="I61" s="344"/>
      <c r="J61" s="344"/>
      <c r="K61" s="344"/>
      <c r="AF61" s="410"/>
      <c r="AG61" s="411"/>
    </row>
    <row r="62" spans="1:33">
      <c r="A62" s="196"/>
      <c r="B62" s="1" t="s">
        <v>61</v>
      </c>
      <c r="C62" s="1"/>
      <c r="D62" s="1"/>
      <c r="E62" s="1"/>
      <c r="F62" s="344"/>
      <c r="G62" s="344"/>
      <c r="H62" s="344"/>
      <c r="I62" s="344"/>
      <c r="J62" s="344"/>
      <c r="K62" s="344"/>
      <c r="AF62" s="410"/>
      <c r="AG62" s="411"/>
    </row>
    <row r="63" spans="1:33">
      <c r="A63" s="196">
        <v>32</v>
      </c>
      <c r="B63" s="4"/>
      <c r="C63" s="4" t="s">
        <v>43</v>
      </c>
      <c r="D63" s="4"/>
      <c r="E63" s="4"/>
      <c r="F63" s="626" t="e">
        <f>'not used PROP0SED RATES-2018'!H63</f>
        <v>#REF!</v>
      </c>
      <c r="G63" s="344" t="e">
        <f>H63-F63</f>
        <v>#REF!</v>
      </c>
      <c r="H63" s="345" t="e">
        <f>'Exh. No. BGM 4 4'!#REF!</f>
        <v>#REF!</v>
      </c>
      <c r="I63" s="344"/>
      <c r="J63" s="344"/>
      <c r="K63" s="74" t="e">
        <f>H63+I63+J63</f>
        <v>#REF!</v>
      </c>
      <c r="AF63" s="410"/>
      <c r="AG63" s="411"/>
    </row>
    <row r="64" spans="1:33">
      <c r="A64" s="196">
        <v>33</v>
      </c>
      <c r="B64" s="4"/>
      <c r="C64" s="4" t="s">
        <v>62</v>
      </c>
      <c r="D64" s="4"/>
      <c r="E64" s="4"/>
      <c r="F64" s="344" t="e">
        <f>'not used PROP0SED RATES-2018'!H64</f>
        <v>#REF!</v>
      </c>
      <c r="G64" s="344" t="e">
        <f>H64-F64</f>
        <v>#REF!</v>
      </c>
      <c r="H64" s="345" t="e">
        <f>'Exh. No. BGM 4 4'!#REF!</f>
        <v>#REF!</v>
      </c>
      <c r="I64" s="344"/>
      <c r="J64" s="344"/>
      <c r="K64" s="110" t="e">
        <f>H64+I64+J64</f>
        <v>#REF!</v>
      </c>
      <c r="AF64" s="410"/>
      <c r="AG64" s="411"/>
    </row>
    <row r="65" spans="1:33">
      <c r="A65" s="196">
        <v>34</v>
      </c>
      <c r="B65" s="4"/>
      <c r="C65" s="4" t="s">
        <v>63</v>
      </c>
      <c r="D65" s="4"/>
      <c r="E65" s="4"/>
      <c r="F65" s="346" t="e">
        <f>'not used PROP0SED RATES-2018'!H65</f>
        <v>#REF!</v>
      </c>
      <c r="G65" s="346" t="e">
        <f>H65-F65</f>
        <v>#REF!</v>
      </c>
      <c r="H65" s="347" t="e">
        <f>'Exh. No. BGM 4 4'!#REF!</f>
        <v>#REF!</v>
      </c>
      <c r="I65" s="346"/>
      <c r="J65" s="346"/>
      <c r="K65" s="625" t="e">
        <f>H65+I65+J65</f>
        <v>#REF!</v>
      </c>
      <c r="AF65" s="410"/>
      <c r="AG65" s="411"/>
    </row>
    <row r="66" spans="1:33">
      <c r="A66" s="196">
        <v>35</v>
      </c>
      <c r="B66" s="4"/>
      <c r="C66" s="4"/>
      <c r="D66" s="4"/>
      <c r="E66" s="4" t="s">
        <v>64</v>
      </c>
      <c r="F66" s="353" t="e">
        <f>SUM(F63:F65)</f>
        <v>#REF!</v>
      </c>
      <c r="G66" s="353" t="e">
        <f t="shared" ref="G66:K66" si="18">SUM(G63:G65)</f>
        <v>#REF!</v>
      </c>
      <c r="H66" s="353" t="e">
        <f t="shared" si="18"/>
        <v>#REF!</v>
      </c>
      <c r="I66" s="353">
        <f t="shared" si="18"/>
        <v>0</v>
      </c>
      <c r="J66" s="353">
        <f t="shared" ref="J66" si="19">SUM(J63:J65)</f>
        <v>0</v>
      </c>
      <c r="K66" s="353" t="e">
        <f t="shared" si="18"/>
        <v>#REF!</v>
      </c>
      <c r="AF66" s="410"/>
      <c r="AG66" s="411"/>
    </row>
    <row r="67" spans="1:33">
      <c r="A67" s="196"/>
      <c r="B67" s="4"/>
      <c r="C67" s="4"/>
      <c r="D67" s="4"/>
      <c r="E67" s="4"/>
      <c r="F67" s="353"/>
      <c r="G67" s="353"/>
      <c r="H67" s="353"/>
      <c r="I67" s="353"/>
      <c r="J67" s="353"/>
      <c r="K67" s="353"/>
      <c r="AF67" s="410"/>
      <c r="AG67" s="411"/>
    </row>
    <row r="68" spans="1:33">
      <c r="A68" s="196"/>
      <c r="B68" s="4" t="s">
        <v>438</v>
      </c>
      <c r="C68" s="4"/>
      <c r="D68" s="4"/>
      <c r="E68" s="4"/>
      <c r="F68" s="344"/>
      <c r="G68" s="344"/>
      <c r="H68" s="344"/>
      <c r="I68" s="344"/>
      <c r="J68" s="344"/>
      <c r="K68" s="344"/>
      <c r="AF68" s="410"/>
      <c r="AG68" s="411"/>
    </row>
    <row r="69" spans="1:33">
      <c r="A69" s="196">
        <v>36</v>
      </c>
      <c r="B69" s="4"/>
      <c r="C69" s="4" t="s">
        <v>43</v>
      </c>
      <c r="D69" s="4"/>
      <c r="E69" s="4"/>
      <c r="F69" s="344" t="e">
        <f>'not used PROP0SED RATES-2018'!H69</f>
        <v>#REF!</v>
      </c>
      <c r="G69" s="344" t="e">
        <f t="shared" ref="G69:G79" si="20">H69-F69</f>
        <v>#REF!</v>
      </c>
      <c r="H69" s="345" t="e">
        <f>'Exh. No. BGM 4 4'!#REF!</f>
        <v>#REF!</v>
      </c>
      <c r="I69" s="344"/>
      <c r="J69" s="344"/>
      <c r="K69" s="110" t="e">
        <f t="shared" ref="K69:K71" si="21">H69+I69+J69</f>
        <v>#REF!</v>
      </c>
      <c r="AF69" s="410"/>
      <c r="AG69" s="411"/>
    </row>
    <row r="70" spans="1:33">
      <c r="A70" s="196">
        <v>37</v>
      </c>
      <c r="B70" s="4"/>
      <c r="C70" s="4" t="s">
        <v>62</v>
      </c>
      <c r="D70" s="4"/>
      <c r="E70" s="4"/>
      <c r="F70" s="344" t="e">
        <f>'not used PROP0SED RATES-2018'!H70</f>
        <v>#REF!</v>
      </c>
      <c r="G70" s="344" t="e">
        <f t="shared" si="20"/>
        <v>#REF!</v>
      </c>
      <c r="H70" s="345" t="e">
        <f>'Exh. No. BGM 4 4'!#REF!</f>
        <v>#REF!</v>
      </c>
      <c r="I70" s="344"/>
      <c r="J70" s="344"/>
      <c r="K70" s="110" t="e">
        <f t="shared" si="21"/>
        <v>#REF!</v>
      </c>
      <c r="AF70" s="410"/>
      <c r="AG70" s="411"/>
    </row>
    <row r="71" spans="1:33">
      <c r="A71" s="196">
        <v>38</v>
      </c>
      <c r="B71" s="4"/>
      <c r="C71" s="4" t="s">
        <v>63</v>
      </c>
      <c r="D71" s="4"/>
      <c r="E71" s="4"/>
      <c r="F71" s="344" t="e">
        <f>'not used PROP0SED RATES-2018'!H71</f>
        <v>#REF!</v>
      </c>
      <c r="G71" s="346" t="e">
        <f t="shared" si="20"/>
        <v>#REF!</v>
      </c>
      <c r="H71" s="347" t="e">
        <f>'Exh. No. BGM 4 4'!#REF!</f>
        <v>#REF!</v>
      </c>
      <c r="I71" s="346"/>
      <c r="J71" s="346"/>
      <c r="K71" s="110" t="e">
        <f t="shared" si="21"/>
        <v>#REF!</v>
      </c>
      <c r="AF71" s="410"/>
      <c r="AG71" s="411"/>
    </row>
    <row r="72" spans="1:33">
      <c r="A72" s="196">
        <v>39</v>
      </c>
      <c r="B72" s="4" t="s">
        <v>439</v>
      </c>
      <c r="C72" s="4"/>
      <c r="D72" s="4"/>
      <c r="E72" s="553"/>
      <c r="F72" s="350" t="e">
        <f>SUM(F69:F71)</f>
        <v>#REF!</v>
      </c>
      <c r="G72" s="350" t="e">
        <f t="shared" ref="G72:K72" si="22">SUM(G69:G71)</f>
        <v>#REF!</v>
      </c>
      <c r="H72" s="350" t="e">
        <f t="shared" si="22"/>
        <v>#REF!</v>
      </c>
      <c r="I72" s="350">
        <f t="shared" si="22"/>
        <v>0</v>
      </c>
      <c r="J72" s="350">
        <f t="shared" ref="J72" si="23">SUM(J69:J71)</f>
        <v>0</v>
      </c>
      <c r="K72" s="350" t="e">
        <f t="shared" si="22"/>
        <v>#REF!</v>
      </c>
      <c r="AF72" s="410"/>
      <c r="AG72" s="411"/>
    </row>
    <row r="73" spans="1:33">
      <c r="A73" s="196">
        <v>40</v>
      </c>
      <c r="B73" s="241" t="s">
        <v>189</v>
      </c>
      <c r="C73" s="4"/>
      <c r="D73" s="4"/>
      <c r="E73" s="4"/>
      <c r="F73" s="353" t="e">
        <f>F66+F72</f>
        <v>#REF!</v>
      </c>
      <c r="G73" s="353" t="e">
        <f t="shared" ref="G73:K73" si="24">G66+G72</f>
        <v>#REF!</v>
      </c>
      <c r="H73" s="353" t="e">
        <f t="shared" si="24"/>
        <v>#REF!</v>
      </c>
      <c r="I73" s="353">
        <f t="shared" si="24"/>
        <v>0</v>
      </c>
      <c r="J73" s="353">
        <f t="shared" ref="J73" si="25">J66+J72</f>
        <v>0</v>
      </c>
      <c r="K73" s="353" t="e">
        <f t="shared" si="24"/>
        <v>#REF!</v>
      </c>
      <c r="AF73" s="410"/>
      <c r="AG73" s="411"/>
    </row>
    <row r="74" spans="1:33">
      <c r="A74" s="5">
        <v>41</v>
      </c>
      <c r="B74" s="6" t="s">
        <v>66</v>
      </c>
      <c r="C74" s="6"/>
      <c r="D74" s="6"/>
      <c r="E74" s="6"/>
      <c r="F74" s="346" t="e">
        <f>'not used PROP0SED RATES-2018'!H74</f>
        <v>#REF!</v>
      </c>
      <c r="G74" s="346" t="e">
        <f t="shared" si="20"/>
        <v>#REF!</v>
      </c>
      <c r="H74" s="347" t="e">
        <f>'Exh. No. BGM 4 4'!#REF!</f>
        <v>#REF!</v>
      </c>
      <c r="I74" s="346"/>
      <c r="J74" s="346"/>
      <c r="K74" s="625" t="e">
        <f>H74+I74+J74</f>
        <v>#REF!</v>
      </c>
      <c r="AF74" s="410"/>
      <c r="AG74" s="411"/>
    </row>
    <row r="75" spans="1:33">
      <c r="A75" s="5">
        <v>42</v>
      </c>
      <c r="B75" s="6"/>
      <c r="C75" s="243" t="s">
        <v>222</v>
      </c>
      <c r="D75" s="6"/>
      <c r="E75" s="6"/>
      <c r="F75" s="344" t="e">
        <f>F73+F74</f>
        <v>#REF!</v>
      </c>
      <c r="G75" s="344" t="e">
        <f t="shared" ref="G75:K75" si="26">G73+G74</f>
        <v>#REF!</v>
      </c>
      <c r="H75" s="344" t="e">
        <f>H73+H74</f>
        <v>#REF!</v>
      </c>
      <c r="I75" s="344">
        <f t="shared" si="26"/>
        <v>0</v>
      </c>
      <c r="J75" s="344">
        <f t="shared" ref="J75" si="27">J73+J74</f>
        <v>0</v>
      </c>
      <c r="K75" s="344" t="e">
        <f t="shared" si="26"/>
        <v>#REF!</v>
      </c>
      <c r="AF75" s="410"/>
      <c r="AG75" s="411"/>
    </row>
    <row r="76" spans="1:33" ht="12" customHeight="1">
      <c r="A76" s="196">
        <v>43</v>
      </c>
      <c r="B76" s="398" t="s">
        <v>67</v>
      </c>
      <c r="C76" s="398"/>
      <c r="D76" s="398"/>
      <c r="E76" s="398"/>
      <c r="F76" s="344" t="e">
        <f>'not used PROP0SED RATES-2018'!H76</f>
        <v>#REF!</v>
      </c>
      <c r="G76" s="399" t="e">
        <f t="shared" si="20"/>
        <v>#REF!</v>
      </c>
      <c r="H76" s="400" t="e">
        <f>'Exh. No. BGM 4 4'!#REF!</f>
        <v>#REF!</v>
      </c>
      <c r="I76" s="399"/>
      <c r="J76" s="399"/>
      <c r="K76" s="110" t="e">
        <f t="shared" ref="K76:K79" si="28">H76+I76+J76</f>
        <v>#REF!</v>
      </c>
      <c r="AF76" s="410"/>
      <c r="AG76" s="411"/>
    </row>
    <row r="77" spans="1:33">
      <c r="A77" s="196">
        <v>44</v>
      </c>
      <c r="B77" s="398" t="s">
        <v>68</v>
      </c>
      <c r="C77" s="398"/>
      <c r="D77" s="398"/>
      <c r="E77" s="398"/>
      <c r="F77" s="344" t="e">
        <f>'not used PROP0SED RATES-2018'!H77</f>
        <v>#REF!</v>
      </c>
      <c r="G77" s="399" t="e">
        <f>H77-F77</f>
        <v>#REF!</v>
      </c>
      <c r="H77" s="400" t="e">
        <f>'Exh. No. BGM 4 4'!#REF!</f>
        <v>#REF!</v>
      </c>
      <c r="I77" s="399"/>
      <c r="J77" s="399"/>
      <c r="K77" s="110" t="e">
        <f t="shared" si="28"/>
        <v>#REF!</v>
      </c>
      <c r="AF77" s="410"/>
      <c r="AG77" s="411"/>
    </row>
    <row r="78" spans="1:33">
      <c r="A78" s="196">
        <v>45</v>
      </c>
      <c r="B78" s="398" t="s">
        <v>440</v>
      </c>
      <c r="C78" s="398"/>
      <c r="D78" s="398"/>
      <c r="E78" s="398"/>
      <c r="F78" s="344" t="e">
        <f>'not used PROP0SED RATES-2018'!H78</f>
        <v>#REF!</v>
      </c>
      <c r="G78" s="399" t="e">
        <f t="shared" ref="G78" si="29">H78-F78</f>
        <v>#REF!</v>
      </c>
      <c r="H78" s="400" t="e">
        <f>'Exh. No. BGM 4 4'!#REF!</f>
        <v>#REF!</v>
      </c>
      <c r="I78" s="399"/>
      <c r="J78" s="399"/>
      <c r="K78" s="110" t="e">
        <f t="shared" si="28"/>
        <v>#REF!</v>
      </c>
      <c r="AF78" s="410"/>
      <c r="AG78" s="411"/>
    </row>
    <row r="79" spans="1:33">
      <c r="A79" s="196">
        <v>46</v>
      </c>
      <c r="B79" s="398" t="s">
        <v>193</v>
      </c>
      <c r="C79" s="398"/>
      <c r="D79" s="398"/>
      <c r="E79" s="398"/>
      <c r="F79" s="346" t="e">
        <f>'not used PROP0SED RATES-2018'!H79</f>
        <v>#REF!</v>
      </c>
      <c r="G79" s="348" t="e">
        <f t="shared" si="20"/>
        <v>#REF!</v>
      </c>
      <c r="H79" s="401" t="e">
        <f>'Exh. No. BGM 4 4'!#REF!</f>
        <v>#REF!</v>
      </c>
      <c r="I79" s="348"/>
      <c r="J79" s="348"/>
      <c r="K79" s="625" t="e">
        <f t="shared" si="28"/>
        <v>#REF!</v>
      </c>
      <c r="AF79" s="410"/>
      <c r="AG79" s="411"/>
    </row>
    <row r="80" spans="1:33">
      <c r="A80" s="196"/>
      <c r="B80" s="1"/>
      <c r="C80" s="1"/>
      <c r="D80" s="1"/>
      <c r="E80" s="1"/>
      <c r="F80" s="73"/>
      <c r="G80" s="73"/>
      <c r="H80" s="110"/>
      <c r="I80" s="73"/>
      <c r="J80" s="73"/>
      <c r="K80" s="73"/>
      <c r="AF80" s="410"/>
      <c r="AG80" s="411"/>
    </row>
    <row r="81" spans="1:37" ht="13.5" thickBot="1">
      <c r="A81" s="196">
        <v>47</v>
      </c>
      <c r="B81" s="3" t="s">
        <v>69</v>
      </c>
      <c r="C81" s="3"/>
      <c r="D81" s="3"/>
      <c r="E81" s="3"/>
      <c r="F81" s="109" t="e">
        <f>F79+F77+F76+F75+F78</f>
        <v>#REF!</v>
      </c>
      <c r="G81" s="109" t="e">
        <f>G79+G77+G76+G75</f>
        <v>#REF!</v>
      </c>
      <c r="H81" s="109" t="e">
        <f>H79+H77+H76+H75+H78</f>
        <v>#REF!</v>
      </c>
      <c r="I81" s="109">
        <f>I79+I77+I76+I75</f>
        <v>0</v>
      </c>
      <c r="J81" s="109">
        <f>J79+J77+J76+J75</f>
        <v>0</v>
      </c>
      <c r="K81" s="109" t="e">
        <f>K79+K77+K76+K75+K78</f>
        <v>#REF!</v>
      </c>
      <c r="AF81" s="410"/>
      <c r="AG81" s="411"/>
    </row>
    <row r="82" spans="1:37" ht="13.5" thickTop="1">
      <c r="A82" s="196">
        <v>48</v>
      </c>
      <c r="B82" s="1" t="s">
        <v>483</v>
      </c>
      <c r="C82" s="1"/>
      <c r="D82" s="1"/>
      <c r="E82" s="1"/>
      <c r="F82" s="470" t="e">
        <f>ROUND(F59/F81,4)</f>
        <v>#REF!</v>
      </c>
      <c r="G82" s="103"/>
      <c r="H82" s="470" t="e">
        <f>ROUND(H59/H81,4)</f>
        <v>#REF!</v>
      </c>
      <c r="I82" s="7"/>
      <c r="J82" s="7"/>
      <c r="K82" s="470" t="e">
        <f>ROUND(K59/K81,4)</f>
        <v>#REF!</v>
      </c>
      <c r="AF82" s="410"/>
      <c r="AG82" s="411"/>
    </row>
    <row r="83" spans="1:37">
      <c r="A83" s="104"/>
      <c r="B83" s="1"/>
      <c r="C83" s="105"/>
      <c r="D83" s="105"/>
      <c r="E83" s="631"/>
      <c r="F83" s="485"/>
      <c r="G83" s="77"/>
      <c r="H83" s="77"/>
      <c r="I83" s="77"/>
      <c r="J83" s="77"/>
      <c r="K83" s="77"/>
      <c r="AF83" s="416"/>
      <c r="AG83" s="417"/>
    </row>
    <row r="84" spans="1:37" ht="13.5" thickBot="1">
      <c r="A84" s="104"/>
      <c r="B84" s="105"/>
      <c r="C84" s="105"/>
      <c r="D84" s="105"/>
      <c r="E84" s="77"/>
      <c r="F84" s="77"/>
      <c r="G84" s="77"/>
      <c r="H84" s="77"/>
      <c r="I84" s="77"/>
      <c r="J84" s="77"/>
      <c r="K84" s="77"/>
      <c r="AF84" s="412"/>
      <c r="AG84" s="413"/>
      <c r="AK84" s="553">
        <f>AK90</f>
        <v>0</v>
      </c>
    </row>
  </sheetData>
  <mergeCells count="1">
    <mergeCell ref="F6:K6"/>
  </mergeCells>
  <pageMargins left="0.75" right="0.5" top="0.72" bottom="0.84" header="0.5" footer="0.5"/>
  <pageSetup scale="68" orientation="portrait" r:id="rId1"/>
  <headerFooter scaleWithDoc="0" alignWithMargins="0">
    <oddHeader xml:space="preserve">&amp;RExhibit No. ___(JSS-3)
</oddHeader>
    <oddFooter>&amp;LStaff_DR_091-Supplemental 3 -Attachment G         (09.2015 PF/CC Study Update)&amp;RPage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I71"/>
  <sheetViews>
    <sheetView zoomScaleNormal="100" zoomScaleSheetLayoutView="130" workbookViewId="0"/>
  </sheetViews>
  <sheetFormatPr defaultRowHeight="12.75"/>
  <cols>
    <col min="1" max="1" width="7.28515625" style="36" customWidth="1"/>
    <col min="2" max="2" width="1.42578125" style="36" customWidth="1"/>
    <col min="3" max="3" width="44" style="36" customWidth="1"/>
    <col min="4" max="4" width="1.140625" style="36" customWidth="1"/>
    <col min="5" max="5" width="1.7109375" style="36" customWidth="1"/>
    <col min="6" max="6" width="27" style="36" customWidth="1"/>
    <col min="7" max="7" width="15.28515625" style="36" hidden="1" customWidth="1"/>
    <col min="8" max="8" width="22" style="36" hidden="1" customWidth="1"/>
    <col min="9" max="9" width="5.85546875" style="36" customWidth="1"/>
    <col min="10" max="10" width="13.85546875" style="36" customWidth="1"/>
    <col min="11" max="11" width="7.85546875" style="36" customWidth="1"/>
    <col min="12" max="12" width="11.42578125" style="36" customWidth="1"/>
    <col min="13" max="13" width="14.28515625" style="36" customWidth="1"/>
    <col min="14" max="14" width="14.85546875" style="36" customWidth="1"/>
    <col min="15" max="15" width="4.140625" style="553" customWidth="1"/>
    <col min="16" max="16" width="14" style="36" customWidth="1"/>
    <col min="17" max="17" width="9.28515625" customWidth="1"/>
  </cols>
  <sheetData>
    <row r="1" spans="1:35">
      <c r="A1" s="75"/>
      <c r="B1" s="75"/>
      <c r="C1" s="75"/>
      <c r="D1" s="75"/>
      <c r="E1" s="75"/>
      <c r="F1" s="75"/>
      <c r="G1" s="75"/>
      <c r="H1" s="75"/>
      <c r="I1" s="181"/>
      <c r="J1" s="791"/>
      <c r="K1" s="791"/>
      <c r="L1" s="791"/>
      <c r="M1" s="791"/>
      <c r="N1" s="791"/>
      <c r="O1" s="170"/>
      <c r="P1" s="170"/>
      <c r="Q1" s="36"/>
    </row>
    <row r="2" spans="1:35">
      <c r="A2" s="75" t="s">
        <v>549</v>
      </c>
      <c r="B2" s="75"/>
      <c r="C2" s="75"/>
      <c r="D2" s="75"/>
      <c r="E2" s="75"/>
      <c r="F2" s="75"/>
      <c r="G2" s="75"/>
      <c r="H2" s="75"/>
      <c r="J2" s="791" t="s">
        <v>553</v>
      </c>
      <c r="K2" s="791"/>
      <c r="L2" s="791"/>
      <c r="M2" s="791"/>
      <c r="N2" s="791"/>
      <c r="O2" s="402"/>
      <c r="P2" s="402"/>
      <c r="Q2" s="36"/>
    </row>
    <row r="3" spans="1:35">
      <c r="A3" s="791" t="s">
        <v>468</v>
      </c>
      <c r="B3" s="791"/>
      <c r="C3" s="791"/>
      <c r="D3" s="791"/>
      <c r="E3" s="791"/>
      <c r="F3" s="791"/>
      <c r="G3" s="791"/>
      <c r="H3" s="791"/>
      <c r="I3" s="181"/>
      <c r="J3" s="791" t="s">
        <v>468</v>
      </c>
      <c r="K3" s="791"/>
      <c r="L3" s="791"/>
      <c r="M3" s="791"/>
      <c r="N3" s="791"/>
      <c r="O3" s="170"/>
      <c r="P3" s="170"/>
      <c r="Q3" s="36"/>
    </row>
    <row r="4" spans="1:35">
      <c r="A4" s="796" t="str">
        <f>'not used PROP0SED RATES-2018'!A4</f>
        <v>TWELVE MONTHS ENDED DECEMBER 31, 2016</v>
      </c>
      <c r="B4" s="796"/>
      <c r="C4" s="796"/>
      <c r="D4" s="796"/>
      <c r="E4" s="796"/>
      <c r="F4" s="796"/>
      <c r="G4" s="796"/>
      <c r="H4" s="796"/>
      <c r="J4" s="799"/>
      <c r="K4" s="799"/>
      <c r="L4" s="799"/>
      <c r="M4" s="799"/>
      <c r="N4" s="799"/>
      <c r="O4" s="567"/>
      <c r="P4" s="568"/>
    </row>
    <row r="5" spans="1:35" ht="16.5" thickBot="1">
      <c r="A5" s="791"/>
      <c r="B5" s="791"/>
      <c r="C5" s="791"/>
      <c r="D5" s="791"/>
      <c r="E5" s="791"/>
      <c r="F5" s="791"/>
      <c r="G5" s="791"/>
      <c r="H5" s="791"/>
      <c r="I5" s="171"/>
      <c r="J5" s="172"/>
      <c r="K5" s="172"/>
      <c r="L5" s="172"/>
      <c r="M5" s="172"/>
      <c r="N5" s="172"/>
      <c r="O5" s="172"/>
      <c r="P5" s="172"/>
      <c r="S5" s="130"/>
      <c r="T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</row>
    <row r="6" spans="1:35" ht="25.5">
      <c r="C6" s="639"/>
      <c r="D6" s="639"/>
      <c r="F6" s="714" t="s">
        <v>550</v>
      </c>
      <c r="G6" s="686"/>
      <c r="H6" s="687" t="s">
        <v>500</v>
      </c>
      <c r="I6" s="171"/>
      <c r="J6" s="634" t="s">
        <v>554</v>
      </c>
      <c r="K6" s="527"/>
      <c r="L6" s="527"/>
      <c r="M6" s="527"/>
      <c r="N6" s="528"/>
      <c r="O6" s="255"/>
      <c r="P6" s="255"/>
    </row>
    <row r="7" spans="1:35" ht="15.75">
      <c r="A7" s="40"/>
      <c r="B7" s="40"/>
      <c r="C7" s="40"/>
      <c r="D7" s="40"/>
      <c r="E7" s="40"/>
      <c r="F7" s="727" t="s">
        <v>555</v>
      </c>
      <c r="G7" s="688">
        <v>2019</v>
      </c>
      <c r="H7" s="689" t="s">
        <v>514</v>
      </c>
      <c r="I7" s="173"/>
      <c r="J7" s="529"/>
      <c r="K7" s="175"/>
      <c r="L7" s="179"/>
      <c r="M7" s="180"/>
      <c r="N7" s="538"/>
      <c r="O7" s="174"/>
      <c r="P7" s="256"/>
    </row>
    <row r="8" spans="1:35" ht="15.75">
      <c r="A8" s="106" t="s">
        <v>138</v>
      </c>
      <c r="B8" s="42"/>
      <c r="C8" s="792" t="s">
        <v>73</v>
      </c>
      <c r="D8" s="793"/>
      <c r="E8" s="44"/>
      <c r="F8" s="797" t="s">
        <v>542</v>
      </c>
      <c r="G8" s="800" t="s">
        <v>509</v>
      </c>
      <c r="H8" s="800" t="s">
        <v>510</v>
      </c>
      <c r="I8" s="173"/>
      <c r="J8" s="530"/>
      <c r="K8" s="174"/>
      <c r="L8" s="174" t="s">
        <v>139</v>
      </c>
      <c r="M8" s="174"/>
      <c r="N8" s="538" t="s">
        <v>140</v>
      </c>
      <c r="O8" s="174"/>
      <c r="P8" s="256"/>
    </row>
    <row r="9" spans="1:35" ht="15.75">
      <c r="A9" s="107" t="s">
        <v>16</v>
      </c>
      <c r="B9" s="42"/>
      <c r="C9" s="794"/>
      <c r="D9" s="795"/>
      <c r="E9" s="44"/>
      <c r="F9" s="798"/>
      <c r="G9" s="801"/>
      <c r="H9" s="801"/>
      <c r="I9" s="173"/>
      <c r="J9" s="531" t="s">
        <v>141</v>
      </c>
      <c r="K9" s="174"/>
      <c r="L9" s="532" t="s">
        <v>142</v>
      </c>
      <c r="M9" s="532" t="s">
        <v>143</v>
      </c>
      <c r="N9" s="539" t="s">
        <v>143</v>
      </c>
      <c r="O9" s="174"/>
      <c r="P9" s="256"/>
    </row>
    <row r="10" spans="1:35" ht="15.75">
      <c r="A10" s="40"/>
      <c r="B10" s="40"/>
      <c r="C10" s="40"/>
      <c r="D10" s="40"/>
      <c r="E10" s="108"/>
      <c r="G10" s="686"/>
      <c r="H10" s="686"/>
      <c r="I10" s="173"/>
      <c r="J10" s="529"/>
      <c r="K10" s="175"/>
      <c r="L10" s="175"/>
      <c r="M10" s="175"/>
      <c r="N10" s="540"/>
      <c r="O10" s="175"/>
      <c r="P10" s="256"/>
    </row>
    <row r="11" spans="1:35" ht="15.75">
      <c r="A11" s="48">
        <v>1</v>
      </c>
      <c r="B11" s="40"/>
      <c r="C11" s="40" t="s">
        <v>156</v>
      </c>
      <c r="D11" s="40"/>
      <c r="E11" s="40"/>
      <c r="F11" s="395">
        <f>'Exh. No. BGM 4 4'!AL82</f>
        <v>299817</v>
      </c>
      <c r="G11" s="690" t="e">
        <f>'Exh. No. BGM 4 4'!#REF!</f>
        <v>#REF!</v>
      </c>
      <c r="H11" s="690"/>
      <c r="I11" s="173"/>
      <c r="J11" s="414"/>
      <c r="K11" s="502"/>
      <c r="L11" s="502"/>
      <c r="M11" s="502"/>
      <c r="N11" s="415"/>
      <c r="O11" s="502"/>
      <c r="P11" s="256"/>
      <c r="Q11" s="130"/>
    </row>
    <row r="12" spans="1:35" ht="15.75">
      <c r="A12" s="48"/>
      <c r="B12" s="40"/>
      <c r="C12" s="40"/>
      <c r="D12" s="40"/>
      <c r="E12" s="40"/>
      <c r="F12" s="50"/>
      <c r="G12" s="691"/>
      <c r="H12" s="691"/>
      <c r="I12" s="173"/>
      <c r="J12" s="533" t="s">
        <v>452</v>
      </c>
      <c r="K12" s="176"/>
      <c r="L12" s="534">
        <f>100%-L14</f>
        <v>0.51600000000000001</v>
      </c>
      <c r="M12" s="251">
        <f>+'Exh. No. BGM-4 1'!AJ10</f>
        <v>5.1948000000000001E-2</v>
      </c>
      <c r="N12" s="541">
        <f>ROUND(L12*M12,4)</f>
        <v>2.6800000000000001E-2</v>
      </c>
      <c r="O12" s="251"/>
      <c r="P12" s="257" t="s">
        <v>168</v>
      </c>
    </row>
    <row r="13" spans="1:35" ht="15.75">
      <c r="A13" s="48">
        <v>2</v>
      </c>
      <c r="B13" s="40"/>
      <c r="C13" s="40" t="s">
        <v>144</v>
      </c>
      <c r="D13" s="40"/>
      <c r="E13" s="40"/>
      <c r="F13" s="391">
        <f>N15</f>
        <v>7.0800000000000002E-2</v>
      </c>
      <c r="G13" s="692">
        <f>N15</f>
        <v>7.0800000000000002E-2</v>
      </c>
      <c r="H13" s="693"/>
      <c r="I13" s="173"/>
      <c r="J13" s="533"/>
      <c r="K13" s="176"/>
      <c r="L13" s="534"/>
      <c r="M13" s="251"/>
      <c r="N13" s="541"/>
      <c r="O13" s="251"/>
      <c r="P13" s="254">
        <f>N12+N13</f>
        <v>2.6800000000000001E-2</v>
      </c>
    </row>
    <row r="14" spans="1:35" ht="31.5" customHeight="1">
      <c r="A14" s="48"/>
      <c r="B14" s="40"/>
      <c r="C14" s="40"/>
      <c r="D14" s="40"/>
      <c r="E14" s="40"/>
      <c r="F14" s="77"/>
      <c r="G14" s="713"/>
      <c r="H14" s="713"/>
      <c r="I14" s="713"/>
      <c r="J14" s="715" t="s">
        <v>183</v>
      </c>
      <c r="K14" s="716"/>
      <c r="L14" s="717">
        <v>0.48399999999999999</v>
      </c>
      <c r="M14" s="718">
        <v>9.0999999999999998E-2</v>
      </c>
      <c r="N14" s="719">
        <f>ROUND(L14*M14,4)</f>
        <v>4.3999999999999997E-2</v>
      </c>
      <c r="O14" s="251"/>
      <c r="P14" s="256"/>
      <c r="Q14" s="130"/>
    </row>
    <row r="15" spans="1:35" ht="16.5" thickBot="1">
      <c r="A15" s="48">
        <v>3</v>
      </c>
      <c r="B15" s="40"/>
      <c r="C15" s="40" t="s">
        <v>145</v>
      </c>
      <c r="D15" s="40"/>
      <c r="E15" s="40"/>
      <c r="F15" s="50">
        <f>ROUND(F11*F13,0)</f>
        <v>21227</v>
      </c>
      <c r="G15" s="691" t="e">
        <f>ROUND(G11*G13,0)</f>
        <v>#REF!</v>
      </c>
      <c r="H15" s="691"/>
      <c r="I15" s="173"/>
      <c r="J15" s="533" t="s">
        <v>26</v>
      </c>
      <c r="K15" s="178"/>
      <c r="L15" s="535">
        <f>SUM(L12:L14)</f>
        <v>1</v>
      </c>
      <c r="M15" s="254"/>
      <c r="N15" s="542">
        <f>SUM(N12:N14)</f>
        <v>7.0800000000000002E-2</v>
      </c>
      <c r="O15" s="502"/>
      <c r="P15" s="256"/>
    </row>
    <row r="16" spans="1:35" ht="17.25" thickTop="1" thickBot="1">
      <c r="A16" s="48"/>
      <c r="B16" s="40"/>
      <c r="C16" s="40"/>
      <c r="D16" s="40"/>
      <c r="E16" s="40"/>
      <c r="F16" s="50"/>
      <c r="G16" s="691"/>
      <c r="H16" s="691"/>
      <c r="I16" s="173"/>
      <c r="J16" s="536"/>
      <c r="K16" s="537"/>
      <c r="L16" s="537"/>
      <c r="M16" s="537"/>
      <c r="N16" s="543"/>
      <c r="O16" s="254"/>
      <c r="P16" s="256"/>
    </row>
    <row r="17" spans="1:17" ht="15.75">
      <c r="A17" s="48">
        <v>4</v>
      </c>
      <c r="B17" s="40"/>
      <c r="C17" s="40" t="s">
        <v>146</v>
      </c>
      <c r="D17" s="40"/>
      <c r="E17" s="40"/>
      <c r="F17" s="396">
        <f>'Exh. No. BGM 4 4'!AL59</f>
        <v>21555.464749999996</v>
      </c>
      <c r="G17" s="694" t="e">
        <f>'Exh. No. BGM 4 4'!#REF!</f>
        <v>#REF!</v>
      </c>
      <c r="H17" s="695"/>
      <c r="I17" s="173"/>
      <c r="J17" s="633"/>
      <c r="K17" s="144"/>
      <c r="L17" s="144"/>
      <c r="M17" s="144"/>
      <c r="N17" s="144"/>
      <c r="O17" s="255"/>
      <c r="P17" s="256"/>
    </row>
    <row r="18" spans="1:17" ht="15.75">
      <c r="A18" s="48"/>
      <c r="B18" s="40"/>
      <c r="C18" s="40"/>
      <c r="D18" s="40"/>
      <c r="E18" s="40"/>
      <c r="F18" s="40"/>
      <c r="G18" s="696"/>
      <c r="H18" s="696"/>
      <c r="I18" s="173"/>
      <c r="J18" s="142"/>
      <c r="K18" s="142"/>
      <c r="L18" s="142"/>
      <c r="M18" s="502"/>
      <c r="N18" s="502"/>
      <c r="O18" s="502"/>
      <c r="P18" s="569"/>
    </row>
    <row r="19" spans="1:17" ht="15.75">
      <c r="A19" s="48">
        <v>5</v>
      </c>
      <c r="B19" s="40"/>
      <c r="C19" s="40" t="s">
        <v>147</v>
      </c>
      <c r="D19" s="40"/>
      <c r="E19" s="40"/>
      <c r="F19" s="50">
        <f>F15-F17</f>
        <v>-328.46474999999555</v>
      </c>
      <c r="G19" s="691" t="e">
        <f>G15-G17</f>
        <v>#REF!</v>
      </c>
      <c r="H19" s="691" t="e">
        <f>G19-F19</f>
        <v>#REF!</v>
      </c>
      <c r="I19" s="76"/>
      <c r="J19" s="255"/>
      <c r="K19" s="255"/>
      <c r="L19" s="255"/>
      <c r="M19" s="255"/>
      <c r="N19" s="255"/>
      <c r="O19" s="502"/>
      <c r="P19" s="502"/>
    </row>
    <row r="20" spans="1:17" ht="15.75">
      <c r="A20" s="48"/>
      <c r="B20" s="40"/>
      <c r="C20" s="40"/>
      <c r="D20" s="40"/>
      <c r="E20" s="40"/>
      <c r="F20" s="40"/>
      <c r="G20" s="696"/>
      <c r="H20" s="696"/>
      <c r="I20" s="76"/>
      <c r="J20" s="175"/>
      <c r="K20" s="175"/>
      <c r="L20" s="179"/>
      <c r="M20" s="180"/>
      <c r="N20" s="174"/>
      <c r="O20" s="255"/>
      <c r="P20" s="255"/>
    </row>
    <row r="21" spans="1:17" ht="15.75">
      <c r="A21" s="48">
        <v>6</v>
      </c>
      <c r="B21" s="40"/>
      <c r="C21" s="40" t="s">
        <v>148</v>
      </c>
      <c r="D21" s="40"/>
      <c r="E21" s="40"/>
      <c r="F21" s="615">
        <f>'Exh. No. BGM-4 3'!E27</f>
        <v>0.620645</v>
      </c>
      <c r="G21" s="697">
        <f>F21</f>
        <v>0.620645</v>
      </c>
      <c r="H21" s="697">
        <f>G21</f>
        <v>0.620645</v>
      </c>
      <c r="I21" s="76"/>
      <c r="L21" s="174"/>
      <c r="M21" s="174"/>
      <c r="N21" s="174"/>
      <c r="O21" s="174"/>
      <c r="P21" s="256"/>
      <c r="Q21" s="149"/>
    </row>
    <row r="22" spans="1:17" ht="16.5" thickBot="1">
      <c r="A22" s="48"/>
      <c r="B22" s="40"/>
      <c r="C22" s="40"/>
      <c r="D22" s="40"/>
      <c r="E22" s="40"/>
      <c r="F22" s="40"/>
      <c r="G22" s="698"/>
      <c r="H22" s="699"/>
      <c r="I22" s="76"/>
      <c r="N22" s="174"/>
      <c r="O22" s="174"/>
      <c r="P22" s="256"/>
      <c r="Q22" s="149"/>
    </row>
    <row r="23" spans="1:17" ht="16.5" thickBot="1">
      <c r="A23" s="48">
        <v>7</v>
      </c>
      <c r="B23" s="40"/>
      <c r="C23" s="492" t="s">
        <v>479</v>
      </c>
      <c r="D23" s="40"/>
      <c r="E23" s="148"/>
      <c r="F23" s="658">
        <f>ROUND(F19/F21,3)-1</f>
        <v>-530.23099999999999</v>
      </c>
      <c r="G23" s="700" t="e">
        <f>ROUND(G19/G21,0)</f>
        <v>#REF!</v>
      </c>
      <c r="H23" s="701" t="e">
        <f>'Exh. No. BGM 4 4'!#REF!</f>
        <v>#REF!</v>
      </c>
      <c r="I23" s="76"/>
      <c r="J23" s="629"/>
      <c r="K23" s="629"/>
      <c r="L23" s="495"/>
      <c r="N23" s="175"/>
      <c r="O23" s="174"/>
      <c r="P23" s="256"/>
      <c r="Q23" s="149"/>
    </row>
    <row r="24" spans="1:17" ht="15.75">
      <c r="A24" s="40"/>
      <c r="B24" s="40"/>
      <c r="C24" s="40"/>
      <c r="D24" s="40"/>
      <c r="E24" s="148"/>
      <c r="F24" s="40"/>
      <c r="G24" s="698"/>
      <c r="H24" s="702"/>
      <c r="I24" s="76"/>
      <c r="J24" s="629"/>
      <c r="K24" s="629"/>
      <c r="L24" s="495"/>
      <c r="N24" s="52"/>
      <c r="O24" s="175"/>
      <c r="P24" s="256"/>
      <c r="Q24" s="149"/>
    </row>
    <row r="25" spans="1:17" ht="15.75">
      <c r="A25" s="48">
        <v>8</v>
      </c>
      <c r="B25" s="40"/>
      <c r="C25" s="492" t="s">
        <v>501</v>
      </c>
      <c r="D25" s="40"/>
      <c r="E25" s="40"/>
      <c r="F25" s="397">
        <f>'Exh. No. BGM 4 4'!AL15+'Exh. No. BGM 4 4'!AL16</f>
        <v>88832</v>
      </c>
      <c r="G25" s="695"/>
      <c r="H25" s="703">
        <f>F25+F23</f>
        <v>88301.769</v>
      </c>
      <c r="I25" s="76"/>
      <c r="J25" s="629"/>
      <c r="K25" s="629"/>
      <c r="L25" s="629"/>
      <c r="N25" s="251"/>
      <c r="O25" s="495"/>
      <c r="P25" s="256"/>
      <c r="Q25" s="149"/>
    </row>
    <row r="26" spans="1:17" ht="15.75">
      <c r="A26" s="40"/>
      <c r="B26" s="40"/>
      <c r="C26" s="40"/>
      <c r="D26" s="40"/>
      <c r="E26" s="40"/>
      <c r="F26" s="40"/>
      <c r="G26" s="698"/>
      <c r="H26" s="702"/>
      <c r="J26" s="629"/>
      <c r="K26" s="629"/>
      <c r="N26" s="251"/>
      <c r="O26" s="251"/>
      <c r="P26" s="257"/>
      <c r="Q26" s="149"/>
    </row>
    <row r="27" spans="1:17" ht="16.5" thickBot="1">
      <c r="A27" s="48">
        <v>9</v>
      </c>
      <c r="B27" s="40"/>
      <c r="C27" s="492" t="s">
        <v>504</v>
      </c>
      <c r="D27" s="40"/>
      <c r="E27" s="40"/>
      <c r="F27" s="424">
        <f>ROUND(F23/F25,4)</f>
        <v>-6.0000000000000001E-3</v>
      </c>
      <c r="G27" s="704"/>
      <c r="H27" s="705" t="e">
        <f>H23/H25</f>
        <v>#REF!</v>
      </c>
      <c r="J27" s="255"/>
      <c r="K27" s="177"/>
      <c r="L27" s="252"/>
      <c r="M27" s="252"/>
      <c r="N27" s="253"/>
      <c r="O27" s="251"/>
      <c r="P27" s="254"/>
      <c r="Q27" s="149"/>
    </row>
    <row r="28" spans="1:17" ht="16.5" thickTop="1">
      <c r="B28" s="40"/>
      <c r="C28" s="76"/>
      <c r="D28" s="76"/>
      <c r="E28" s="76"/>
      <c r="F28" s="76"/>
      <c r="G28" s="706"/>
      <c r="H28" s="706"/>
      <c r="L28" s="251"/>
      <c r="M28" s="251"/>
      <c r="N28" s="251"/>
      <c r="O28" s="253"/>
      <c r="P28" s="256"/>
      <c r="Q28" s="149"/>
    </row>
    <row r="29" spans="1:17" ht="15.75">
      <c r="A29" s="609">
        <v>10</v>
      </c>
      <c r="C29" s="553" t="s">
        <v>502</v>
      </c>
      <c r="F29" s="617">
        <v>152089</v>
      </c>
      <c r="G29" s="702"/>
      <c r="H29" s="707">
        <f>F29+F23</f>
        <v>151558.769</v>
      </c>
      <c r="J29" s="255"/>
      <c r="K29" s="177"/>
      <c r="L29" s="252"/>
      <c r="M29" s="252"/>
      <c r="N29" s="253"/>
      <c r="O29" s="251"/>
      <c r="P29" s="256"/>
      <c r="Q29" s="149"/>
    </row>
    <row r="30" spans="1:17" ht="15.75">
      <c r="G30" s="702"/>
      <c r="H30" s="686"/>
      <c r="J30" s="52"/>
      <c r="K30" s="52"/>
      <c r="L30" s="52"/>
      <c r="M30" s="52"/>
      <c r="N30" s="52"/>
      <c r="O30" s="253"/>
      <c r="P30" s="256"/>
      <c r="Q30" s="149"/>
    </row>
    <row r="31" spans="1:17" ht="15.75" customHeight="1" thickBot="1">
      <c r="A31" s="609">
        <v>11</v>
      </c>
      <c r="C31" s="553" t="s">
        <v>503</v>
      </c>
      <c r="F31" s="424">
        <f>ROUND(F23/F29,4)</f>
        <v>-3.5000000000000001E-3</v>
      </c>
      <c r="G31" s="686"/>
      <c r="H31" s="705" t="e">
        <f>H23/H29</f>
        <v>#REF!</v>
      </c>
      <c r="J31" s="255"/>
      <c r="K31" s="178"/>
      <c r="L31" s="254"/>
      <c r="M31" s="254"/>
      <c r="N31" s="254"/>
      <c r="O31" s="495"/>
      <c r="P31" s="256"/>
      <c r="Q31" s="149"/>
    </row>
    <row r="32" spans="1:17" ht="16.5" thickTop="1">
      <c r="G32" s="708"/>
      <c r="H32" s="709"/>
      <c r="I32" s="553"/>
      <c r="J32" s="255"/>
      <c r="K32" s="178"/>
      <c r="L32" s="254"/>
      <c r="M32" s="254"/>
      <c r="N32" s="254"/>
      <c r="O32" s="254"/>
      <c r="P32" s="256"/>
      <c r="Q32" s="149"/>
    </row>
    <row r="33" spans="1:17" ht="15.75">
      <c r="A33" s="492" t="s">
        <v>466</v>
      </c>
      <c r="B33" s="553"/>
      <c r="C33" s="553"/>
      <c r="D33" s="553"/>
      <c r="E33" s="553"/>
      <c r="F33" s="553"/>
      <c r="G33" s="628"/>
      <c r="H33" s="632"/>
      <c r="I33"/>
      <c r="J33"/>
      <c r="K33"/>
      <c r="L33"/>
      <c r="M33"/>
      <c r="N33"/>
      <c r="O33" s="254"/>
      <c r="P33" s="256"/>
      <c r="Q33" s="149"/>
    </row>
    <row r="34" spans="1:17">
      <c r="F34" s="144"/>
      <c r="G34" s="144"/>
      <c r="H34" s="144"/>
      <c r="I34"/>
      <c r="J34"/>
      <c r="K34"/>
      <c r="L34"/>
      <c r="M34"/>
      <c r="N34"/>
      <c r="O34"/>
      <c r="P34"/>
    </row>
    <row r="35" spans="1:17">
      <c r="F35" s="144"/>
      <c r="G35" s="144"/>
      <c r="H35" s="144"/>
      <c r="I35"/>
      <c r="J35"/>
      <c r="K35"/>
      <c r="L35"/>
      <c r="M35"/>
      <c r="N35"/>
      <c r="O35"/>
      <c r="P35"/>
    </row>
    <row r="36" spans="1:17">
      <c r="F36" s="144"/>
      <c r="G36" s="144"/>
      <c r="H36" s="144"/>
      <c r="L36"/>
      <c r="M36"/>
      <c r="N36"/>
      <c r="O36"/>
      <c r="P36"/>
    </row>
    <row r="37" spans="1:17">
      <c r="F37" s="144"/>
      <c r="G37" s="144"/>
      <c r="H37" s="144"/>
      <c r="I37" s="789" t="s">
        <v>526</v>
      </c>
      <c r="J37" s="790"/>
      <c r="K37" s="790"/>
      <c r="L37"/>
      <c r="M37"/>
      <c r="N37"/>
      <c r="O37"/>
      <c r="P37"/>
    </row>
    <row r="38" spans="1:17">
      <c r="F38" s="144"/>
      <c r="G38" s="144"/>
      <c r="H38" s="144"/>
      <c r="I38"/>
      <c r="J38"/>
      <c r="K38"/>
      <c r="L38"/>
      <c r="M38"/>
      <c r="N38"/>
      <c r="O38"/>
      <c r="P38"/>
    </row>
    <row r="39" spans="1:17">
      <c r="F39" s="144"/>
      <c r="G39" s="144"/>
      <c r="H39" s="144"/>
      <c r="I39"/>
      <c r="J39" s="144"/>
      <c r="K39" s="144"/>
      <c r="L39" s="144"/>
      <c r="M39" s="144"/>
      <c r="N39" s="144"/>
      <c r="O39"/>
      <c r="P39"/>
    </row>
    <row r="40" spans="1:17">
      <c r="F40" s="144"/>
      <c r="G40" s="144"/>
      <c r="H40" s="144"/>
      <c r="I40"/>
      <c r="J40" s="144"/>
      <c r="K40" s="144"/>
      <c r="L40" s="144"/>
      <c r="M40" s="144"/>
      <c r="N40" s="144"/>
      <c r="O40" s="557"/>
      <c r="P40" s="144"/>
    </row>
    <row r="41" spans="1:17">
      <c r="F41" s="144"/>
      <c r="G41" s="144"/>
      <c r="H41" s="144"/>
      <c r="I41" s="144"/>
      <c r="J41" s="144"/>
      <c r="K41" s="144"/>
      <c r="L41" s="144"/>
      <c r="M41" s="144"/>
      <c r="N41" s="144"/>
      <c r="O41" s="557"/>
      <c r="P41" s="144"/>
    </row>
    <row r="42" spans="1:17">
      <c r="F42" s="144"/>
      <c r="G42" s="144"/>
      <c r="H42" s="144"/>
      <c r="I42" s="144"/>
      <c r="J42" s="144"/>
      <c r="K42" s="144"/>
      <c r="L42" s="144"/>
      <c r="M42" s="144"/>
      <c r="N42" s="144"/>
      <c r="O42" s="557"/>
      <c r="P42" s="144"/>
      <c r="Q42" s="130"/>
    </row>
    <row r="43" spans="1:17">
      <c r="F43" s="144"/>
      <c r="G43" s="144"/>
      <c r="H43" s="144"/>
      <c r="I43" s="144"/>
      <c r="O43" s="557"/>
      <c r="P43" s="144"/>
      <c r="Q43" s="130"/>
    </row>
    <row r="44" spans="1:17">
      <c r="F44" s="144"/>
      <c r="G44" s="144"/>
      <c r="H44" s="144"/>
      <c r="I44" s="144"/>
      <c r="Q44" s="130"/>
    </row>
    <row r="45" spans="1:17">
      <c r="F45" s="144"/>
      <c r="G45" s="144"/>
      <c r="H45" s="144"/>
      <c r="Q45" s="130"/>
    </row>
    <row r="71" spans="28:28">
      <c r="AB71">
        <f>AB77</f>
        <v>0</v>
      </c>
    </row>
  </sheetData>
  <mergeCells count="12">
    <mergeCell ref="I37:K37"/>
    <mergeCell ref="J1:N1"/>
    <mergeCell ref="J2:N2"/>
    <mergeCell ref="J3:N3"/>
    <mergeCell ref="C8:D9"/>
    <mergeCell ref="A4:H4"/>
    <mergeCell ref="A5:H5"/>
    <mergeCell ref="A3:H3"/>
    <mergeCell ref="F8:F9"/>
    <mergeCell ref="J4:N4"/>
    <mergeCell ref="G8:G9"/>
    <mergeCell ref="H8:H9"/>
  </mergeCells>
  <phoneticPr fontId="0" type="noConversion"/>
  <pageMargins left="0.75" right="0.5" top="0.72" bottom="0.84" header="0.5" footer="0.5"/>
  <pageSetup scale="10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X82"/>
  <sheetViews>
    <sheetView zoomScaleNormal="100" zoomScaleSheetLayoutView="130" workbookViewId="0"/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9.140625" style="36"/>
    <col min="5" max="5" width="20.140625" style="127" customWidth="1"/>
    <col min="6" max="9" width="9.140625" style="36"/>
    <col min="10" max="10" width="19.85546875" style="36" bestFit="1" customWidth="1"/>
    <col min="11" max="16384" width="9.140625" style="36"/>
  </cols>
  <sheetData>
    <row r="1" spans="1:24" s="114" customFormat="1">
      <c r="A1" s="36"/>
      <c r="B1" s="36"/>
      <c r="C1" s="111"/>
      <c r="D1" s="112"/>
      <c r="E1" s="113"/>
      <c r="G1" s="403"/>
      <c r="H1" s="404"/>
      <c r="I1" s="404"/>
      <c r="J1" s="36"/>
    </row>
    <row r="2" spans="1:24" s="114" customFormat="1">
      <c r="B2" s="36"/>
      <c r="C2" s="354" t="s">
        <v>167</v>
      </c>
      <c r="D2" s="112"/>
      <c r="E2" s="115"/>
      <c r="J2" s="36"/>
    </row>
    <row r="3" spans="1:24" s="114" customFormat="1">
      <c r="B3" s="36"/>
      <c r="C3" s="170" t="s">
        <v>468</v>
      </c>
      <c r="D3" s="112"/>
      <c r="E3" s="115"/>
      <c r="J3" s="36"/>
    </row>
    <row r="4" spans="1:24">
      <c r="B4" s="169"/>
      <c r="C4" s="354" t="str">
        <f>'not used PROP0SED RATES-2018'!A4</f>
        <v>TWELVE MONTHS ENDED DECEMBER 31, 2016</v>
      </c>
      <c r="D4" s="169"/>
      <c r="E4" s="169"/>
      <c r="F4" s="169"/>
      <c r="G4" s="169"/>
      <c r="H4" s="169"/>
      <c r="I4" s="169"/>
      <c r="J4" s="169"/>
      <c r="K4" s="169"/>
      <c r="L4" s="169"/>
      <c r="M4" s="111"/>
      <c r="N4" s="111"/>
      <c r="O4" s="111"/>
    </row>
    <row r="5" spans="1:24">
      <c r="C5" s="44"/>
      <c r="D5" s="116"/>
      <c r="P5" s="144"/>
      <c r="Q5" s="144"/>
      <c r="R5" s="144"/>
      <c r="S5" s="144"/>
      <c r="T5" s="144"/>
      <c r="U5" s="144"/>
      <c r="V5" s="144"/>
      <c r="W5" s="144"/>
      <c r="X5" s="144"/>
    </row>
    <row r="6" spans="1:24">
      <c r="A6" s="44"/>
      <c r="C6" s="117"/>
      <c r="D6" s="116"/>
      <c r="E6" s="112"/>
      <c r="O6" s="144"/>
      <c r="P6" s="144"/>
      <c r="Q6" s="144"/>
      <c r="R6" s="144"/>
      <c r="S6" s="144"/>
      <c r="T6" s="144"/>
      <c r="U6" s="144"/>
      <c r="V6" s="144"/>
      <c r="W6" s="144"/>
      <c r="X6" s="144"/>
    </row>
    <row r="7" spans="1:24">
      <c r="A7" s="44"/>
      <c r="C7" s="117"/>
      <c r="D7" s="116"/>
      <c r="E7" s="112"/>
    </row>
    <row r="8" spans="1:24">
      <c r="A8" s="44"/>
      <c r="C8" s="116"/>
      <c r="D8" s="116"/>
      <c r="E8" s="199"/>
      <c r="F8" s="200"/>
      <c r="G8" s="200"/>
    </row>
    <row r="9" spans="1:24">
      <c r="A9" s="44" t="s">
        <v>138</v>
      </c>
      <c r="C9" s="44"/>
      <c r="D9" s="116"/>
      <c r="E9" s="44"/>
      <c r="J9" s="129" t="s">
        <v>169</v>
      </c>
      <c r="L9" s="52"/>
      <c r="M9" s="52"/>
      <c r="N9" s="52"/>
      <c r="O9" s="52"/>
    </row>
    <row r="10" spans="1:24">
      <c r="A10" s="46" t="s">
        <v>16</v>
      </c>
      <c r="C10" s="46" t="s">
        <v>73</v>
      </c>
      <c r="D10" s="116"/>
      <c r="E10" s="46" t="s">
        <v>158</v>
      </c>
      <c r="L10" s="52"/>
      <c r="M10" s="52"/>
      <c r="N10" s="52"/>
      <c r="O10" s="52"/>
    </row>
    <row r="11" spans="1:24">
      <c r="A11" s="44"/>
      <c r="C11" s="116"/>
      <c r="D11" s="116"/>
      <c r="E11" s="116"/>
      <c r="L11" s="52"/>
      <c r="M11" s="52"/>
      <c r="N11" s="52"/>
      <c r="O11" s="52"/>
    </row>
    <row r="12" spans="1:24">
      <c r="A12" s="37">
        <v>1</v>
      </c>
      <c r="C12" s="118" t="s">
        <v>159</v>
      </c>
      <c r="D12" s="116"/>
      <c r="E12" s="116">
        <v>1</v>
      </c>
      <c r="J12" s="119">
        <f>'Exh. No. BGM-4 2'!F23</f>
        <v>-530.23099999999999</v>
      </c>
      <c r="L12" s="52"/>
      <c r="M12" s="405"/>
      <c r="N12" s="52"/>
      <c r="O12" s="52"/>
    </row>
    <row r="13" spans="1:24">
      <c r="A13" s="37"/>
      <c r="C13" s="118"/>
      <c r="D13" s="116"/>
      <c r="E13" s="116"/>
      <c r="L13" s="52"/>
      <c r="M13" s="52"/>
      <c r="N13" s="52"/>
      <c r="O13" s="52"/>
    </row>
    <row r="14" spans="1:24">
      <c r="A14" s="37"/>
      <c r="C14" s="118" t="s">
        <v>160</v>
      </c>
      <c r="D14" s="116"/>
      <c r="E14" s="116"/>
      <c r="L14" s="52"/>
      <c r="M14" s="52"/>
      <c r="N14" s="52"/>
      <c r="O14" s="52"/>
    </row>
    <row r="15" spans="1:24">
      <c r="A15" s="37">
        <v>2</v>
      </c>
      <c r="B15" s="42"/>
      <c r="C15" s="116" t="s">
        <v>161</v>
      </c>
      <c r="D15" s="116"/>
      <c r="E15" s="512">
        <v>4.8267980101441661E-3</v>
      </c>
      <c r="J15" s="120">
        <f>ROUND($J$12*E15,0)</f>
        <v>-3</v>
      </c>
      <c r="L15" s="52"/>
      <c r="M15" s="123"/>
      <c r="N15" s="52"/>
      <c r="O15" s="52"/>
    </row>
    <row r="16" spans="1:24">
      <c r="A16" s="37"/>
      <c r="C16" s="116"/>
      <c r="D16" s="116"/>
      <c r="E16" s="512"/>
      <c r="L16" s="52"/>
      <c r="M16" s="52"/>
      <c r="N16" s="52"/>
      <c r="O16" s="52"/>
    </row>
    <row r="17" spans="1:15">
      <c r="A17" s="37">
        <v>3</v>
      </c>
      <c r="C17" s="116" t="s">
        <v>162</v>
      </c>
      <c r="D17" s="116"/>
      <c r="E17" s="513">
        <v>2E-3</v>
      </c>
      <c r="J17" s="120">
        <f>ROUND($J$12*E17,0)</f>
        <v>-1</v>
      </c>
      <c r="L17" s="52"/>
      <c r="M17" s="123"/>
      <c r="N17" s="52"/>
      <c r="O17" s="52"/>
    </row>
    <row r="18" spans="1:15">
      <c r="A18" s="37"/>
      <c r="C18" s="116"/>
      <c r="D18" s="116"/>
      <c r="E18" s="512"/>
      <c r="L18" s="52"/>
      <c r="M18" s="52"/>
      <c r="N18" s="52"/>
      <c r="O18" s="52"/>
    </row>
    <row r="19" spans="1:15">
      <c r="A19" s="37">
        <v>4</v>
      </c>
      <c r="C19" s="116" t="s">
        <v>163</v>
      </c>
      <c r="D19" s="116"/>
      <c r="E19" s="512">
        <v>3.8334071740649248E-2</v>
      </c>
      <c r="J19" s="120">
        <f>ROUND($J$12*E19,0)</f>
        <v>-20</v>
      </c>
      <c r="L19" s="52"/>
      <c r="M19" s="123"/>
      <c r="N19" s="52"/>
      <c r="O19" s="52"/>
    </row>
    <row r="20" spans="1:15">
      <c r="A20" s="37"/>
      <c r="C20" s="116"/>
      <c r="D20" s="116"/>
      <c r="E20" s="128"/>
      <c r="L20" s="52"/>
      <c r="M20" s="52"/>
      <c r="N20" s="52"/>
      <c r="O20" s="52"/>
    </row>
    <row r="21" spans="1:15">
      <c r="A21" s="37">
        <v>6</v>
      </c>
      <c r="C21" s="116" t="s">
        <v>164</v>
      </c>
      <c r="D21" s="116"/>
      <c r="E21" s="420">
        <f>SUM(E15:E19)</f>
        <v>4.5160869750793413E-2</v>
      </c>
      <c r="J21" s="122">
        <f>SUM(J15:J20)</f>
        <v>-24</v>
      </c>
      <c r="L21" s="52"/>
      <c r="M21" s="123"/>
      <c r="N21" s="52"/>
      <c r="O21" s="52"/>
    </row>
    <row r="22" spans="1:15">
      <c r="A22" s="37"/>
      <c r="C22" s="116"/>
      <c r="D22" s="116"/>
      <c r="E22" s="419"/>
      <c r="J22" s="123"/>
      <c r="L22" s="52"/>
      <c r="M22" s="123"/>
      <c r="N22" s="52"/>
      <c r="O22" s="52"/>
    </row>
    <row r="23" spans="1:15">
      <c r="A23" s="37">
        <v>7</v>
      </c>
      <c r="C23" s="116" t="s">
        <v>165</v>
      </c>
      <c r="D23" s="116"/>
      <c r="E23" s="419">
        <f>E12-E21</f>
        <v>0.95483913024920664</v>
      </c>
      <c r="J23" s="123">
        <f>J12-J21</f>
        <v>-506.23099999999999</v>
      </c>
      <c r="L23" s="52"/>
      <c r="M23" s="123"/>
      <c r="N23" s="52"/>
      <c r="O23" s="52"/>
    </row>
    <row r="24" spans="1:15">
      <c r="A24" s="37"/>
      <c r="C24" s="116"/>
      <c r="D24" s="116"/>
      <c r="E24" s="419"/>
      <c r="L24" s="52"/>
      <c r="M24" s="52"/>
      <c r="N24" s="52"/>
      <c r="O24" s="52"/>
    </row>
    <row r="25" spans="1:15">
      <c r="A25" s="37">
        <v>8</v>
      </c>
      <c r="C25" s="116" t="s">
        <v>166</v>
      </c>
      <c r="D25" s="124"/>
      <c r="E25" s="419">
        <f>E23*0.35</f>
        <v>0.33419369558722228</v>
      </c>
      <c r="J25" s="125">
        <f>ROUND(J23*0.35,0)</f>
        <v>-177</v>
      </c>
      <c r="L25" s="52"/>
      <c r="M25" s="123"/>
      <c r="N25" s="52"/>
      <c r="O25" s="52"/>
    </row>
    <row r="26" spans="1:15">
      <c r="C26" s="116"/>
      <c r="D26" s="116"/>
      <c r="E26" s="419"/>
      <c r="L26" s="52"/>
      <c r="M26" s="52"/>
      <c r="N26" s="52"/>
      <c r="O26" s="52"/>
    </row>
    <row r="27" spans="1:15" ht="13.5" thickBot="1">
      <c r="A27" s="37">
        <v>9</v>
      </c>
      <c r="C27" s="116" t="s">
        <v>167</v>
      </c>
      <c r="D27" s="116"/>
      <c r="E27" s="419">
        <f>ROUND(E23-E25,6)</f>
        <v>0.620645</v>
      </c>
      <c r="J27" s="126">
        <f>J23-J25</f>
        <v>-329.23099999999999</v>
      </c>
      <c r="L27" s="52"/>
      <c r="M27" s="406"/>
      <c r="N27" s="52"/>
      <c r="O27" s="52"/>
    </row>
    <row r="28" spans="1:15" ht="13.5" customHeight="1" thickTop="1">
      <c r="C28" s="116"/>
      <c r="D28" s="116"/>
      <c r="F28" s="789"/>
      <c r="G28" s="789"/>
      <c r="H28" s="789"/>
      <c r="L28" s="52"/>
      <c r="M28" s="52"/>
      <c r="N28" s="52"/>
      <c r="O28" s="52"/>
    </row>
    <row r="29" spans="1:15">
      <c r="C29" s="627"/>
      <c r="D29" s="116"/>
      <c r="F29" s="789"/>
      <c r="G29" s="789"/>
      <c r="H29" s="789"/>
      <c r="J29" s="120">
        <f>J27/E27</f>
        <v>-530.46588629570851</v>
      </c>
      <c r="K29" s="36" t="s">
        <v>453</v>
      </c>
      <c r="L29" s="52"/>
      <c r="M29" s="52"/>
      <c r="N29" s="52"/>
      <c r="O29" s="52"/>
    </row>
    <row r="30" spans="1:15">
      <c r="C30" s="116"/>
      <c r="D30" s="116"/>
      <c r="F30" s="789"/>
      <c r="G30" s="789"/>
      <c r="H30" s="789"/>
      <c r="J30" s="64">
        <f>J29-'Exh. No. BGM-4 2'!F23</f>
        <v>-0.23488629570852027</v>
      </c>
      <c r="K30" s="36" t="s">
        <v>86</v>
      </c>
      <c r="L30" s="52"/>
      <c r="M30" s="52"/>
      <c r="N30" s="52"/>
      <c r="O30" s="52"/>
    </row>
    <row r="31" spans="1:15">
      <c r="C31" s="116"/>
      <c r="D31" s="116"/>
      <c r="L31" s="52"/>
      <c r="M31" s="52"/>
      <c r="N31" s="52"/>
      <c r="O31" s="52"/>
    </row>
    <row r="32" spans="1:15">
      <c r="C32" s="116"/>
      <c r="D32" s="116"/>
      <c r="L32" s="52"/>
      <c r="M32" s="52"/>
      <c r="N32" s="52"/>
      <c r="O32" s="52"/>
    </row>
    <row r="33" spans="3:15">
      <c r="C33" s="116"/>
      <c r="D33" s="116"/>
      <c r="L33" s="52"/>
      <c r="M33" s="52"/>
      <c r="N33" s="52"/>
      <c r="O33" s="52"/>
    </row>
    <row r="34" spans="3:15">
      <c r="C34" s="116"/>
      <c r="D34" s="116"/>
      <c r="L34" s="52"/>
      <c r="M34" s="52"/>
      <c r="N34" s="52"/>
      <c r="O34" s="52"/>
    </row>
    <row r="35" spans="3:15">
      <c r="C35" s="116"/>
      <c r="D35" s="116"/>
    </row>
    <row r="36" spans="3:15">
      <c r="C36" s="116"/>
      <c r="D36" s="116"/>
    </row>
    <row r="37" spans="3:15">
      <c r="C37" s="116"/>
      <c r="D37" s="116"/>
    </row>
    <row r="38" spans="3:15">
      <c r="C38" s="121"/>
      <c r="D38" s="116"/>
    </row>
    <row r="39" spans="3:15">
      <c r="C39" s="116"/>
      <c r="D39" s="116"/>
    </row>
    <row r="40" spans="3:15">
      <c r="C40" s="116"/>
      <c r="D40" s="116"/>
    </row>
    <row r="41" spans="3:15">
      <c r="C41" s="116"/>
      <c r="D41" s="116"/>
    </row>
    <row r="42" spans="3:15">
      <c r="C42" s="116"/>
      <c r="D42" s="116"/>
    </row>
    <row r="43" spans="3:15">
      <c r="C43" s="116"/>
      <c r="D43" s="116"/>
    </row>
    <row r="44" spans="3:15">
      <c r="C44" s="116"/>
    </row>
    <row r="45" spans="3:15">
      <c r="C45" s="116"/>
    </row>
    <row r="46" spans="3:15">
      <c r="C46" s="116"/>
      <c r="D46" s="116"/>
    </row>
    <row r="47" spans="3:15">
      <c r="C47" s="116"/>
      <c r="D47" s="116"/>
    </row>
    <row r="48" spans="3:15">
      <c r="C48" s="116"/>
      <c r="D48" s="116"/>
    </row>
    <row r="49" spans="3:4">
      <c r="C49" s="116"/>
      <c r="D49" s="116"/>
    </row>
    <row r="50" spans="3:4">
      <c r="C50" s="116"/>
      <c r="D50" s="116"/>
    </row>
    <row r="51" spans="3:4">
      <c r="C51" s="116"/>
      <c r="D51" s="116"/>
    </row>
    <row r="52" spans="3:4">
      <c r="C52" s="116"/>
      <c r="D52" s="116"/>
    </row>
    <row r="53" spans="3:4">
      <c r="D53" s="116"/>
    </row>
    <row r="54" spans="3:4">
      <c r="C54" s="116"/>
      <c r="D54" s="116"/>
    </row>
    <row r="55" spans="3:4">
      <c r="C55" s="116"/>
      <c r="D55" s="116"/>
    </row>
    <row r="82" spans="17:17">
      <c r="Q82" s="36">
        <f>Q88</f>
        <v>0</v>
      </c>
    </row>
  </sheetData>
  <mergeCells count="1">
    <mergeCell ref="F28:H30"/>
  </mergeCells>
  <phoneticPr fontId="0" type="noConversion"/>
  <pageMargins left="0.75" right="0.5" top="0.72" bottom="0.84" header="0.5" footer="0.5"/>
  <pageSetup scale="10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676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101"/>
  <sheetViews>
    <sheetView zoomScaleNormal="100" zoomScaleSheetLayoutView="100" workbookViewId="0">
      <pane xSplit="4" ySplit="12" topLeftCell="E13" activePane="bottomRight" state="frozen"/>
      <selection activeCell="Y53" sqref="Y53"/>
      <selection pane="topRight" activeCell="Y53" sqref="Y53"/>
      <selection pane="bottomLeft" activeCell="Y53" sqref="Y53"/>
      <selection pane="bottomRight" activeCell="E13" sqref="E13"/>
    </sheetView>
  </sheetViews>
  <sheetFormatPr defaultColWidth="10.7109375" defaultRowHeight="12"/>
  <cols>
    <col min="1" max="1" width="5.7109375" style="196" customWidth="1"/>
    <col min="2" max="3" width="1.7109375" style="1" customWidth="1"/>
    <col min="4" max="4" width="34.42578125" style="1" customWidth="1"/>
    <col min="5" max="5" width="10.5703125" style="73" customWidth="1"/>
    <col min="6" max="7" width="10.7109375" style="73" customWidth="1"/>
    <col min="8" max="8" width="7.5703125" style="73" bestFit="1" customWidth="1"/>
    <col min="9" max="9" width="8.85546875" style="73" bestFit="1" customWidth="1"/>
    <col min="10" max="10" width="7.42578125" style="73" bestFit="1" customWidth="1"/>
    <col min="11" max="11" width="10.85546875" style="73" bestFit="1" customWidth="1"/>
    <col min="12" max="12" width="9.28515625" style="73" bestFit="1" customWidth="1"/>
    <col min="13" max="13" width="7.85546875" style="73" bestFit="1" customWidth="1"/>
    <col min="14" max="14" width="7.140625" style="73" bestFit="1" customWidth="1"/>
    <col min="15" max="15" width="10.5703125" style="73" bestFit="1" customWidth="1"/>
    <col min="16" max="16" width="7.42578125" style="73" customWidth="1"/>
    <col min="17" max="17" width="8.140625" style="73" bestFit="1" customWidth="1"/>
    <col min="18" max="18" width="13.42578125" style="73" customWidth="1"/>
    <col min="19" max="19" width="9.85546875" style="73" bestFit="1" customWidth="1"/>
    <col min="20" max="20" width="16.5703125" style="73" customWidth="1"/>
    <col min="21" max="21" width="9.140625" style="429" customWidth="1"/>
    <col min="22" max="22" width="8.5703125" style="429" bestFit="1" customWidth="1"/>
    <col min="23" max="23" width="8.140625" style="73" customWidth="1"/>
    <col min="24" max="24" width="8.5703125" style="429" bestFit="1" customWidth="1"/>
    <col min="25" max="25" width="16.7109375" style="430" customWidth="1"/>
    <col min="26" max="27" width="10" style="429" customWidth="1"/>
    <col min="28" max="28" width="12.5703125" style="429" customWidth="1"/>
    <col min="29" max="29" width="10" style="429" customWidth="1"/>
    <col min="30" max="30" width="12.140625" style="73" customWidth="1"/>
    <col min="31" max="31" width="11.28515625" style="73" customWidth="1"/>
    <col min="32" max="32" width="13.85546875" style="73" customWidth="1"/>
    <col min="33" max="33" width="14.7109375" style="430" customWidth="1"/>
    <col min="34" max="34" width="14.5703125" style="430" customWidth="1"/>
    <col min="35" max="35" width="8.85546875" style="73" bestFit="1" customWidth="1"/>
    <col min="36" max="36" width="11" style="73" bestFit="1" customWidth="1"/>
    <col min="37" max="37" width="11.42578125" style="430" bestFit="1" customWidth="1"/>
    <col min="38" max="38" width="12.7109375" style="429" customWidth="1"/>
    <col min="39" max="16384" width="10.7109375" style="1"/>
  </cols>
  <sheetData>
    <row r="1" spans="1:38"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38" ht="12.75" customHeight="1">
      <c r="A2" s="43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53"/>
      <c r="S2" s="553"/>
      <c r="T2" s="553"/>
      <c r="U2" s="553"/>
      <c r="V2" s="553"/>
      <c r="W2" s="553"/>
      <c r="AA2" s="553"/>
      <c r="AC2" s="553"/>
      <c r="AD2" s="553"/>
      <c r="AE2" s="553"/>
      <c r="AF2" s="553"/>
      <c r="AG2" s="432"/>
      <c r="AI2" s="553"/>
      <c r="AJ2" s="553"/>
      <c r="AK2" s="432"/>
    </row>
    <row r="3" spans="1:38" ht="12.75" customHeight="1">
      <c r="A3" s="431" t="s">
        <v>545</v>
      </c>
      <c r="E3" s="720" t="s">
        <v>543</v>
      </c>
      <c r="F3" s="574" t="s">
        <v>486</v>
      </c>
      <c r="J3" s="432"/>
      <c r="Q3" s="432"/>
      <c r="R3" s="553"/>
      <c r="S3" s="553"/>
      <c r="T3" s="553"/>
      <c r="U3" s="553"/>
      <c r="V3" s="553"/>
      <c r="W3" s="432"/>
      <c r="Y3" s="574" t="s">
        <v>487</v>
      </c>
      <c r="AA3" s="553"/>
      <c r="AB3" s="432"/>
      <c r="AC3" s="432"/>
      <c r="AD3" s="432"/>
      <c r="AE3" s="553"/>
      <c r="AF3" s="553"/>
      <c r="AH3" s="643"/>
      <c r="AI3" s="553"/>
      <c r="AJ3" s="553"/>
    </row>
    <row r="4" spans="1:38" ht="12.75" customHeight="1">
      <c r="A4" s="721" t="s">
        <v>551</v>
      </c>
      <c r="E4" s="720" t="s">
        <v>544</v>
      </c>
      <c r="F4" s="429"/>
      <c r="G4" s="429"/>
      <c r="H4" s="429"/>
      <c r="I4" s="429"/>
      <c r="J4" s="640"/>
      <c r="K4" s="429"/>
      <c r="L4" s="429"/>
      <c r="M4" s="429"/>
      <c r="N4" s="429"/>
      <c r="O4" s="429"/>
      <c r="P4" s="429"/>
      <c r="Q4" s="640"/>
      <c r="R4" s="553"/>
      <c r="S4" s="553"/>
      <c r="T4" s="553"/>
      <c r="U4" s="476"/>
      <c r="V4" s="476"/>
      <c r="W4" s="640"/>
      <c r="Z4" s="666"/>
      <c r="AA4" s="553"/>
      <c r="AB4" s="666"/>
      <c r="AC4" s="640"/>
      <c r="AD4" s="640"/>
      <c r="AE4" s="553"/>
      <c r="AF4" s="553"/>
      <c r="AH4" s="643"/>
      <c r="AI4" s="553"/>
      <c r="AJ4" s="553"/>
    </row>
    <row r="5" spans="1:38" s="435" customFormat="1" ht="12" customHeight="1">
      <c r="A5" s="431" t="str">
        <f>'ROO INPUT'!A5:C5</f>
        <v>TWELVE MONTHS ENDED DECEMBER 31, 2016</v>
      </c>
      <c r="B5" s="196"/>
      <c r="C5" s="196"/>
      <c r="D5" s="196"/>
      <c r="E5" s="666"/>
      <c r="F5" s="433"/>
      <c r="G5" s="433"/>
      <c r="H5" s="433"/>
      <c r="I5" s="433"/>
      <c r="J5" s="640"/>
      <c r="K5" s="73"/>
      <c r="L5" s="433"/>
      <c r="M5" s="433"/>
      <c r="N5" s="433"/>
      <c r="O5" s="433"/>
      <c r="P5" s="433"/>
      <c r="Q5" s="640"/>
      <c r="R5" s="640"/>
      <c r="S5" s="560"/>
      <c r="T5" s="666"/>
      <c r="U5" s="667"/>
      <c r="V5" s="667"/>
      <c r="W5" s="666"/>
      <c r="X5" s="433"/>
      <c r="Y5" s="666"/>
      <c r="Z5" s="433"/>
      <c r="AA5" s="666"/>
      <c r="AB5" s="640"/>
      <c r="AC5" s="666"/>
      <c r="AD5" s="640"/>
      <c r="AE5" s="666"/>
      <c r="AF5" s="666"/>
      <c r="AG5" s="666"/>
      <c r="AH5" s="666"/>
      <c r="AI5" s="666"/>
      <c r="AJ5" s="666"/>
      <c r="AK5" s="666"/>
      <c r="AL5" s="433"/>
    </row>
    <row r="6" spans="1:38" ht="12.75" customHeight="1">
      <c r="A6" s="431" t="str">
        <f>'ROO INPUT'!A6:C6</f>
        <v xml:space="preserve">(000'S OF DOLLARS)   </v>
      </c>
      <c r="E6" s="434"/>
      <c r="J6" s="641"/>
      <c r="Q6" s="641"/>
      <c r="U6" s="667"/>
      <c r="V6" s="667"/>
      <c r="W6" s="641"/>
      <c r="Y6" s="598"/>
      <c r="Z6" s="598"/>
      <c r="AA6" s="644"/>
      <c r="AB6" s="598"/>
      <c r="AC6" s="669"/>
      <c r="AD6" s="598"/>
      <c r="AE6" s="598"/>
      <c r="AG6" s="598"/>
      <c r="AH6" s="643"/>
      <c r="AJ6" s="598"/>
      <c r="AK6" s="598"/>
      <c r="AL6" s="432"/>
    </row>
    <row r="7" spans="1:38" s="438" customFormat="1" ht="13.5" customHeight="1">
      <c r="A7" s="437"/>
      <c r="D7" s="639"/>
      <c r="E7" s="639"/>
      <c r="F7" s="434"/>
      <c r="G7" s="434"/>
      <c r="H7" s="434"/>
      <c r="I7" s="434"/>
      <c r="J7" s="642"/>
      <c r="K7" s="434"/>
      <c r="L7" s="434"/>
      <c r="M7" s="434"/>
      <c r="N7" s="434"/>
      <c r="O7" s="434"/>
      <c r="P7" s="434"/>
      <c r="Q7" s="642"/>
      <c r="R7" s="434"/>
      <c r="S7" s="434"/>
      <c r="T7" s="434"/>
      <c r="U7" s="668"/>
      <c r="V7" s="668"/>
      <c r="W7" s="642"/>
      <c r="X7" s="434"/>
      <c r="Y7" s="434"/>
      <c r="Z7" s="785" t="s">
        <v>596</v>
      </c>
      <c r="AA7" s="598"/>
      <c r="AB7" s="598"/>
      <c r="AC7" s="645"/>
      <c r="AD7" s="645"/>
      <c r="AE7" s="610"/>
      <c r="AF7" s="434"/>
      <c r="AG7" s="432"/>
      <c r="AH7" s="785" t="s">
        <v>596</v>
      </c>
      <c r="AI7" s="434"/>
      <c r="AJ7" s="785" t="s">
        <v>596</v>
      </c>
      <c r="AK7" s="432"/>
      <c r="AL7" s="432"/>
    </row>
    <row r="8" spans="1:38" s="438" customFormat="1" ht="12" customHeight="1">
      <c r="A8" s="439"/>
      <c r="B8" s="440"/>
      <c r="C8" s="441"/>
      <c r="D8" s="442"/>
      <c r="E8" s="443" t="s">
        <v>0</v>
      </c>
      <c r="F8" s="444" t="s">
        <v>1</v>
      </c>
      <c r="G8" s="444" t="s">
        <v>528</v>
      </c>
      <c r="H8" s="444" t="s">
        <v>457</v>
      </c>
      <c r="I8" s="444" t="s">
        <v>2</v>
      </c>
      <c r="J8" s="444" t="s">
        <v>5</v>
      </c>
      <c r="K8" s="444" t="s">
        <v>116</v>
      </c>
      <c r="L8" s="444" t="s">
        <v>3</v>
      </c>
      <c r="M8" s="444" t="s">
        <v>4</v>
      </c>
      <c r="N8" s="444" t="s">
        <v>450</v>
      </c>
      <c r="O8" s="444" t="s">
        <v>6</v>
      </c>
      <c r="P8" s="444" t="s">
        <v>5</v>
      </c>
      <c r="Q8" s="444" t="s">
        <v>136</v>
      </c>
      <c r="R8" s="444" t="s">
        <v>470</v>
      </c>
      <c r="S8" s="518" t="s">
        <v>472</v>
      </c>
      <c r="T8" s="518" t="s">
        <v>536</v>
      </c>
      <c r="U8" s="444" t="s">
        <v>494</v>
      </c>
      <c r="V8" s="444" t="s">
        <v>174</v>
      </c>
      <c r="W8" s="518" t="s">
        <v>5</v>
      </c>
      <c r="X8" s="423" t="s">
        <v>463</v>
      </c>
      <c r="Y8" s="444" t="s">
        <v>462</v>
      </c>
      <c r="Z8" s="444" t="s">
        <v>15</v>
      </c>
      <c r="AA8" s="444" t="s">
        <v>15</v>
      </c>
      <c r="AB8" s="444" t="s">
        <v>15</v>
      </c>
      <c r="AC8" s="444" t="s">
        <v>15</v>
      </c>
      <c r="AD8" s="444" t="s">
        <v>15</v>
      </c>
      <c r="AE8" s="444" t="s">
        <v>15</v>
      </c>
      <c r="AF8" s="444" t="s">
        <v>15</v>
      </c>
      <c r="AG8" s="444" t="s">
        <v>15</v>
      </c>
      <c r="AH8" s="423" t="s">
        <v>462</v>
      </c>
      <c r="AI8" s="444" t="s">
        <v>15</v>
      </c>
      <c r="AJ8" s="444" t="s">
        <v>15</v>
      </c>
      <c r="AK8" s="444" t="s">
        <v>15</v>
      </c>
      <c r="AL8" s="646" t="s">
        <v>462</v>
      </c>
    </row>
    <row r="9" spans="1:38" s="438" customFormat="1">
      <c r="A9" s="445" t="s">
        <v>7</v>
      </c>
      <c r="B9" s="446"/>
      <c r="C9" s="447"/>
      <c r="D9" s="448"/>
      <c r="E9" s="570" t="s">
        <v>8</v>
      </c>
      <c r="F9" s="449" t="s">
        <v>9</v>
      </c>
      <c r="G9" s="449" t="s">
        <v>529</v>
      </c>
      <c r="H9" s="449" t="s">
        <v>139</v>
      </c>
      <c r="I9" s="449" t="s">
        <v>10</v>
      </c>
      <c r="J9" s="449" t="s">
        <v>11</v>
      </c>
      <c r="K9" s="449" t="s">
        <v>12</v>
      </c>
      <c r="L9" s="449" t="s">
        <v>12</v>
      </c>
      <c r="M9" s="449" t="s">
        <v>532</v>
      </c>
      <c r="N9" s="449" t="s">
        <v>451</v>
      </c>
      <c r="O9" s="449" t="s">
        <v>14</v>
      </c>
      <c r="P9" s="449" t="s">
        <v>137</v>
      </c>
      <c r="Q9" s="449" t="s">
        <v>530</v>
      </c>
      <c r="R9" s="449" t="s">
        <v>471</v>
      </c>
      <c r="S9" s="519" t="s">
        <v>473</v>
      </c>
      <c r="T9" s="519" t="s">
        <v>537</v>
      </c>
      <c r="U9" s="659" t="s">
        <v>495</v>
      </c>
      <c r="V9" s="659" t="s">
        <v>527</v>
      </c>
      <c r="W9" s="519" t="s">
        <v>13</v>
      </c>
      <c r="X9" s="508" t="s">
        <v>230</v>
      </c>
      <c r="Y9" s="726" t="s">
        <v>548</v>
      </c>
      <c r="Z9" s="659" t="s">
        <v>132</v>
      </c>
      <c r="AA9" s="659" t="s">
        <v>132</v>
      </c>
      <c r="AB9" s="659" t="s">
        <v>541</v>
      </c>
      <c r="AC9" s="659" t="s">
        <v>196</v>
      </c>
      <c r="AD9" s="449" t="s">
        <v>11</v>
      </c>
      <c r="AE9" s="450" t="s">
        <v>539</v>
      </c>
      <c r="AF9" s="449" t="s">
        <v>469</v>
      </c>
      <c r="AG9" s="449" t="s">
        <v>3</v>
      </c>
      <c r="AH9" s="613" t="s">
        <v>540</v>
      </c>
      <c r="AI9" s="449" t="s">
        <v>448</v>
      </c>
      <c r="AJ9" s="450" t="s">
        <v>533</v>
      </c>
      <c r="AK9" s="449" t="s">
        <v>516</v>
      </c>
      <c r="AL9" s="647" t="s">
        <v>26</v>
      </c>
    </row>
    <row r="10" spans="1:38" s="438" customFormat="1">
      <c r="A10" s="451" t="s">
        <v>16</v>
      </c>
      <c r="B10" s="452"/>
      <c r="C10" s="453"/>
      <c r="D10" s="454" t="s">
        <v>17</v>
      </c>
      <c r="E10" s="571" t="s">
        <v>18</v>
      </c>
      <c r="F10" s="455" t="s">
        <v>19</v>
      </c>
      <c r="G10" s="455" t="s">
        <v>258</v>
      </c>
      <c r="H10" s="455"/>
      <c r="I10" s="455" t="s">
        <v>21</v>
      </c>
      <c r="J10" s="455" t="s">
        <v>22</v>
      </c>
      <c r="K10" s="455"/>
      <c r="L10" s="455"/>
      <c r="M10" s="455" t="s">
        <v>23</v>
      </c>
      <c r="N10" s="455" t="s">
        <v>12</v>
      </c>
      <c r="O10" s="455" t="s">
        <v>25</v>
      </c>
      <c r="P10" s="455" t="s">
        <v>21</v>
      </c>
      <c r="Q10" s="455" t="s">
        <v>531</v>
      </c>
      <c r="R10" s="455" t="s">
        <v>117</v>
      </c>
      <c r="S10" s="520" t="s">
        <v>474</v>
      </c>
      <c r="T10" s="520" t="s">
        <v>538</v>
      </c>
      <c r="U10" s="660" t="s">
        <v>496</v>
      </c>
      <c r="V10" s="660"/>
      <c r="W10" s="520" t="s">
        <v>24</v>
      </c>
      <c r="X10" s="456"/>
      <c r="Y10" s="455" t="s">
        <v>547</v>
      </c>
      <c r="Z10" s="660" t="s">
        <v>133</v>
      </c>
      <c r="AA10" s="660" t="s">
        <v>134</v>
      </c>
      <c r="AB10" s="660" t="s">
        <v>173</v>
      </c>
      <c r="AC10" s="660" t="s">
        <v>20</v>
      </c>
      <c r="AD10" s="455" t="s">
        <v>22</v>
      </c>
      <c r="AE10" s="455" t="s">
        <v>12</v>
      </c>
      <c r="AF10" s="455" t="s">
        <v>465</v>
      </c>
      <c r="AG10" s="455" t="s">
        <v>478</v>
      </c>
      <c r="AH10" s="614" t="s">
        <v>489</v>
      </c>
      <c r="AI10" s="455" t="s">
        <v>449</v>
      </c>
      <c r="AJ10" s="455" t="s">
        <v>534</v>
      </c>
      <c r="AK10" s="455" t="s">
        <v>517</v>
      </c>
      <c r="AL10" s="648"/>
    </row>
    <row r="11" spans="1:38" s="438" customFormat="1">
      <c r="A11" s="437"/>
      <c r="B11" s="457" t="s">
        <v>201</v>
      </c>
      <c r="E11" s="521">
        <v>1</v>
      </c>
      <c r="F11" s="521">
        <f>E11+0.01</f>
        <v>1.01</v>
      </c>
      <c r="G11" s="521">
        <f t="shared" ref="G11" si="0">F11+0.01</f>
        <v>1.02</v>
      </c>
      <c r="H11" s="521">
        <f>G11+0.01</f>
        <v>1.03</v>
      </c>
      <c r="I11" s="521">
        <v>2.0099999999999998</v>
      </c>
      <c r="J11" s="521">
        <f>I11+0.01</f>
        <v>2.0199999999999996</v>
      </c>
      <c r="K11" s="521">
        <f t="shared" ref="K11:R11" si="1">J11+0.01</f>
        <v>2.0299999999999994</v>
      </c>
      <c r="L11" s="521">
        <f t="shared" si="1"/>
        <v>2.0399999999999991</v>
      </c>
      <c r="M11" s="521">
        <f t="shared" si="1"/>
        <v>2.0499999999999989</v>
      </c>
      <c r="N11" s="521">
        <f t="shared" si="1"/>
        <v>2.0599999999999987</v>
      </c>
      <c r="O11" s="521">
        <f t="shared" si="1"/>
        <v>2.0699999999999985</v>
      </c>
      <c r="P11" s="521">
        <f t="shared" si="1"/>
        <v>2.0799999999999983</v>
      </c>
      <c r="Q11" s="521">
        <f t="shared" si="1"/>
        <v>2.0899999999999981</v>
      </c>
      <c r="R11" s="458">
        <f t="shared" si="1"/>
        <v>2.0999999999999979</v>
      </c>
      <c r="S11" s="458">
        <f t="shared" ref="S11" si="2">R11+0.01</f>
        <v>2.1099999999999977</v>
      </c>
      <c r="T11" s="458">
        <f t="shared" ref="T11" si="3">S11+0.01</f>
        <v>2.1199999999999974</v>
      </c>
      <c r="U11" s="458">
        <f t="shared" ref="U11:W11" si="4">T11+0.01</f>
        <v>2.1299999999999972</v>
      </c>
      <c r="V11" s="458">
        <f t="shared" si="4"/>
        <v>2.139999999999997</v>
      </c>
      <c r="W11" s="458">
        <f t="shared" si="4"/>
        <v>2.1499999999999968</v>
      </c>
      <c r="X11" s="434"/>
      <c r="Y11" s="458">
        <v>3.01</v>
      </c>
      <c r="Z11" s="458">
        <f>Y11+0.01</f>
        <v>3.0199999999999996</v>
      </c>
      <c r="AA11" s="458">
        <f t="shared" ref="AA11:AH11" si="5">Z11+0.01</f>
        <v>3.0299999999999994</v>
      </c>
      <c r="AB11" s="458">
        <f t="shared" si="5"/>
        <v>3.0399999999999991</v>
      </c>
      <c r="AC11" s="458">
        <f t="shared" ref="AC11:AD11" si="6">AB11+0.01</f>
        <v>3.0499999999999989</v>
      </c>
      <c r="AD11" s="458">
        <f t="shared" si="6"/>
        <v>3.0599999999999987</v>
      </c>
      <c r="AE11" s="458">
        <f t="shared" si="5"/>
        <v>3.0699999999999985</v>
      </c>
      <c r="AF11" s="458">
        <f t="shared" si="5"/>
        <v>3.0799999999999983</v>
      </c>
      <c r="AG11" s="458">
        <f t="shared" si="5"/>
        <v>3.0899999999999981</v>
      </c>
      <c r="AH11" s="458">
        <f t="shared" si="5"/>
        <v>3.0999999999999979</v>
      </c>
      <c r="AI11" s="458">
        <f t="shared" ref="AI11" si="7">AH11+0.01</f>
        <v>3.1099999999999977</v>
      </c>
      <c r="AJ11" s="458">
        <f t="shared" ref="AJ11" si="8">AI11+0.01</f>
        <v>3.1199999999999974</v>
      </c>
      <c r="AK11" s="458">
        <f t="shared" ref="AK11" si="9">AJ11+0.01</f>
        <v>3.1299999999999972</v>
      </c>
      <c r="AL11" s="575"/>
    </row>
    <row r="12" spans="1:38" s="438" customFormat="1" ht="13.5" customHeight="1">
      <c r="A12" s="437"/>
      <c r="B12" s="457" t="s">
        <v>202</v>
      </c>
      <c r="E12" s="434" t="s">
        <v>203</v>
      </c>
      <c r="F12" s="434" t="s">
        <v>204</v>
      </c>
      <c r="G12" s="434" t="s">
        <v>205</v>
      </c>
      <c r="H12" s="434" t="s">
        <v>458</v>
      </c>
      <c r="I12" s="434" t="s">
        <v>206</v>
      </c>
      <c r="J12" s="434" t="s">
        <v>455</v>
      </c>
      <c r="K12" s="434" t="s">
        <v>207</v>
      </c>
      <c r="L12" s="434" t="s">
        <v>208</v>
      </c>
      <c r="M12" s="434" t="s">
        <v>209</v>
      </c>
      <c r="N12" s="434" t="s">
        <v>210</v>
      </c>
      <c r="O12" s="434" t="s">
        <v>212</v>
      </c>
      <c r="P12" s="434" t="s">
        <v>446</v>
      </c>
      <c r="Q12" s="434" t="s">
        <v>211</v>
      </c>
      <c r="R12" s="434" t="s">
        <v>498</v>
      </c>
      <c r="S12" s="434" t="s">
        <v>475</v>
      </c>
      <c r="T12" s="434" t="s">
        <v>213</v>
      </c>
      <c r="U12" s="432" t="s">
        <v>497</v>
      </c>
      <c r="V12" s="432" t="s">
        <v>214</v>
      </c>
      <c r="W12" s="432" t="s">
        <v>215</v>
      </c>
      <c r="X12" s="434" t="s">
        <v>447</v>
      </c>
      <c r="Y12" s="432" t="s">
        <v>492</v>
      </c>
      <c r="Z12" s="434" t="s">
        <v>216</v>
      </c>
      <c r="AA12" s="434" t="s">
        <v>217</v>
      </c>
      <c r="AB12" s="434" t="s">
        <v>218</v>
      </c>
      <c r="AC12" s="434" t="s">
        <v>546</v>
      </c>
      <c r="AD12" s="434" t="s">
        <v>456</v>
      </c>
      <c r="AE12" s="434" t="s">
        <v>515</v>
      </c>
      <c r="AF12" s="434" t="s">
        <v>477</v>
      </c>
      <c r="AG12" s="432" t="s">
        <v>491</v>
      </c>
      <c r="AH12" s="436" t="s">
        <v>488</v>
      </c>
      <c r="AI12" s="434" t="s">
        <v>490</v>
      </c>
      <c r="AJ12" s="434" t="s">
        <v>535</v>
      </c>
      <c r="AK12" s="432" t="s">
        <v>520</v>
      </c>
      <c r="AL12" s="575" t="s">
        <v>552</v>
      </c>
    </row>
    <row r="13" spans="1:38" ht="6" customHeight="1">
      <c r="U13" s="73"/>
      <c r="V13" s="73"/>
      <c r="W13" s="430"/>
      <c r="Z13" s="73"/>
      <c r="AA13" s="73"/>
      <c r="AB13" s="73"/>
      <c r="AC13" s="73"/>
      <c r="AH13" s="459"/>
      <c r="AL13" s="576"/>
    </row>
    <row r="14" spans="1:38">
      <c r="B14" s="1" t="s">
        <v>33</v>
      </c>
      <c r="U14" s="73"/>
      <c r="V14" s="73"/>
      <c r="W14" s="430"/>
      <c r="Z14" s="73"/>
      <c r="AA14" s="73"/>
      <c r="AB14" s="73"/>
      <c r="AC14" s="73"/>
      <c r="AH14" s="459"/>
      <c r="AL14" s="576"/>
    </row>
    <row r="15" spans="1:38" s="3" customFormat="1">
      <c r="A15" s="196">
        <v>1</v>
      </c>
      <c r="B15" s="3" t="s">
        <v>34</v>
      </c>
      <c r="E15" s="572">
        <f>'ROO INPUT'!$F15</f>
        <v>146098</v>
      </c>
      <c r="F15" s="516">
        <v>0</v>
      </c>
      <c r="G15" s="516">
        <v>0</v>
      </c>
      <c r="H15" s="516">
        <v>0</v>
      </c>
      <c r="I15" s="516">
        <v>-5097</v>
      </c>
      <c r="J15" s="516">
        <v>0</v>
      </c>
      <c r="K15" s="516">
        <v>0</v>
      </c>
      <c r="L15" s="516">
        <v>0</v>
      </c>
      <c r="M15" s="516">
        <v>0</v>
      </c>
      <c r="N15" s="516">
        <v>0</v>
      </c>
      <c r="O15" s="516">
        <v>0</v>
      </c>
      <c r="P15" s="516">
        <v>0</v>
      </c>
      <c r="Q15" s="516">
        <v>0</v>
      </c>
      <c r="R15" s="516">
        <v>11209</v>
      </c>
      <c r="S15" s="516">
        <v>-1240</v>
      </c>
      <c r="T15" s="516">
        <v>0</v>
      </c>
      <c r="U15" s="516">
        <v>0</v>
      </c>
      <c r="V15" s="516">
        <v>0</v>
      </c>
      <c r="W15" s="516">
        <v>0</v>
      </c>
      <c r="X15" s="460">
        <f>SUM(E15:W15)</f>
        <v>150970</v>
      </c>
      <c r="Y15" s="516">
        <v>0</v>
      </c>
      <c r="Z15" s="516">
        <v>0</v>
      </c>
      <c r="AA15" s="516">
        <v>0</v>
      </c>
      <c r="AB15" s="516">
        <v>0</v>
      </c>
      <c r="AC15" s="516">
        <v>0</v>
      </c>
      <c r="AD15" s="516">
        <v>0</v>
      </c>
      <c r="AE15" s="516">
        <v>0</v>
      </c>
      <c r="AF15" s="516">
        <v>-66671</v>
      </c>
      <c r="AG15" s="516">
        <v>0</v>
      </c>
      <c r="AH15" s="603">
        <v>0</v>
      </c>
      <c r="AI15" s="516">
        <v>0</v>
      </c>
      <c r="AJ15" s="516">
        <v>0</v>
      </c>
      <c r="AK15" s="516">
        <v>0</v>
      </c>
      <c r="AL15" s="577">
        <f>SUM(X15:AK15)</f>
        <v>84299</v>
      </c>
    </row>
    <row r="16" spans="1:38">
      <c r="A16" s="196">
        <v>2</v>
      </c>
      <c r="B16" s="4" t="s">
        <v>35</v>
      </c>
      <c r="D16" s="4"/>
      <c r="E16" s="344">
        <f>'ROO INPUT'!$F16</f>
        <v>4595</v>
      </c>
      <c r="F16" s="517">
        <v>0</v>
      </c>
      <c r="G16" s="517">
        <v>0</v>
      </c>
      <c r="H16" s="517">
        <v>0</v>
      </c>
      <c r="I16" s="517">
        <v>-118</v>
      </c>
      <c r="J16" s="517">
        <v>0</v>
      </c>
      <c r="K16" s="517">
        <v>0</v>
      </c>
      <c r="L16" s="517">
        <v>0</v>
      </c>
      <c r="M16" s="517">
        <v>0</v>
      </c>
      <c r="N16" s="517">
        <v>0</v>
      </c>
      <c r="O16" s="517">
        <v>0</v>
      </c>
      <c r="P16" s="517">
        <v>0</v>
      </c>
      <c r="Q16" s="517">
        <v>0</v>
      </c>
      <c r="R16" s="517"/>
      <c r="S16" s="517">
        <v>0</v>
      </c>
      <c r="T16" s="517">
        <v>0</v>
      </c>
      <c r="U16" s="517">
        <v>0</v>
      </c>
      <c r="V16" s="517">
        <v>0</v>
      </c>
      <c r="W16" s="517">
        <v>0</v>
      </c>
      <c r="X16" s="461">
        <f>SUM(E16:W16)</f>
        <v>4477</v>
      </c>
      <c r="Y16" s="517">
        <v>0</v>
      </c>
      <c r="Z16" s="517">
        <v>0</v>
      </c>
      <c r="AA16" s="517">
        <v>0</v>
      </c>
      <c r="AB16" s="517">
        <v>0</v>
      </c>
      <c r="AC16" s="517">
        <v>0</v>
      </c>
      <c r="AD16" s="517">
        <v>0</v>
      </c>
      <c r="AE16" s="517">
        <v>0</v>
      </c>
      <c r="AF16" s="517">
        <v>56</v>
      </c>
      <c r="AG16" s="517">
        <v>0</v>
      </c>
      <c r="AH16" s="462">
        <v>0</v>
      </c>
      <c r="AI16" s="517">
        <v>0</v>
      </c>
      <c r="AJ16" s="517">
        <v>0</v>
      </c>
      <c r="AK16" s="517">
        <v>0</v>
      </c>
      <c r="AL16" s="578">
        <f>SUM(X16:AK16)</f>
        <v>4533</v>
      </c>
    </row>
    <row r="17" spans="1:38">
      <c r="A17" s="196">
        <v>3</v>
      </c>
      <c r="B17" s="4" t="s">
        <v>36</v>
      </c>
      <c r="D17" s="4"/>
      <c r="E17" s="346">
        <f>'ROO INPUT'!$F17</f>
        <v>69723</v>
      </c>
      <c r="F17" s="463">
        <v>0</v>
      </c>
      <c r="G17" s="463">
        <v>0</v>
      </c>
      <c r="H17" s="463">
        <v>0</v>
      </c>
      <c r="I17" s="463">
        <v>0</v>
      </c>
      <c r="J17" s="463">
        <v>0</v>
      </c>
      <c r="K17" s="463">
        <v>0</v>
      </c>
      <c r="L17" s="463">
        <v>0</v>
      </c>
      <c r="M17" s="463">
        <v>0</v>
      </c>
      <c r="N17" s="463">
        <v>0</v>
      </c>
      <c r="O17" s="463">
        <v>0</v>
      </c>
      <c r="P17" s="463">
        <v>0</v>
      </c>
      <c r="Q17" s="463">
        <v>0</v>
      </c>
      <c r="R17" s="463">
        <v>-5427</v>
      </c>
      <c r="S17" s="463">
        <v>-63276</v>
      </c>
      <c r="T17" s="463">
        <v>0</v>
      </c>
      <c r="U17" s="463">
        <v>0</v>
      </c>
      <c r="V17" s="463">
        <v>0</v>
      </c>
      <c r="W17" s="463">
        <v>0</v>
      </c>
      <c r="X17" s="464">
        <f>SUM(E17:W17)</f>
        <v>1020</v>
      </c>
      <c r="Y17" s="463">
        <v>0</v>
      </c>
      <c r="Z17" s="463">
        <v>0</v>
      </c>
      <c r="AA17" s="463">
        <v>0</v>
      </c>
      <c r="AB17" s="463">
        <v>0</v>
      </c>
      <c r="AC17" s="463">
        <v>0</v>
      </c>
      <c r="AD17" s="463">
        <v>0</v>
      </c>
      <c r="AE17" s="463">
        <v>0</v>
      </c>
      <c r="AF17" s="463">
        <v>-776</v>
      </c>
      <c r="AG17" s="463">
        <v>0</v>
      </c>
      <c r="AH17" s="463">
        <v>0</v>
      </c>
      <c r="AI17" s="463">
        <v>0</v>
      </c>
      <c r="AJ17" s="463">
        <v>0</v>
      </c>
      <c r="AK17" s="463">
        <v>0</v>
      </c>
      <c r="AL17" s="573">
        <f>SUM(X17:AK17)</f>
        <v>244</v>
      </c>
    </row>
    <row r="18" spans="1:38">
      <c r="A18" s="196">
        <v>4</v>
      </c>
      <c r="B18" s="1" t="s">
        <v>37</v>
      </c>
      <c r="C18" s="4"/>
      <c r="D18" s="4"/>
      <c r="E18" s="344">
        <f>SUM(E15:E17)</f>
        <v>220416</v>
      </c>
      <c r="F18" s="344">
        <f t="shared" ref="F18:N18" si="10">SUM(F15:F17)</f>
        <v>0</v>
      </c>
      <c r="G18" s="344">
        <f t="shared" si="10"/>
        <v>0</v>
      </c>
      <c r="H18" s="344">
        <f t="shared" si="10"/>
        <v>0</v>
      </c>
      <c r="I18" s="344">
        <f t="shared" si="10"/>
        <v>-5215</v>
      </c>
      <c r="J18" s="344">
        <f>SUM(J15:J17)</f>
        <v>0</v>
      </c>
      <c r="K18" s="344">
        <f t="shared" si="10"/>
        <v>0</v>
      </c>
      <c r="L18" s="344">
        <f t="shared" si="10"/>
        <v>0</v>
      </c>
      <c r="M18" s="344">
        <f t="shared" si="10"/>
        <v>0</v>
      </c>
      <c r="N18" s="344">
        <f t="shared" si="10"/>
        <v>0</v>
      </c>
      <c r="O18" s="344">
        <f t="shared" ref="O18:P18" si="11">SUM(O15:O17)</f>
        <v>0</v>
      </c>
      <c r="P18" s="344">
        <f t="shared" si="11"/>
        <v>0</v>
      </c>
      <c r="Q18" s="344">
        <f t="shared" ref="Q18" si="12">SUM(Q15:Q17)</f>
        <v>0</v>
      </c>
      <c r="R18" s="344">
        <f>SUM(R15:R17)</f>
        <v>5782</v>
      </c>
      <c r="S18" s="344">
        <f>SUM(S15:S17)</f>
        <v>-64516</v>
      </c>
      <c r="T18" s="344">
        <f t="shared" ref="T18" si="13">SUM(T15:T17)</f>
        <v>0</v>
      </c>
      <c r="U18" s="344">
        <f>SUM(U15:U17)</f>
        <v>0</v>
      </c>
      <c r="V18" s="344">
        <f>SUM(V15:V17)</f>
        <v>0</v>
      </c>
      <c r="W18" s="344">
        <f t="shared" ref="W18" si="14">SUM(W15:W17)</f>
        <v>0</v>
      </c>
      <c r="X18" s="461">
        <f>SUM(X15:X17)</f>
        <v>156467</v>
      </c>
      <c r="Y18" s="399">
        <f t="shared" ref="Y18" si="15">SUM(Y15:Y17)</f>
        <v>0</v>
      </c>
      <c r="Z18" s="344">
        <f>SUM(Z15:Z17)</f>
        <v>0</v>
      </c>
      <c r="AA18" s="344">
        <f t="shared" ref="AA18:AB18" si="16">SUM(AA15:AA17)</f>
        <v>0</v>
      </c>
      <c r="AB18" s="344">
        <f t="shared" si="16"/>
        <v>0</v>
      </c>
      <c r="AC18" s="344">
        <f t="shared" ref="AC18:AD18" si="17">SUM(AC15:AC17)</f>
        <v>0</v>
      </c>
      <c r="AD18" s="344">
        <f t="shared" si="17"/>
        <v>0</v>
      </c>
      <c r="AE18" s="344">
        <f t="shared" ref="AE18:AK18" si="18">SUM(AE15:AE17)</f>
        <v>0</v>
      </c>
      <c r="AF18" s="344">
        <f t="shared" si="18"/>
        <v>-67391</v>
      </c>
      <c r="AG18" s="399">
        <f t="shared" si="18"/>
        <v>0</v>
      </c>
      <c r="AH18" s="601">
        <f t="shared" si="18"/>
        <v>0</v>
      </c>
      <c r="AI18" s="344">
        <f t="shared" si="18"/>
        <v>0</v>
      </c>
      <c r="AJ18" s="344">
        <f t="shared" ref="AJ18" si="19">SUM(AJ15:AJ17)</f>
        <v>0</v>
      </c>
      <c r="AK18" s="399">
        <f t="shared" si="18"/>
        <v>0</v>
      </c>
      <c r="AL18" s="578">
        <f t="shared" ref="AL18" si="20">SUM(AL15:AL17)</f>
        <v>89076</v>
      </c>
    </row>
    <row r="19" spans="1:38">
      <c r="C19" s="4"/>
      <c r="D19" s="4"/>
      <c r="E19" s="344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7"/>
      <c r="T19" s="517"/>
      <c r="U19" s="517"/>
      <c r="V19" s="517"/>
      <c r="W19" s="517"/>
      <c r="X19" s="461"/>
      <c r="Y19" s="517"/>
      <c r="Z19" s="517"/>
      <c r="AA19" s="517"/>
      <c r="AB19" s="517"/>
      <c r="AC19" s="517"/>
      <c r="AD19" s="517"/>
      <c r="AE19" s="517"/>
      <c r="AF19" s="517"/>
      <c r="AG19" s="517"/>
      <c r="AH19" s="462"/>
      <c r="AI19" s="517"/>
      <c r="AJ19" s="517"/>
      <c r="AK19" s="517"/>
      <c r="AL19" s="578"/>
    </row>
    <row r="20" spans="1:38">
      <c r="B20" s="1" t="s">
        <v>38</v>
      </c>
      <c r="C20" s="4"/>
      <c r="D20" s="4"/>
      <c r="E20" s="344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  <c r="V20" s="517"/>
      <c r="W20" s="517"/>
      <c r="X20" s="461"/>
      <c r="Y20" s="517"/>
      <c r="Z20" s="517"/>
      <c r="AA20" s="517"/>
      <c r="AB20" s="517"/>
      <c r="AC20" s="517"/>
      <c r="AD20" s="517"/>
      <c r="AE20" s="517"/>
      <c r="AF20" s="517"/>
      <c r="AG20" s="517"/>
      <c r="AH20" s="462"/>
      <c r="AI20" s="517"/>
      <c r="AJ20" s="517"/>
      <c r="AK20" s="517"/>
      <c r="AL20" s="578"/>
    </row>
    <row r="21" spans="1:38">
      <c r="B21" s="4" t="s">
        <v>223</v>
      </c>
      <c r="D21" s="4"/>
      <c r="E21" s="344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461"/>
      <c r="Y21" s="517"/>
      <c r="Z21" s="517"/>
      <c r="AA21" s="517"/>
      <c r="AB21" s="517"/>
      <c r="AC21" s="517"/>
      <c r="AD21" s="517"/>
      <c r="AE21" s="517"/>
      <c r="AF21" s="517"/>
      <c r="AG21" s="517"/>
      <c r="AH21" s="462"/>
      <c r="AI21" s="517"/>
      <c r="AJ21" s="517"/>
      <c r="AK21" s="517"/>
      <c r="AL21" s="578"/>
    </row>
    <row r="22" spans="1:38">
      <c r="A22" s="196">
        <v>5</v>
      </c>
      <c r="C22" s="4" t="s">
        <v>39</v>
      </c>
      <c r="D22" s="4"/>
      <c r="E22" s="344">
        <f>'ROO INPUT'!$F22</f>
        <v>112605</v>
      </c>
      <c r="F22" s="517">
        <v>0</v>
      </c>
      <c r="G22" s="517">
        <v>0</v>
      </c>
      <c r="H22" s="517">
        <v>0</v>
      </c>
      <c r="I22" s="517">
        <v>0</v>
      </c>
      <c r="J22" s="517">
        <v>0</v>
      </c>
      <c r="K22" s="517">
        <v>0</v>
      </c>
      <c r="L22" s="517">
        <v>0</v>
      </c>
      <c r="M22" s="517">
        <v>0</v>
      </c>
      <c r="N22" s="517">
        <v>0</v>
      </c>
      <c r="O22" s="517">
        <v>0</v>
      </c>
      <c r="P22" s="517">
        <v>0</v>
      </c>
      <c r="Q22" s="517">
        <v>0</v>
      </c>
      <c r="R22" s="517">
        <v>5274</v>
      </c>
      <c r="S22" s="517">
        <v>-54419</v>
      </c>
      <c r="T22" s="517">
        <v>0</v>
      </c>
      <c r="U22" s="517">
        <v>0</v>
      </c>
      <c r="V22" s="517">
        <v>0</v>
      </c>
      <c r="W22" s="517">
        <v>0</v>
      </c>
      <c r="X22" s="461">
        <f>SUM(E22:W22)</f>
        <v>63460</v>
      </c>
      <c r="Y22" s="517">
        <v>0</v>
      </c>
      <c r="Z22" s="517">
        <v>0</v>
      </c>
      <c r="AA22" s="517">
        <v>0</v>
      </c>
      <c r="AB22" s="517">
        <v>0</v>
      </c>
      <c r="AC22" s="517">
        <v>0</v>
      </c>
      <c r="AD22" s="517">
        <v>0</v>
      </c>
      <c r="AE22" s="517">
        <v>0</v>
      </c>
      <c r="AF22" s="517">
        <v>-63460</v>
      </c>
      <c r="AG22" s="517">
        <v>0</v>
      </c>
      <c r="AH22" s="462">
        <v>0</v>
      </c>
      <c r="AI22" s="517">
        <v>0</v>
      </c>
      <c r="AJ22" s="517">
        <v>0</v>
      </c>
      <c r="AK22" s="517">
        <v>0</v>
      </c>
      <c r="AL22" s="578">
        <f>SUM(X22:AK22)</f>
        <v>0</v>
      </c>
    </row>
    <row r="23" spans="1:38">
      <c r="A23" s="196">
        <v>6</v>
      </c>
      <c r="C23" s="4" t="s">
        <v>40</v>
      </c>
      <c r="D23" s="4"/>
      <c r="E23" s="344">
        <f>'ROO INPUT'!$F23</f>
        <v>988</v>
      </c>
      <c r="F23" s="517">
        <v>0</v>
      </c>
      <c r="G23" s="517">
        <v>0</v>
      </c>
      <c r="H23" s="517">
        <v>0</v>
      </c>
      <c r="I23" s="517">
        <v>0</v>
      </c>
      <c r="J23" s="517">
        <v>0</v>
      </c>
      <c r="K23" s="517">
        <v>0</v>
      </c>
      <c r="L23" s="517">
        <v>0</v>
      </c>
      <c r="M23" s="517">
        <v>0</v>
      </c>
      <c r="N23" s="517">
        <v>0</v>
      </c>
      <c r="O23" s="517">
        <v>0</v>
      </c>
      <c r="P23" s="517">
        <v>0</v>
      </c>
      <c r="Q23" s="517">
        <v>0</v>
      </c>
      <c r="R23" s="517">
        <v>6</v>
      </c>
      <c r="S23" s="517">
        <v>0</v>
      </c>
      <c r="T23" s="517">
        <v>0</v>
      </c>
      <c r="U23" s="517">
        <v>0</v>
      </c>
      <c r="V23" s="517">
        <v>0</v>
      </c>
      <c r="W23" s="517">
        <v>0</v>
      </c>
      <c r="X23" s="461">
        <f>SUM(E23:W23)</f>
        <v>994</v>
      </c>
      <c r="Y23" s="517">
        <v>0</v>
      </c>
      <c r="Z23" s="517">
        <f>+SUM('[7]Washington Gas PF'!$I$15:$J$15)/1000</f>
        <v>16.199000000000002</v>
      </c>
      <c r="AA23" s="517">
        <v>0</v>
      </c>
      <c r="AB23" s="517">
        <v>-6</v>
      </c>
      <c r="AC23" s="517">
        <v>0</v>
      </c>
      <c r="AD23" s="517">
        <v>0</v>
      </c>
      <c r="AE23" s="517">
        <v>0</v>
      </c>
      <c r="AF23" s="517">
        <v>0</v>
      </c>
      <c r="AG23" s="517">
        <v>0</v>
      </c>
      <c r="AH23" s="462">
        <v>0</v>
      </c>
      <c r="AI23" s="517">
        <v>0</v>
      </c>
      <c r="AJ23" s="517">
        <v>0</v>
      </c>
      <c r="AK23" s="517">
        <v>0</v>
      </c>
      <c r="AL23" s="578">
        <f>SUM(X23:AK23)</f>
        <v>1004.199</v>
      </c>
    </row>
    <row r="24" spans="1:38">
      <c r="A24" s="196">
        <v>7</v>
      </c>
      <c r="C24" s="4" t="s">
        <v>41</v>
      </c>
      <c r="D24" s="4"/>
      <c r="E24" s="346">
        <f>'ROO INPUT'!$F24</f>
        <v>2932</v>
      </c>
      <c r="F24" s="463">
        <v>0</v>
      </c>
      <c r="G24" s="463">
        <v>0</v>
      </c>
      <c r="H24" s="463">
        <v>0</v>
      </c>
      <c r="I24" s="463">
        <v>0</v>
      </c>
      <c r="J24" s="463">
        <v>0</v>
      </c>
      <c r="K24" s="463">
        <v>0</v>
      </c>
      <c r="L24" s="463">
        <v>0</v>
      </c>
      <c r="M24" s="463">
        <v>0</v>
      </c>
      <c r="N24" s="463">
        <v>0</v>
      </c>
      <c r="O24" s="463">
        <v>0</v>
      </c>
      <c r="P24" s="463">
        <v>0</v>
      </c>
      <c r="Q24" s="463">
        <v>0</v>
      </c>
      <c r="R24" s="463">
        <v>0</v>
      </c>
      <c r="S24" s="463">
        <v>-2932</v>
      </c>
      <c r="T24" s="463">
        <v>0</v>
      </c>
      <c r="U24" s="463">
        <v>0</v>
      </c>
      <c r="V24" s="463">
        <v>0</v>
      </c>
      <c r="W24" s="463">
        <v>0</v>
      </c>
      <c r="X24" s="464">
        <f>SUM(E24:W24)</f>
        <v>0</v>
      </c>
      <c r="Y24" s="463">
        <v>0</v>
      </c>
      <c r="Z24" s="463">
        <v>0</v>
      </c>
      <c r="AA24" s="463">
        <v>0</v>
      </c>
      <c r="AB24" s="463">
        <v>0</v>
      </c>
      <c r="AC24" s="463">
        <v>0</v>
      </c>
      <c r="AD24" s="463">
        <v>0</v>
      </c>
      <c r="AE24" s="463">
        <v>0</v>
      </c>
      <c r="AF24" s="463">
        <v>0</v>
      </c>
      <c r="AG24" s="463">
        <v>0</v>
      </c>
      <c r="AH24" s="463">
        <v>0</v>
      </c>
      <c r="AI24" s="463">
        <v>0</v>
      </c>
      <c r="AJ24" s="463">
        <v>0</v>
      </c>
      <c r="AK24" s="463">
        <v>0</v>
      </c>
      <c r="AL24" s="573">
        <f>SUM(X24:AK24)</f>
        <v>0</v>
      </c>
    </row>
    <row r="25" spans="1:38">
      <c r="A25" s="196">
        <v>8</v>
      </c>
      <c r="B25" s="4" t="s">
        <v>42</v>
      </c>
      <c r="C25" s="4"/>
      <c r="E25" s="399">
        <f>SUM(E22:E24)</f>
        <v>116525</v>
      </c>
      <c r="F25" s="399">
        <f t="shared" ref="F25:N25" si="21">SUM(F22:F24)</f>
        <v>0</v>
      </c>
      <c r="G25" s="399">
        <f t="shared" si="21"/>
        <v>0</v>
      </c>
      <c r="H25" s="399">
        <f t="shared" si="21"/>
        <v>0</v>
      </c>
      <c r="I25" s="399">
        <f t="shared" si="21"/>
        <v>0</v>
      </c>
      <c r="J25" s="399">
        <f>SUM(J22:J24)</f>
        <v>0</v>
      </c>
      <c r="K25" s="399">
        <f t="shared" si="21"/>
        <v>0</v>
      </c>
      <c r="L25" s="399">
        <f t="shared" si="21"/>
        <v>0</v>
      </c>
      <c r="M25" s="399">
        <f t="shared" si="21"/>
        <v>0</v>
      </c>
      <c r="N25" s="399">
        <f t="shared" si="21"/>
        <v>0</v>
      </c>
      <c r="O25" s="399">
        <f t="shared" ref="O25:P25" si="22">SUM(O22:O24)</f>
        <v>0</v>
      </c>
      <c r="P25" s="399">
        <f t="shared" si="22"/>
        <v>0</v>
      </c>
      <c r="Q25" s="399">
        <f>SUM(Q22:Q24)</f>
        <v>0</v>
      </c>
      <c r="R25" s="399">
        <f>SUM(R22:R24)</f>
        <v>5280</v>
      </c>
      <c r="S25" s="399">
        <f>SUM(S22:S24)</f>
        <v>-57351</v>
      </c>
      <c r="T25" s="399">
        <f t="shared" ref="T25" si="23">SUM(T22:T24)</f>
        <v>0</v>
      </c>
      <c r="U25" s="399">
        <f>SUM(U22:U24)</f>
        <v>0</v>
      </c>
      <c r="V25" s="399">
        <f>SUM(V22:V24)</f>
        <v>0</v>
      </c>
      <c r="W25" s="399">
        <f>SUM(W22:W24)</f>
        <v>0</v>
      </c>
      <c r="X25" s="461">
        <f>SUM(X22:X24)</f>
        <v>64454</v>
      </c>
      <c r="Y25" s="399">
        <f t="shared" ref="Y25:Z25" si="24">SUM(Y22:Y24)</f>
        <v>0</v>
      </c>
      <c r="Z25" s="399">
        <f t="shared" si="24"/>
        <v>16.199000000000002</v>
      </c>
      <c r="AA25" s="399">
        <f t="shared" ref="AA25" si="25">SUM(AA22:AA24)</f>
        <v>0</v>
      </c>
      <c r="AB25" s="399">
        <f>SUM(AB22:AB24)</f>
        <v>-6</v>
      </c>
      <c r="AC25" s="399">
        <f>SUM(AC22:AC24)</f>
        <v>0</v>
      </c>
      <c r="AD25" s="399">
        <f t="shared" ref="AD25" si="26">SUM(AD22:AD24)</f>
        <v>0</v>
      </c>
      <c r="AE25" s="399">
        <f t="shared" ref="AE25:AK25" si="27">SUM(AE22:AE24)</f>
        <v>0</v>
      </c>
      <c r="AF25" s="399">
        <f t="shared" si="27"/>
        <v>-63460</v>
      </c>
      <c r="AG25" s="399">
        <f t="shared" si="27"/>
        <v>0</v>
      </c>
      <c r="AH25" s="601">
        <f t="shared" si="27"/>
        <v>0</v>
      </c>
      <c r="AI25" s="399">
        <f t="shared" si="27"/>
        <v>0</v>
      </c>
      <c r="AJ25" s="399">
        <f t="shared" ref="AJ25" si="28">SUM(AJ22:AJ24)</f>
        <v>0</v>
      </c>
      <c r="AK25" s="399">
        <f t="shared" si="27"/>
        <v>0</v>
      </c>
      <c r="AL25" s="578">
        <f t="shared" ref="AL25" si="29">SUM(AL22:AL24)</f>
        <v>1004.199</v>
      </c>
    </row>
    <row r="26" spans="1:38">
      <c r="B26" s="4"/>
      <c r="C26" s="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461"/>
      <c r="Y26" s="399"/>
      <c r="Z26" s="344"/>
      <c r="AA26" s="344"/>
      <c r="AB26" s="399"/>
      <c r="AC26" s="344"/>
      <c r="AD26" s="399"/>
      <c r="AE26" s="344"/>
      <c r="AF26" s="344"/>
      <c r="AG26" s="399"/>
      <c r="AH26" s="601"/>
      <c r="AI26" s="344"/>
      <c r="AJ26" s="344"/>
      <c r="AK26" s="399"/>
      <c r="AL26" s="578"/>
    </row>
    <row r="27" spans="1:38">
      <c r="B27" s="4" t="s">
        <v>43</v>
      </c>
      <c r="D27" s="4"/>
      <c r="E27" s="344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7"/>
      <c r="S27" s="517"/>
      <c r="T27" s="517"/>
      <c r="U27" s="517"/>
      <c r="V27" s="517"/>
      <c r="W27" s="517"/>
      <c r="X27" s="461"/>
      <c r="Y27" s="517"/>
      <c r="Z27" s="517"/>
      <c r="AA27" s="517"/>
      <c r="AB27" s="517"/>
      <c r="AC27" s="517"/>
      <c r="AD27" s="517"/>
      <c r="AE27" s="517"/>
      <c r="AF27" s="517"/>
      <c r="AG27" s="517"/>
      <c r="AH27" s="462"/>
      <c r="AI27" s="517"/>
      <c r="AJ27" s="517"/>
      <c r="AK27" s="517"/>
      <c r="AL27" s="578"/>
    </row>
    <row r="28" spans="1:38">
      <c r="A28" s="196">
        <v>9</v>
      </c>
      <c r="C28" s="4" t="s">
        <v>44</v>
      </c>
      <c r="D28" s="4"/>
      <c r="E28" s="344">
        <f>'ROO INPUT'!$F28</f>
        <v>974</v>
      </c>
      <c r="F28" s="517">
        <v>0</v>
      </c>
      <c r="G28" s="517">
        <v>0</v>
      </c>
      <c r="H28" s="517">
        <v>0</v>
      </c>
      <c r="I28" s="517">
        <v>0</v>
      </c>
      <c r="J28" s="517">
        <v>0</v>
      </c>
      <c r="K28" s="517">
        <v>0</v>
      </c>
      <c r="L28" s="517">
        <v>0</v>
      </c>
      <c r="M28" s="517">
        <v>0</v>
      </c>
      <c r="N28" s="517">
        <v>0</v>
      </c>
      <c r="O28" s="517">
        <v>0</v>
      </c>
      <c r="P28" s="517">
        <v>0</v>
      </c>
      <c r="Q28" s="517">
        <v>0</v>
      </c>
      <c r="R28" s="517">
        <v>0</v>
      </c>
      <c r="S28" s="517">
        <v>0</v>
      </c>
      <c r="T28" s="517">
        <v>0</v>
      </c>
      <c r="U28" s="517">
        <v>0</v>
      </c>
      <c r="V28" s="517">
        <v>0</v>
      </c>
      <c r="W28" s="517">
        <v>0</v>
      </c>
      <c r="X28" s="461">
        <f>SUM(E28:W28)</f>
        <v>974</v>
      </c>
      <c r="Y28" s="517">
        <v>0</v>
      </c>
      <c r="Z28" s="517">
        <v>0</v>
      </c>
      <c r="AA28" s="517">
        <v>0</v>
      </c>
      <c r="AB28" s="517">
        <v>0</v>
      </c>
      <c r="AC28" s="517">
        <v>0</v>
      </c>
      <c r="AD28" s="517">
        <v>0</v>
      </c>
      <c r="AE28" s="517">
        <v>0</v>
      </c>
      <c r="AF28" s="517">
        <v>0</v>
      </c>
      <c r="AG28" s="517">
        <v>0</v>
      </c>
      <c r="AH28" s="462">
        <v>0</v>
      </c>
      <c r="AI28" s="517">
        <v>0</v>
      </c>
      <c r="AJ28" s="517">
        <v>0</v>
      </c>
      <c r="AK28" s="517">
        <v>0</v>
      </c>
      <c r="AL28" s="578">
        <f>SUM(X28:AK28)</f>
        <v>974</v>
      </c>
    </row>
    <row r="29" spans="1:38">
      <c r="A29" s="196">
        <v>10</v>
      </c>
      <c r="C29" s="4" t="s">
        <v>219</v>
      </c>
      <c r="D29" s="4"/>
      <c r="E29" s="344">
        <f>'ROO INPUT'!$F29</f>
        <v>492</v>
      </c>
      <c r="F29" s="517">
        <v>0</v>
      </c>
      <c r="G29" s="517">
        <v>0</v>
      </c>
      <c r="H29" s="517">
        <v>0</v>
      </c>
      <c r="I29" s="517">
        <v>0</v>
      </c>
      <c r="J29" s="517">
        <v>0</v>
      </c>
      <c r="K29" s="517">
        <v>0</v>
      </c>
      <c r="L29" s="517">
        <v>0</v>
      </c>
      <c r="M29" s="517">
        <v>0</v>
      </c>
      <c r="N29" s="517">
        <v>0</v>
      </c>
      <c r="O29" s="517">
        <v>0</v>
      </c>
      <c r="P29" s="517">
        <v>0</v>
      </c>
      <c r="Q29" s="517">
        <v>0</v>
      </c>
      <c r="R29" s="517">
        <v>0</v>
      </c>
      <c r="S29" s="517">
        <v>0</v>
      </c>
      <c r="T29" s="517">
        <v>0</v>
      </c>
      <c r="U29" s="517">
        <v>0</v>
      </c>
      <c r="V29" s="517">
        <v>0</v>
      </c>
      <c r="W29" s="517">
        <v>0</v>
      </c>
      <c r="X29" s="461">
        <f>SUM(E29:W29)</f>
        <v>492</v>
      </c>
      <c r="Y29" s="517">
        <v>0</v>
      </c>
      <c r="Z29" s="517">
        <v>0</v>
      </c>
      <c r="AA29" s="517">
        <v>0</v>
      </c>
      <c r="AB29" s="517">
        <v>0</v>
      </c>
      <c r="AC29" s="517">
        <v>0</v>
      </c>
      <c r="AD29" s="517">
        <v>0</v>
      </c>
      <c r="AE29" s="517">
        <v>0</v>
      </c>
      <c r="AF29" s="517">
        <v>0</v>
      </c>
      <c r="AG29" s="517">
        <v>0</v>
      </c>
      <c r="AH29" s="462">
        <v>0</v>
      </c>
      <c r="AI29" s="517">
        <v>0</v>
      </c>
      <c r="AJ29" s="517">
        <v>0</v>
      </c>
      <c r="AK29" s="517">
        <v>0</v>
      </c>
      <c r="AL29" s="578">
        <f>SUM(X29:AK29)</f>
        <v>492</v>
      </c>
    </row>
    <row r="30" spans="1:38">
      <c r="A30" s="196">
        <v>11</v>
      </c>
      <c r="C30" s="4" t="s">
        <v>21</v>
      </c>
      <c r="D30" s="4"/>
      <c r="E30" s="346">
        <f>'ROO INPUT'!$F30</f>
        <v>210</v>
      </c>
      <c r="F30" s="463">
        <v>0</v>
      </c>
      <c r="G30" s="463">
        <v>0</v>
      </c>
      <c r="H30" s="463">
        <v>0</v>
      </c>
      <c r="I30" s="463">
        <v>0</v>
      </c>
      <c r="J30" s="463">
        <v>0</v>
      </c>
      <c r="K30" s="463">
        <v>0</v>
      </c>
      <c r="L30" s="463">
        <v>0</v>
      </c>
      <c r="M30" s="463">
        <v>0</v>
      </c>
      <c r="N30" s="463">
        <v>0</v>
      </c>
      <c r="O30" s="463">
        <v>0</v>
      </c>
      <c r="P30" s="463">
        <v>0</v>
      </c>
      <c r="Q30" s="463">
        <v>0</v>
      </c>
      <c r="R30" s="463">
        <v>0</v>
      </c>
      <c r="S30" s="463">
        <v>0</v>
      </c>
      <c r="T30" s="463">
        <v>0</v>
      </c>
      <c r="U30" s="463">
        <v>0</v>
      </c>
      <c r="V30" s="463">
        <v>0</v>
      </c>
      <c r="W30" s="463">
        <v>0</v>
      </c>
      <c r="X30" s="464">
        <f>SUM(E30:W30)</f>
        <v>210</v>
      </c>
      <c r="Y30" s="463">
        <v>0</v>
      </c>
      <c r="Z30" s="463">
        <v>0</v>
      </c>
      <c r="AA30" s="463">
        <v>0</v>
      </c>
      <c r="AB30" s="463">
        <v>0</v>
      </c>
      <c r="AC30" s="463">
        <v>0</v>
      </c>
      <c r="AD30" s="463">
        <v>37</v>
      </c>
      <c r="AE30" s="463">
        <v>0</v>
      </c>
      <c r="AF30" s="463">
        <v>0</v>
      </c>
      <c r="AG30" s="463">
        <v>0</v>
      </c>
      <c r="AH30" s="463">
        <v>0</v>
      </c>
      <c r="AI30" s="463">
        <v>0</v>
      </c>
      <c r="AJ30" s="463">
        <v>0</v>
      </c>
      <c r="AK30" s="463">
        <v>0</v>
      </c>
      <c r="AL30" s="573">
        <f>SUM(X30:AK30)</f>
        <v>247</v>
      </c>
    </row>
    <row r="31" spans="1:38">
      <c r="A31" s="196">
        <v>12</v>
      </c>
      <c r="B31" s="4" t="s">
        <v>46</v>
      </c>
      <c r="C31" s="4"/>
      <c r="E31" s="344">
        <f t="shared" ref="E31:AB31" si="30">SUM(E28:E30)</f>
        <v>1676</v>
      </c>
      <c r="F31" s="344">
        <f t="shared" si="30"/>
        <v>0</v>
      </c>
      <c r="G31" s="344">
        <f t="shared" si="30"/>
        <v>0</v>
      </c>
      <c r="H31" s="344">
        <f t="shared" si="30"/>
        <v>0</v>
      </c>
      <c r="I31" s="399">
        <f t="shared" si="30"/>
        <v>0</v>
      </c>
      <c r="J31" s="399">
        <f>SUM(J28:J30)</f>
        <v>0</v>
      </c>
      <c r="K31" s="344">
        <f t="shared" si="30"/>
        <v>0</v>
      </c>
      <c r="L31" s="344">
        <f t="shared" si="30"/>
        <v>0</v>
      </c>
      <c r="M31" s="344">
        <f t="shared" si="30"/>
        <v>0</v>
      </c>
      <c r="N31" s="344">
        <f t="shared" si="30"/>
        <v>0</v>
      </c>
      <c r="O31" s="344">
        <f t="shared" ref="O31:P31" si="31">SUM(O28:O30)</f>
        <v>0</v>
      </c>
      <c r="P31" s="344">
        <f t="shared" si="31"/>
        <v>0</v>
      </c>
      <c r="Q31" s="344">
        <f>SUM(Q28:Q30)</f>
        <v>0</v>
      </c>
      <c r="R31" s="344">
        <f>SUM(R28:R30)</f>
        <v>0</v>
      </c>
      <c r="S31" s="344">
        <f>SUM(S28:S30)</f>
        <v>0</v>
      </c>
      <c r="T31" s="344">
        <f t="shared" ref="T31" si="32">SUM(T28:T30)</f>
        <v>0</v>
      </c>
      <c r="U31" s="344">
        <f>SUM(U28:U30)</f>
        <v>0</v>
      </c>
      <c r="V31" s="344">
        <f>SUM(V28:V30)</f>
        <v>0</v>
      </c>
      <c r="W31" s="344">
        <f>SUM(W28:W30)</f>
        <v>0</v>
      </c>
      <c r="X31" s="461">
        <f t="shared" si="30"/>
        <v>1676</v>
      </c>
      <c r="Y31" s="399">
        <f t="shared" ref="Y31:Z31" si="33">SUM(Y28:Y30)</f>
        <v>0</v>
      </c>
      <c r="Z31" s="344">
        <f t="shared" si="33"/>
        <v>0</v>
      </c>
      <c r="AA31" s="344">
        <f t="shared" si="30"/>
        <v>0</v>
      </c>
      <c r="AB31" s="399">
        <f t="shared" si="30"/>
        <v>0</v>
      </c>
      <c r="AC31" s="344">
        <f>SUM(AC28:AC30)</f>
        <v>0</v>
      </c>
      <c r="AD31" s="399">
        <f t="shared" ref="AD31" si="34">SUM(AD28:AD30)</f>
        <v>37</v>
      </c>
      <c r="AE31" s="344">
        <f t="shared" ref="AE31:AK31" si="35">SUM(AE28:AE30)</f>
        <v>0</v>
      </c>
      <c r="AF31" s="344">
        <f t="shared" si="35"/>
        <v>0</v>
      </c>
      <c r="AG31" s="399">
        <f t="shared" si="35"/>
        <v>0</v>
      </c>
      <c r="AH31" s="601">
        <f t="shared" si="35"/>
        <v>0</v>
      </c>
      <c r="AI31" s="344">
        <f t="shared" si="35"/>
        <v>0</v>
      </c>
      <c r="AJ31" s="344">
        <f t="shared" ref="AJ31" si="36">SUM(AJ28:AJ30)</f>
        <v>0</v>
      </c>
      <c r="AK31" s="399">
        <f t="shared" si="35"/>
        <v>0</v>
      </c>
      <c r="AL31" s="578">
        <f t="shared" ref="AL31" si="37">SUM(AL28:AL30)</f>
        <v>1713</v>
      </c>
    </row>
    <row r="32" spans="1:38">
      <c r="B32" s="4"/>
      <c r="C32" s="4"/>
      <c r="E32" s="344"/>
      <c r="F32" s="344"/>
      <c r="G32" s="344"/>
      <c r="H32" s="344"/>
      <c r="I32" s="399"/>
      <c r="J32" s="399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461"/>
      <c r="Y32" s="399"/>
      <c r="Z32" s="344"/>
      <c r="AA32" s="344"/>
      <c r="AB32" s="399"/>
      <c r="AC32" s="344"/>
      <c r="AD32" s="399"/>
      <c r="AE32" s="344"/>
      <c r="AF32" s="344"/>
      <c r="AG32" s="399"/>
      <c r="AH32" s="601"/>
      <c r="AI32" s="344"/>
      <c r="AJ32" s="344"/>
      <c r="AK32" s="399"/>
      <c r="AL32" s="578"/>
    </row>
    <row r="33" spans="1:38">
      <c r="B33" s="4" t="s">
        <v>47</v>
      </c>
      <c r="D33" s="4"/>
      <c r="E33" s="344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517"/>
      <c r="Q33" s="517"/>
      <c r="R33" s="517"/>
      <c r="S33" s="517"/>
      <c r="T33" s="517"/>
      <c r="U33" s="517"/>
      <c r="V33" s="517"/>
      <c r="W33" s="517"/>
      <c r="X33" s="461"/>
      <c r="Y33" s="517"/>
      <c r="Z33" s="517"/>
      <c r="AA33" s="517"/>
      <c r="AB33" s="517"/>
      <c r="AC33" s="517"/>
      <c r="AD33" s="517"/>
      <c r="AE33" s="517"/>
      <c r="AF33" s="517"/>
      <c r="AG33" s="517"/>
      <c r="AH33" s="462"/>
      <c r="AI33" s="517"/>
      <c r="AJ33" s="517"/>
      <c r="AK33" s="517"/>
      <c r="AL33" s="578"/>
    </row>
    <row r="34" spans="1:38">
      <c r="A34" s="196">
        <v>13</v>
      </c>
      <c r="C34" s="4" t="s">
        <v>44</v>
      </c>
      <c r="D34" s="4"/>
      <c r="E34" s="344">
        <f>'ROO INPUT'!$F34</f>
        <v>12049</v>
      </c>
      <c r="F34" s="517">
        <v>0</v>
      </c>
      <c r="G34" s="517">
        <v>0</v>
      </c>
      <c r="H34" s="517">
        <v>0</v>
      </c>
      <c r="I34" s="517">
        <v>0</v>
      </c>
      <c r="J34" s="517">
        <v>0</v>
      </c>
      <c r="K34" s="517">
        <v>0</v>
      </c>
      <c r="L34" s="517">
        <v>0</v>
      </c>
      <c r="M34" s="517">
        <v>0</v>
      </c>
      <c r="N34" s="517">
        <v>0</v>
      </c>
      <c r="O34" s="517">
        <v>0</v>
      </c>
      <c r="P34" s="517">
        <v>0</v>
      </c>
      <c r="Q34" s="517">
        <v>0</v>
      </c>
      <c r="R34" s="517">
        <v>0</v>
      </c>
      <c r="S34" s="517">
        <v>0</v>
      </c>
      <c r="T34" s="517">
        <v>1</v>
      </c>
      <c r="U34" s="517">
        <v>0</v>
      </c>
      <c r="V34" s="517">
        <v>0</v>
      </c>
      <c r="W34" s="517">
        <v>0</v>
      </c>
      <c r="X34" s="461">
        <f>SUM(E34:W34)</f>
        <v>12050</v>
      </c>
      <c r="Y34" s="675">
        <v>348</v>
      </c>
      <c r="Z34" s="517">
        <f>+SUM('[7]Washington Gas PF'!$I$44:$J$44)/1000</f>
        <v>201.62</v>
      </c>
      <c r="AA34" s="517"/>
      <c r="AB34" s="517">
        <v>-76</v>
      </c>
      <c r="AC34" s="517">
        <v>0</v>
      </c>
      <c r="AD34" s="517">
        <v>0</v>
      </c>
      <c r="AE34" s="517">
        <v>0</v>
      </c>
      <c r="AF34" s="517">
        <v>0</v>
      </c>
      <c r="AG34" s="517">
        <v>0</v>
      </c>
      <c r="AH34" s="462">
        <v>0</v>
      </c>
      <c r="AI34" s="517">
        <v>0</v>
      </c>
      <c r="AJ34" s="517">
        <v>0</v>
      </c>
      <c r="AK34" s="517">
        <v>0</v>
      </c>
      <c r="AL34" s="578">
        <f>SUM(X34:AK34)</f>
        <v>12523.62</v>
      </c>
    </row>
    <row r="35" spans="1:38" ht="15.75" customHeight="1">
      <c r="A35" s="196">
        <v>14</v>
      </c>
      <c r="C35" s="4" t="s">
        <v>219</v>
      </c>
      <c r="D35" s="4"/>
      <c r="E35" s="399">
        <f>'ROO INPUT'!$F35</f>
        <v>9866</v>
      </c>
      <c r="F35" s="517">
        <v>0</v>
      </c>
      <c r="G35" s="517">
        <v>0</v>
      </c>
      <c r="H35" s="517">
        <v>0</v>
      </c>
      <c r="I35" s="517">
        <v>0</v>
      </c>
      <c r="J35" s="517">
        <v>0</v>
      </c>
      <c r="K35" s="517">
        <v>0</v>
      </c>
      <c r="L35" s="517">
        <v>0</v>
      </c>
      <c r="M35" s="517">
        <v>0</v>
      </c>
      <c r="N35" s="517">
        <v>0</v>
      </c>
      <c r="O35" s="517">
        <v>0</v>
      </c>
      <c r="P35" s="517">
        <v>0</v>
      </c>
      <c r="Q35" s="517">
        <v>-13</v>
      </c>
      <c r="R35" s="517">
        <v>0</v>
      </c>
      <c r="S35" s="517">
        <v>0</v>
      </c>
      <c r="T35" s="517">
        <v>0</v>
      </c>
      <c r="U35" s="517">
        <v>0</v>
      </c>
      <c r="V35" s="517">
        <v>0</v>
      </c>
      <c r="W35" s="517">
        <v>0</v>
      </c>
      <c r="X35" s="461">
        <f>SUM(E35:W35)</f>
        <v>9853</v>
      </c>
      <c r="Y35" s="517">
        <v>0</v>
      </c>
      <c r="Z35" s="517">
        <v>0</v>
      </c>
      <c r="AA35" s="517">
        <v>0</v>
      </c>
      <c r="AB35" s="517">
        <v>0</v>
      </c>
      <c r="AC35" s="517">
        <v>0</v>
      </c>
      <c r="AD35" s="517">
        <v>0</v>
      </c>
      <c r="AE35" s="517">
        <v>0</v>
      </c>
      <c r="AF35" s="517">
        <v>0</v>
      </c>
      <c r="AG35" s="517">
        <v>0</v>
      </c>
      <c r="AH35" s="462">
        <v>366</v>
      </c>
      <c r="AI35" s="517">
        <v>0</v>
      </c>
      <c r="AJ35" s="517">
        <v>0</v>
      </c>
      <c r="AK35" s="517">
        <v>0</v>
      </c>
      <c r="AL35" s="578">
        <f>SUM(X35:AK35)</f>
        <v>10219</v>
      </c>
    </row>
    <row r="36" spans="1:38">
      <c r="A36" s="196">
        <v>15</v>
      </c>
      <c r="C36" s="4" t="s">
        <v>21</v>
      </c>
      <c r="D36" s="4"/>
      <c r="E36" s="346">
        <f>'ROO INPUT'!$F36</f>
        <v>12807</v>
      </c>
      <c r="F36" s="463">
        <v>0</v>
      </c>
      <c r="G36" s="463">
        <v>0</v>
      </c>
      <c r="H36" s="463">
        <v>0</v>
      </c>
      <c r="I36" s="463">
        <v>-5183</v>
      </c>
      <c r="J36" s="463">
        <v>375</v>
      </c>
      <c r="K36" s="463">
        <v>0</v>
      </c>
      <c r="L36" s="463">
        <v>0</v>
      </c>
      <c r="M36" s="463">
        <v>0</v>
      </c>
      <c r="N36" s="463">
        <v>0</v>
      </c>
      <c r="O36" s="463">
        <v>0</v>
      </c>
      <c r="P36" s="463">
        <v>2</v>
      </c>
      <c r="Q36" s="463">
        <v>0</v>
      </c>
      <c r="R36" s="463">
        <f>ROUND((R$15+R$16)*'Exh. No. BGM-4 3'!$E$19,0)</f>
        <v>430</v>
      </c>
      <c r="S36" s="463">
        <f>ROUND((S$15+S$16)*'Exh. No. BGM-4 3'!$E$19,0)</f>
        <v>-48</v>
      </c>
      <c r="T36" s="463">
        <v>0</v>
      </c>
      <c r="U36" s="463">
        <v>0</v>
      </c>
      <c r="V36" s="463">
        <v>0</v>
      </c>
      <c r="W36" s="463">
        <v>0</v>
      </c>
      <c r="X36" s="464">
        <f>SUM(E36:W36)</f>
        <v>8383</v>
      </c>
      <c r="Y36" s="463">
        <v>0</v>
      </c>
      <c r="Z36" s="463">
        <v>0</v>
      </c>
      <c r="AA36" s="463">
        <v>0</v>
      </c>
      <c r="AB36" s="463">
        <v>0</v>
      </c>
      <c r="AC36" s="463">
        <v>0</v>
      </c>
      <c r="AD36" s="463">
        <v>439</v>
      </c>
      <c r="AE36" s="463">
        <v>0</v>
      </c>
      <c r="AF36" s="463">
        <f>ROUND((AF$15+AF$16)*'Exh. No. BGM-4 3'!$E$19,0)</f>
        <v>-2554</v>
      </c>
      <c r="AG36" s="463">
        <v>0</v>
      </c>
      <c r="AH36" s="463">
        <v>0</v>
      </c>
      <c r="AI36" s="463">
        <v>0</v>
      </c>
      <c r="AJ36" s="463">
        <v>0</v>
      </c>
      <c r="AK36" s="463">
        <v>0</v>
      </c>
      <c r="AL36" s="573">
        <f>SUM(X36:AK36)</f>
        <v>6268</v>
      </c>
    </row>
    <row r="37" spans="1:38" ht="12.95" customHeight="1">
      <c r="A37" s="196">
        <v>16</v>
      </c>
      <c r="B37" s="4" t="s">
        <v>48</v>
      </c>
      <c r="C37" s="4"/>
      <c r="E37" s="344">
        <f t="shared" ref="E37:N37" si="38">SUM(E34:E36)</f>
        <v>34722</v>
      </c>
      <c r="F37" s="344">
        <f t="shared" si="38"/>
        <v>0</v>
      </c>
      <c r="G37" s="344">
        <f t="shared" si="38"/>
        <v>0</v>
      </c>
      <c r="H37" s="344">
        <f t="shared" si="38"/>
        <v>0</v>
      </c>
      <c r="I37" s="399">
        <f t="shared" si="38"/>
        <v>-5183</v>
      </c>
      <c r="J37" s="399">
        <f>SUM(J34:J36)</f>
        <v>375</v>
      </c>
      <c r="K37" s="344">
        <f t="shared" si="38"/>
        <v>0</v>
      </c>
      <c r="L37" s="344">
        <f t="shared" si="38"/>
        <v>0</v>
      </c>
      <c r="M37" s="344">
        <f t="shared" si="38"/>
        <v>0</v>
      </c>
      <c r="N37" s="344">
        <f t="shared" si="38"/>
        <v>0</v>
      </c>
      <c r="O37" s="344">
        <f t="shared" ref="O37:P37" si="39">SUM(O34:O36)</f>
        <v>0</v>
      </c>
      <c r="P37" s="344">
        <f t="shared" si="39"/>
        <v>2</v>
      </c>
      <c r="Q37" s="344">
        <f t="shared" ref="Q37:V37" si="40">SUM(Q34:Q36)</f>
        <v>-13</v>
      </c>
      <c r="R37" s="344">
        <f t="shared" si="40"/>
        <v>430</v>
      </c>
      <c r="S37" s="344">
        <f t="shared" si="40"/>
        <v>-48</v>
      </c>
      <c r="T37" s="344">
        <f t="shared" si="40"/>
        <v>1</v>
      </c>
      <c r="U37" s="344">
        <f t="shared" si="40"/>
        <v>0</v>
      </c>
      <c r="V37" s="344">
        <f t="shared" si="40"/>
        <v>0</v>
      </c>
      <c r="W37" s="344">
        <f t="shared" ref="W37" si="41">SUM(W34:W36)</f>
        <v>0</v>
      </c>
      <c r="X37" s="461">
        <f>SUM(X34:X36)</f>
        <v>30286</v>
      </c>
      <c r="Y37" s="399">
        <f t="shared" ref="Y37" si="42">SUM(Y34:Y36)</f>
        <v>348</v>
      </c>
      <c r="Z37" s="344">
        <f>SUM(Z34:Z36)</f>
        <v>201.62</v>
      </c>
      <c r="AA37" s="344">
        <f>SUM(AA34:AA36)</f>
        <v>0</v>
      </c>
      <c r="AB37" s="399">
        <f t="shared" ref="AB37" si="43">SUM(AB34:AB36)</f>
        <v>-76</v>
      </c>
      <c r="AC37" s="344">
        <f>SUM(AC34:AC36)</f>
        <v>0</v>
      </c>
      <c r="AD37" s="399">
        <f t="shared" ref="AD37" si="44">SUM(AD34:AD36)</f>
        <v>439</v>
      </c>
      <c r="AE37" s="344">
        <f t="shared" ref="AE37:AK37" si="45">SUM(AE34:AE36)</f>
        <v>0</v>
      </c>
      <c r="AF37" s="344">
        <f t="shared" si="45"/>
        <v>-2554</v>
      </c>
      <c r="AG37" s="399">
        <f t="shared" si="45"/>
        <v>0</v>
      </c>
      <c r="AH37" s="601">
        <f t="shared" si="45"/>
        <v>366</v>
      </c>
      <c r="AI37" s="344">
        <f t="shared" si="45"/>
        <v>0</v>
      </c>
      <c r="AJ37" s="344">
        <f t="shared" ref="AJ37" si="46">SUM(AJ34:AJ36)</f>
        <v>0</v>
      </c>
      <c r="AK37" s="399">
        <f t="shared" si="45"/>
        <v>0</v>
      </c>
      <c r="AL37" s="578">
        <f t="shared" ref="AL37" si="47">SUM(AL34:AL36)</f>
        <v>29010.620000000003</v>
      </c>
    </row>
    <row r="38" spans="1:38" ht="12.95" customHeight="1">
      <c r="C38" s="4"/>
      <c r="D38" s="4"/>
      <c r="E38" s="344"/>
      <c r="F38" s="344"/>
      <c r="G38" s="344"/>
      <c r="H38" s="344"/>
      <c r="I38" s="399"/>
      <c r="J38" s="399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461"/>
      <c r="Y38" s="399"/>
      <c r="Z38" s="344"/>
      <c r="AA38" s="344"/>
      <c r="AB38" s="399"/>
      <c r="AC38" s="344"/>
      <c r="AD38" s="399"/>
      <c r="AE38" s="344"/>
      <c r="AF38" s="344"/>
      <c r="AG38" s="399"/>
      <c r="AH38" s="601"/>
      <c r="AI38" s="344"/>
      <c r="AJ38" s="344"/>
      <c r="AK38" s="399"/>
      <c r="AL38" s="578"/>
    </row>
    <row r="39" spans="1:38" ht="12.95" customHeight="1">
      <c r="A39" s="196">
        <v>17</v>
      </c>
      <c r="B39" s="1" t="s">
        <v>49</v>
      </c>
      <c r="C39" s="4"/>
      <c r="D39" s="4"/>
      <c r="E39" s="344">
        <f>'ROO INPUT'!$F39</f>
        <v>7352</v>
      </c>
      <c r="F39" s="462">
        <v>0</v>
      </c>
      <c r="G39" s="462">
        <v>2</v>
      </c>
      <c r="H39" s="462">
        <v>0</v>
      </c>
      <c r="I39" s="462">
        <v>0</v>
      </c>
      <c r="J39" s="462"/>
      <c r="K39" s="462">
        <v>-590</v>
      </c>
      <c r="L39" s="462">
        <v>0</v>
      </c>
      <c r="M39" s="462">
        <v>0</v>
      </c>
      <c r="N39" s="462">
        <v>0</v>
      </c>
      <c r="O39" s="462">
        <v>0</v>
      </c>
      <c r="P39" s="462">
        <v>0</v>
      </c>
      <c r="Q39" s="462">
        <v>0</v>
      </c>
      <c r="R39" s="517">
        <f>ROUND((R$15+R$16)*'Exh. No. BGM-4 3'!$E$15,0)</f>
        <v>54</v>
      </c>
      <c r="S39" s="517">
        <f>ROUND((S$15+S$16)*'Exh. No. BGM-4 3'!$E$15,0)</f>
        <v>-6</v>
      </c>
      <c r="T39" s="517">
        <v>0</v>
      </c>
      <c r="U39" s="344">
        <v>0</v>
      </c>
      <c r="V39" s="344">
        <v>0</v>
      </c>
      <c r="W39" s="517">
        <v>0</v>
      </c>
      <c r="X39" s="461">
        <f>SUM(E39:W39)</f>
        <v>6812</v>
      </c>
      <c r="Y39" s="462">
        <v>0</v>
      </c>
      <c r="Z39" s="344">
        <f>+SUM('[7]Washington Gas PF'!$I$51:$J$51)/1000</f>
        <v>108.883</v>
      </c>
      <c r="AA39" s="344">
        <v>0</v>
      </c>
      <c r="AB39" s="399">
        <v>-41</v>
      </c>
      <c r="AC39" s="344">
        <v>0</v>
      </c>
      <c r="AD39" s="517"/>
      <c r="AE39" s="517"/>
      <c r="AF39" s="517">
        <f>ROUND((AF$15+AF$16)*'Exh. No. BGM-4 3'!$E$15,0)</f>
        <v>-322</v>
      </c>
      <c r="AG39" s="462">
        <v>0</v>
      </c>
      <c r="AH39" s="462">
        <v>0</v>
      </c>
      <c r="AI39" s="517">
        <v>0</v>
      </c>
      <c r="AJ39" s="517"/>
      <c r="AK39" s="462">
        <v>0</v>
      </c>
      <c r="AL39" s="578">
        <f>SUM(X39:AK39)</f>
        <v>6557.8829999999998</v>
      </c>
    </row>
    <row r="40" spans="1:38">
      <c r="A40" s="196">
        <v>18</v>
      </c>
      <c r="B40" s="1" t="s">
        <v>50</v>
      </c>
      <c r="C40" s="4"/>
      <c r="D40" s="4"/>
      <c r="E40" s="344">
        <f>'ROO INPUT'!$F40</f>
        <v>7595</v>
      </c>
      <c r="F40" s="517">
        <v>0</v>
      </c>
      <c r="G40" s="517">
        <v>0</v>
      </c>
      <c r="H40" s="517">
        <v>0</v>
      </c>
      <c r="I40" s="517">
        <v>0</v>
      </c>
      <c r="J40" s="517">
        <v>0</v>
      </c>
      <c r="K40" s="517">
        <v>0</v>
      </c>
      <c r="L40" s="517">
        <v>0</v>
      </c>
      <c r="M40" s="517">
        <v>0</v>
      </c>
      <c r="N40" s="517">
        <v>0</v>
      </c>
      <c r="O40" s="517">
        <v>0</v>
      </c>
      <c r="P40" s="517">
        <v>0</v>
      </c>
      <c r="Q40" s="517">
        <v>0</v>
      </c>
      <c r="R40" s="517">
        <v>0</v>
      </c>
      <c r="S40" s="517">
        <v>-6632</v>
      </c>
      <c r="T40" s="517">
        <v>0</v>
      </c>
      <c r="U40" s="517">
        <v>0</v>
      </c>
      <c r="V40" s="517">
        <v>0</v>
      </c>
      <c r="W40" s="517">
        <v>0</v>
      </c>
      <c r="X40" s="461">
        <f>SUM(E40:W40)</f>
        <v>963</v>
      </c>
      <c r="Y40" s="517">
        <v>0</v>
      </c>
      <c r="Z40" s="517">
        <f>+SUM('[7]Washington Gas PF'!$I$57:$J$57)/1000</f>
        <v>9.4719999999999995</v>
      </c>
      <c r="AA40" s="517">
        <v>0</v>
      </c>
      <c r="AB40" s="517">
        <v>-4</v>
      </c>
      <c r="AC40" s="517">
        <v>0</v>
      </c>
      <c r="AD40" s="517">
        <v>0</v>
      </c>
      <c r="AE40" s="517">
        <v>0</v>
      </c>
      <c r="AF40" s="517">
        <v>0</v>
      </c>
      <c r="AG40" s="517">
        <v>0</v>
      </c>
      <c r="AH40" s="462">
        <v>0</v>
      </c>
      <c r="AI40" s="517">
        <v>0</v>
      </c>
      <c r="AJ40" s="517">
        <v>0</v>
      </c>
      <c r="AK40" s="517">
        <v>0</v>
      </c>
      <c r="AL40" s="578">
        <f>SUM(X40:AK40)</f>
        <v>968.47199999999998</v>
      </c>
    </row>
    <row r="41" spans="1:38">
      <c r="A41" s="196">
        <v>19</v>
      </c>
      <c r="B41" s="1" t="s">
        <v>51</v>
      </c>
      <c r="C41" s="4"/>
      <c r="D41" s="4"/>
      <c r="E41" s="344">
        <f>'ROO INPUT'!$F41</f>
        <v>0</v>
      </c>
      <c r="F41" s="517">
        <v>0</v>
      </c>
      <c r="G41" s="517">
        <v>0</v>
      </c>
      <c r="H41" s="517">
        <v>0</v>
      </c>
      <c r="I41" s="517">
        <v>0</v>
      </c>
      <c r="J41" s="517">
        <v>0</v>
      </c>
      <c r="K41" s="517">
        <v>0</v>
      </c>
      <c r="L41" s="517">
        <v>0</v>
      </c>
      <c r="M41" s="517">
        <v>0</v>
      </c>
      <c r="N41" s="517">
        <v>0</v>
      </c>
      <c r="O41" s="517">
        <v>0</v>
      </c>
      <c r="P41" s="517">
        <v>0</v>
      </c>
      <c r="Q41" s="517">
        <v>0</v>
      </c>
      <c r="R41" s="517">
        <v>0</v>
      </c>
      <c r="S41" s="517">
        <v>0</v>
      </c>
      <c r="T41" s="517">
        <v>0</v>
      </c>
      <c r="U41" s="517">
        <v>0</v>
      </c>
      <c r="V41" s="517">
        <v>0</v>
      </c>
      <c r="W41" s="517">
        <v>0</v>
      </c>
      <c r="X41" s="461">
        <f>SUM(E41:W41)</f>
        <v>0</v>
      </c>
      <c r="Y41" s="517">
        <v>0</v>
      </c>
      <c r="Z41" s="517">
        <v>0</v>
      </c>
      <c r="AA41" s="517">
        <v>0</v>
      </c>
      <c r="AB41" s="517">
        <v>0</v>
      </c>
      <c r="AC41" s="517">
        <v>0</v>
      </c>
      <c r="AD41" s="517">
        <v>0</v>
      </c>
      <c r="AE41" s="517">
        <v>0</v>
      </c>
      <c r="AF41" s="517">
        <v>0</v>
      </c>
      <c r="AG41" s="517">
        <v>0</v>
      </c>
      <c r="AH41" s="462">
        <v>0</v>
      </c>
      <c r="AI41" s="517">
        <v>0</v>
      </c>
      <c r="AJ41" s="517">
        <v>0</v>
      </c>
      <c r="AK41" s="517">
        <v>0</v>
      </c>
      <c r="AL41" s="578">
        <f>SUM(X41:AK41)</f>
        <v>0</v>
      </c>
    </row>
    <row r="42" spans="1:38">
      <c r="C42" s="4"/>
      <c r="D42" s="4"/>
      <c r="E42" s="344"/>
      <c r="F42" s="517"/>
      <c r="G42" s="517"/>
      <c r="H42" s="517"/>
      <c r="I42" s="517"/>
      <c r="J42" s="517"/>
      <c r="K42" s="517"/>
      <c r="L42" s="517"/>
      <c r="M42" s="517"/>
      <c r="N42" s="517"/>
      <c r="O42" s="517"/>
      <c r="P42" s="517"/>
      <c r="Q42" s="517"/>
      <c r="R42" s="517"/>
      <c r="S42" s="517"/>
      <c r="T42" s="517"/>
      <c r="U42" s="517"/>
      <c r="V42" s="517"/>
      <c r="W42" s="517"/>
      <c r="X42" s="461"/>
      <c r="Y42" s="517"/>
      <c r="Z42" s="517"/>
      <c r="AA42" s="517"/>
      <c r="AB42" s="517"/>
      <c r="AC42" s="517"/>
      <c r="AD42" s="517"/>
      <c r="AE42" s="517"/>
      <c r="AF42" s="517"/>
      <c r="AG42" s="517"/>
      <c r="AH42" s="462"/>
      <c r="AI42" s="517"/>
      <c r="AJ42" s="517"/>
      <c r="AK42" s="517"/>
      <c r="AL42" s="578"/>
    </row>
    <row r="43" spans="1:38">
      <c r="B43" s="1" t="s">
        <v>52</v>
      </c>
      <c r="C43" s="4"/>
      <c r="D43" s="4"/>
      <c r="E43" s="344"/>
      <c r="F43" s="517"/>
      <c r="G43" s="517"/>
      <c r="H43" s="517"/>
      <c r="I43" s="517"/>
      <c r="J43" s="517"/>
      <c r="K43" s="517"/>
      <c r="L43" s="517"/>
      <c r="M43" s="517"/>
      <c r="N43" s="517"/>
      <c r="O43" s="517"/>
      <c r="P43" s="517"/>
      <c r="Q43" s="517"/>
      <c r="R43" s="517"/>
      <c r="S43" s="517"/>
      <c r="T43" s="517"/>
      <c r="U43" s="517"/>
      <c r="V43" s="517"/>
      <c r="W43" s="517"/>
      <c r="X43" s="461">
        <f>SUM(E43:W43)</f>
        <v>0</v>
      </c>
      <c r="Y43" s="517"/>
      <c r="Z43" s="517"/>
      <c r="AA43" s="517"/>
      <c r="AB43" s="517"/>
      <c r="AC43" s="517"/>
      <c r="AD43" s="517"/>
      <c r="AE43" s="517"/>
      <c r="AF43" s="517"/>
      <c r="AG43" s="517"/>
      <c r="AH43" s="462"/>
      <c r="AI43" s="517"/>
      <c r="AJ43" s="517"/>
      <c r="AK43" s="517"/>
      <c r="AL43" s="578"/>
    </row>
    <row r="44" spans="1:38">
      <c r="A44" s="196">
        <v>20</v>
      </c>
      <c r="C44" s="4" t="s">
        <v>44</v>
      </c>
      <c r="D44" s="4"/>
      <c r="E44" s="344">
        <f>'ROO INPUT'!$F44</f>
        <v>13763</v>
      </c>
      <c r="F44" s="517">
        <v>0</v>
      </c>
      <c r="G44" s="517">
        <v>0</v>
      </c>
      <c r="H44" s="517">
        <v>0</v>
      </c>
      <c r="I44" s="517">
        <v>0</v>
      </c>
      <c r="J44" s="517">
        <v>0</v>
      </c>
      <c r="K44" s="517">
        <v>0</v>
      </c>
      <c r="L44" s="517">
        <v>-3</v>
      </c>
      <c r="M44" s="517">
        <v>76</v>
      </c>
      <c r="N44" s="517">
        <v>0</v>
      </c>
      <c r="O44" s="517">
        <v>-9</v>
      </c>
      <c r="P44" s="517">
        <v>0</v>
      </c>
      <c r="Q44" s="517">
        <v>0</v>
      </c>
      <c r="R44" s="517">
        <f>ROUND((R$15+R$16)*'Exh. No. BGM-4 3'!$E$17,0)</f>
        <v>22</v>
      </c>
      <c r="S44" s="517">
        <f>ROUND((S$15+S$16)*'Exh. No. BGM-4 3'!$E$17,0)</f>
        <v>-2</v>
      </c>
      <c r="T44" s="517">
        <v>-316</v>
      </c>
      <c r="U44" s="517">
        <v>0</v>
      </c>
      <c r="V44" s="517">
        <v>-181</v>
      </c>
      <c r="W44" s="517">
        <v>0</v>
      </c>
      <c r="X44" s="461">
        <f>SUM(E44:W44)</f>
        <v>13350</v>
      </c>
      <c r="Y44" s="517">
        <v>0</v>
      </c>
      <c r="Z44" s="517">
        <f>+SUM('[7]Washington Gas PF'!$I$76:$J$76)/1000</f>
        <v>132.86699999999999</v>
      </c>
      <c r="AA44" s="682">
        <v>-10</v>
      </c>
      <c r="AB44" s="517">
        <v>-49</v>
      </c>
      <c r="AC44" s="517">
        <v>34</v>
      </c>
      <c r="AD44" s="517">
        <v>0</v>
      </c>
      <c r="AE44" s="682">
        <v>201</v>
      </c>
      <c r="AF44" s="517">
        <f>ROUND((AF$15+AF$16)*'Exh. No. BGM-4 3'!$E$17,0)</f>
        <v>-133</v>
      </c>
      <c r="AG44" s="517">
        <v>0</v>
      </c>
      <c r="AH44" s="462">
        <v>0</v>
      </c>
      <c r="AI44" s="517">
        <v>-32</v>
      </c>
      <c r="AJ44" s="682"/>
      <c r="AK44" s="517">
        <v>0</v>
      </c>
      <c r="AL44" s="578">
        <f>SUM(X44:AK44)</f>
        <v>13493.867</v>
      </c>
    </row>
    <row r="45" spans="1:38">
      <c r="A45" s="196">
        <v>21</v>
      </c>
      <c r="C45" s="4" t="s">
        <v>219</v>
      </c>
      <c r="D45" s="4"/>
      <c r="E45" s="344">
        <f>'ROO INPUT'!$F45</f>
        <v>6260</v>
      </c>
      <c r="F45" s="517">
        <v>0</v>
      </c>
      <c r="G45" s="517">
        <v>0</v>
      </c>
      <c r="H45" s="517">
        <v>0</v>
      </c>
      <c r="I45" s="517">
        <v>0</v>
      </c>
      <c r="J45" s="517">
        <v>0</v>
      </c>
      <c r="K45" s="517">
        <v>0</v>
      </c>
      <c r="L45" s="517">
        <v>0</v>
      </c>
      <c r="M45" s="517">
        <v>0</v>
      </c>
      <c r="N45" s="517">
        <v>0</v>
      </c>
      <c r="O45" s="517">
        <v>0</v>
      </c>
      <c r="P45" s="517">
        <v>0</v>
      </c>
      <c r="Q45" s="517">
        <v>0</v>
      </c>
      <c r="R45" s="517"/>
      <c r="S45" s="517"/>
      <c r="T45" s="517">
        <v>0</v>
      </c>
      <c r="U45" s="517">
        <v>0</v>
      </c>
      <c r="V45" s="517">
        <v>0</v>
      </c>
      <c r="W45" s="517">
        <v>0</v>
      </c>
      <c r="X45" s="461">
        <f>SUM(E45:W45)</f>
        <v>6260</v>
      </c>
      <c r="Y45" s="517">
        <v>0</v>
      </c>
      <c r="Z45" s="517">
        <v>0</v>
      </c>
      <c r="AA45" s="517">
        <v>0</v>
      </c>
      <c r="AB45" s="517">
        <v>0</v>
      </c>
      <c r="AC45" s="517"/>
      <c r="AD45" s="517">
        <v>0</v>
      </c>
      <c r="AE45" s="517">
        <v>0</v>
      </c>
      <c r="AF45" s="517">
        <v>0</v>
      </c>
      <c r="AG45" s="517">
        <v>0</v>
      </c>
      <c r="AH45" s="462"/>
      <c r="AI45" s="517">
        <v>0</v>
      </c>
      <c r="AJ45" s="517">
        <v>0</v>
      </c>
      <c r="AK45" s="517">
        <v>0</v>
      </c>
      <c r="AL45" s="578">
        <f>SUM(X45:AK45)</f>
        <v>6260</v>
      </c>
    </row>
    <row r="46" spans="1:38">
      <c r="A46" s="196">
        <v>22</v>
      </c>
      <c r="C46" s="492" t="s">
        <v>433</v>
      </c>
      <c r="D46" s="4"/>
      <c r="E46" s="344">
        <f>'ROO INPUT'!$F46</f>
        <v>0</v>
      </c>
      <c r="F46" s="517"/>
      <c r="G46" s="517"/>
      <c r="H46" s="517"/>
      <c r="I46" s="517"/>
      <c r="J46" s="517"/>
      <c r="K46" s="517"/>
      <c r="L46" s="517"/>
      <c r="M46" s="517"/>
      <c r="N46" s="517"/>
      <c r="O46" s="517"/>
      <c r="P46" s="517"/>
      <c r="Q46" s="517"/>
      <c r="R46" s="517">
        <v>0</v>
      </c>
      <c r="S46" s="517">
        <v>0</v>
      </c>
      <c r="T46" s="517">
        <v>0</v>
      </c>
      <c r="U46" s="517">
        <v>1079</v>
      </c>
      <c r="V46" s="517">
        <v>0</v>
      </c>
      <c r="W46" s="517">
        <v>0</v>
      </c>
      <c r="X46" s="461">
        <f>SUM(E46:W46)</f>
        <v>1079</v>
      </c>
      <c r="Y46" s="517"/>
      <c r="Z46" s="517"/>
      <c r="AA46" s="517"/>
      <c r="AB46" s="517"/>
      <c r="AC46" s="517">
        <v>0</v>
      </c>
      <c r="AD46" s="517"/>
      <c r="AE46" s="517"/>
      <c r="AF46" s="517">
        <v>0</v>
      </c>
      <c r="AG46" s="675">
        <v>-1079</v>
      </c>
      <c r="AH46" s="462"/>
      <c r="AI46" s="517"/>
      <c r="AJ46" s="517"/>
      <c r="AK46" s="517">
        <v>584</v>
      </c>
      <c r="AL46" s="578">
        <f>SUM(X46:AK46)</f>
        <v>584</v>
      </c>
    </row>
    <row r="47" spans="1:38">
      <c r="A47" s="196">
        <v>23</v>
      </c>
      <c r="C47" s="4" t="s">
        <v>21</v>
      </c>
      <c r="D47" s="4"/>
      <c r="E47" s="346">
        <f>'ROO INPUT'!$F47</f>
        <v>0</v>
      </c>
      <c r="F47" s="463">
        <v>0</v>
      </c>
      <c r="G47" s="463">
        <v>0</v>
      </c>
      <c r="H47" s="463">
        <v>0</v>
      </c>
      <c r="I47" s="463">
        <v>0</v>
      </c>
      <c r="J47" s="463">
        <v>0</v>
      </c>
      <c r="K47" s="463">
        <v>0</v>
      </c>
      <c r="L47" s="463">
        <v>0</v>
      </c>
      <c r="M47" s="463">
        <v>0</v>
      </c>
      <c r="N47" s="463">
        <v>0</v>
      </c>
      <c r="O47" s="463">
        <v>0</v>
      </c>
      <c r="P47" s="463">
        <v>0</v>
      </c>
      <c r="Q47" s="463">
        <v>0</v>
      </c>
      <c r="R47" s="463">
        <v>0</v>
      </c>
      <c r="S47" s="463">
        <v>0</v>
      </c>
      <c r="T47" s="463">
        <v>0</v>
      </c>
      <c r="U47" s="463">
        <v>0</v>
      </c>
      <c r="V47" s="463">
        <v>0</v>
      </c>
      <c r="W47" s="463">
        <v>0</v>
      </c>
      <c r="X47" s="464">
        <f>SUM(E47:W47)</f>
        <v>0</v>
      </c>
      <c r="Y47" s="463">
        <v>0</v>
      </c>
      <c r="Z47" s="463">
        <v>0</v>
      </c>
      <c r="AA47" s="463">
        <v>0</v>
      </c>
      <c r="AB47" s="463">
        <v>0</v>
      </c>
      <c r="AC47" s="463">
        <v>0</v>
      </c>
      <c r="AD47" s="463">
        <v>0</v>
      </c>
      <c r="AE47" s="463">
        <v>0</v>
      </c>
      <c r="AF47" s="463">
        <v>0</v>
      </c>
      <c r="AG47" s="463">
        <v>0</v>
      </c>
      <c r="AH47" s="463">
        <v>0</v>
      </c>
      <c r="AI47" s="463">
        <v>0</v>
      </c>
      <c r="AJ47" s="463">
        <v>0</v>
      </c>
      <c r="AK47" s="463">
        <v>0</v>
      </c>
      <c r="AL47" s="573">
        <f>SUM(X47:AK47)</f>
        <v>0</v>
      </c>
    </row>
    <row r="48" spans="1:38">
      <c r="A48" s="196">
        <v>24</v>
      </c>
      <c r="B48" s="4" t="s">
        <v>53</v>
      </c>
      <c r="C48" s="4"/>
      <c r="E48" s="346">
        <f>SUM(E44:E47)</f>
        <v>20023</v>
      </c>
      <c r="F48" s="346">
        <f t="shared" ref="F48:N48" si="48">SUM(F44:F47)</f>
        <v>0</v>
      </c>
      <c r="G48" s="346">
        <f t="shared" si="48"/>
        <v>0</v>
      </c>
      <c r="H48" s="346">
        <f t="shared" si="48"/>
        <v>0</v>
      </c>
      <c r="I48" s="346">
        <f t="shared" si="48"/>
        <v>0</v>
      </c>
      <c r="J48" s="346">
        <f>SUM(J44:J47)</f>
        <v>0</v>
      </c>
      <c r="K48" s="346">
        <f t="shared" si="48"/>
        <v>0</v>
      </c>
      <c r="L48" s="346">
        <f t="shared" si="48"/>
        <v>-3</v>
      </c>
      <c r="M48" s="346">
        <f t="shared" si="48"/>
        <v>76</v>
      </c>
      <c r="N48" s="346">
        <f t="shared" si="48"/>
        <v>0</v>
      </c>
      <c r="O48" s="346">
        <f t="shared" ref="O48:P48" si="49">SUM(O44:O47)</f>
        <v>-9</v>
      </c>
      <c r="P48" s="346">
        <f t="shared" si="49"/>
        <v>0</v>
      </c>
      <c r="Q48" s="346">
        <f t="shared" ref="Q48:W48" si="50">SUM(Q44:Q47)</f>
        <v>0</v>
      </c>
      <c r="R48" s="346">
        <f t="shared" si="50"/>
        <v>22</v>
      </c>
      <c r="S48" s="346">
        <f t="shared" si="50"/>
        <v>-2</v>
      </c>
      <c r="T48" s="346">
        <f t="shared" si="50"/>
        <v>-316</v>
      </c>
      <c r="U48" s="346">
        <f>SUM(U44:U47)</f>
        <v>1079</v>
      </c>
      <c r="V48" s="346">
        <f>SUM(V44:V47)</f>
        <v>-181</v>
      </c>
      <c r="W48" s="346">
        <f t="shared" si="50"/>
        <v>0</v>
      </c>
      <c r="X48" s="464">
        <f t="shared" ref="X48" si="51">SUM(X44:X47)</f>
        <v>20689</v>
      </c>
      <c r="Y48" s="348">
        <f t="shared" ref="Y48:Z48" si="52">SUM(Y44:Y47)</f>
        <v>0</v>
      </c>
      <c r="Z48" s="346">
        <f t="shared" si="52"/>
        <v>132.86699999999999</v>
      </c>
      <c r="AA48" s="346">
        <f>SUM(AA44:AA47)</f>
        <v>-10</v>
      </c>
      <c r="AB48" s="346">
        <f t="shared" ref="AB48" si="53">SUM(AB44:AB47)</f>
        <v>-49</v>
      </c>
      <c r="AC48" s="346">
        <f>SUM(AC44:AC47)</f>
        <v>34</v>
      </c>
      <c r="AD48" s="346">
        <f t="shared" ref="AD48" si="54">SUM(AD44:AD47)</f>
        <v>0</v>
      </c>
      <c r="AE48" s="346">
        <f t="shared" ref="AE48:AK48" si="55">SUM(AE44:AE47)</f>
        <v>201</v>
      </c>
      <c r="AF48" s="346">
        <f t="shared" si="55"/>
        <v>-133</v>
      </c>
      <c r="AG48" s="348">
        <f t="shared" si="55"/>
        <v>-1079</v>
      </c>
      <c r="AH48" s="348">
        <f t="shared" si="55"/>
        <v>0</v>
      </c>
      <c r="AI48" s="346">
        <f t="shared" si="55"/>
        <v>-32</v>
      </c>
      <c r="AJ48" s="346">
        <f t="shared" ref="AJ48" si="56">SUM(AJ44:AJ47)</f>
        <v>0</v>
      </c>
      <c r="AK48" s="348">
        <f t="shared" si="55"/>
        <v>584</v>
      </c>
      <c r="AL48" s="573">
        <f t="shared" ref="AL48" si="57">SUM(AL44:AL47)</f>
        <v>20337.866999999998</v>
      </c>
    </row>
    <row r="49" spans="1:38" ht="19.5" customHeight="1">
      <c r="A49" s="196">
        <v>25</v>
      </c>
      <c r="B49" s="1" t="s">
        <v>54</v>
      </c>
      <c r="C49" s="4"/>
      <c r="D49" s="4"/>
      <c r="E49" s="346">
        <f t="shared" ref="E49:AB49" si="58">E21+E25+E31+E37+E39+E40+E41+E48</f>
        <v>187893</v>
      </c>
      <c r="F49" s="346">
        <f t="shared" si="58"/>
        <v>0</v>
      </c>
      <c r="G49" s="346">
        <f t="shared" si="58"/>
        <v>2</v>
      </c>
      <c r="H49" s="346">
        <f t="shared" si="58"/>
        <v>0</v>
      </c>
      <c r="I49" s="346">
        <f t="shared" si="58"/>
        <v>-5183</v>
      </c>
      <c r="J49" s="346">
        <f>J21+J25+J31+J37+J39+J40+J41+J48</f>
        <v>375</v>
      </c>
      <c r="K49" s="346">
        <f t="shared" si="58"/>
        <v>-590</v>
      </c>
      <c r="L49" s="346">
        <f t="shared" si="58"/>
        <v>-3</v>
      </c>
      <c r="M49" s="346">
        <f t="shared" si="58"/>
        <v>76</v>
      </c>
      <c r="N49" s="346">
        <f t="shared" si="58"/>
        <v>0</v>
      </c>
      <c r="O49" s="346">
        <f t="shared" si="58"/>
        <v>-9</v>
      </c>
      <c r="P49" s="346">
        <f t="shared" si="58"/>
        <v>2</v>
      </c>
      <c r="Q49" s="346">
        <f t="shared" ref="Q49:W49" si="59">Q21+Q25+Q31+Q37+Q39+Q40+Q41+Q48</f>
        <v>-13</v>
      </c>
      <c r="R49" s="346">
        <f t="shared" si="59"/>
        <v>5786</v>
      </c>
      <c r="S49" s="346">
        <f t="shared" si="59"/>
        <v>-64039</v>
      </c>
      <c r="T49" s="346">
        <f t="shared" si="59"/>
        <v>-315</v>
      </c>
      <c r="U49" s="346">
        <f>U21+U25+U31+U37+U39+U40+U41+U48</f>
        <v>1079</v>
      </c>
      <c r="V49" s="346">
        <f>V21+V25+V31+V37+V39+V40+V41+V48</f>
        <v>-181</v>
      </c>
      <c r="W49" s="346">
        <f t="shared" si="59"/>
        <v>0</v>
      </c>
      <c r="X49" s="464">
        <f t="shared" si="58"/>
        <v>124880</v>
      </c>
      <c r="Y49" s="348">
        <f t="shared" ref="Y49:Z49" si="60">Y21+Y25+Y31+Y37+Y39+Y40+Y41+Y48</f>
        <v>348</v>
      </c>
      <c r="Z49" s="346">
        <f t="shared" si="60"/>
        <v>469.04099999999994</v>
      </c>
      <c r="AA49" s="346">
        <f t="shared" si="58"/>
        <v>-10</v>
      </c>
      <c r="AB49" s="346">
        <f t="shared" si="58"/>
        <v>-176</v>
      </c>
      <c r="AC49" s="346">
        <f>AC21+AC25+AC31+AC37+AC39+AC40+AC41+AC48</f>
        <v>34</v>
      </c>
      <c r="AD49" s="346">
        <f t="shared" ref="AD49" si="61">AD21+AD25+AD31+AD37+AD39+AD40+AD41+AD48</f>
        <v>476</v>
      </c>
      <c r="AE49" s="346">
        <f>AE21+AE25+AE31+AE37+AE39+AE40+AE41+AE48</f>
        <v>201</v>
      </c>
      <c r="AF49" s="346">
        <f>AF21+AF25+AF31+AF37+AF39+AF40+AF41+AF48</f>
        <v>-66469</v>
      </c>
      <c r="AG49" s="348">
        <f t="shared" ref="AG49:AK49" si="62">AG21+AG25+AG31+AG37+AG39+AG40+AG41+AG48</f>
        <v>-1079</v>
      </c>
      <c r="AH49" s="348">
        <f>AH21+AH25+AH31+AH37+AH39+AH40+AH41+AH48</f>
        <v>366</v>
      </c>
      <c r="AI49" s="346">
        <f>AI21+AI25+AI31+AI37+AI39+AI40+AI41+AI48</f>
        <v>-32</v>
      </c>
      <c r="AJ49" s="346">
        <f>AJ21+AJ25+AJ31+AJ37+AJ39+AJ40+AJ41+AJ48</f>
        <v>0</v>
      </c>
      <c r="AK49" s="348">
        <f t="shared" si="62"/>
        <v>584</v>
      </c>
      <c r="AL49" s="573">
        <f t="shared" ref="AL49" si="63">AL21+AL25+AL31+AL37+AL39+AL40+AL41+AL48</f>
        <v>59592.041000000005</v>
      </c>
    </row>
    <row r="50" spans="1:38" ht="9" customHeight="1">
      <c r="C50" s="4"/>
      <c r="D50" s="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461"/>
      <c r="Y50" s="399"/>
      <c r="Z50" s="344"/>
      <c r="AA50" s="344"/>
      <c r="AB50" s="344"/>
      <c r="AC50" s="344"/>
      <c r="AD50" s="344"/>
      <c r="AE50" s="344"/>
      <c r="AF50" s="344"/>
      <c r="AG50" s="399"/>
      <c r="AH50" s="601"/>
      <c r="AI50" s="344"/>
      <c r="AJ50" s="344"/>
      <c r="AK50" s="399"/>
      <c r="AL50" s="578"/>
    </row>
    <row r="51" spans="1:38" ht="12.95" customHeight="1">
      <c r="A51" s="196">
        <v>26</v>
      </c>
      <c r="B51" s="1" t="s">
        <v>55</v>
      </c>
      <c r="C51" s="4"/>
      <c r="D51" s="4"/>
      <c r="E51" s="344">
        <f t="shared" ref="E51:P51" si="64">E18-E49</f>
        <v>32523</v>
      </c>
      <c r="F51" s="344">
        <f t="shared" si="64"/>
        <v>0</v>
      </c>
      <c r="G51" s="344">
        <f t="shared" si="64"/>
        <v>-2</v>
      </c>
      <c r="H51" s="344">
        <f t="shared" si="64"/>
        <v>0</v>
      </c>
      <c r="I51" s="344">
        <f t="shared" si="64"/>
        <v>-32</v>
      </c>
      <c r="J51" s="344">
        <f>J18-J49</f>
        <v>-375</v>
      </c>
      <c r="K51" s="344">
        <f t="shared" si="64"/>
        <v>590</v>
      </c>
      <c r="L51" s="344">
        <f t="shared" si="64"/>
        <v>3</v>
      </c>
      <c r="M51" s="344">
        <f t="shared" si="64"/>
        <v>-76</v>
      </c>
      <c r="N51" s="344">
        <f t="shared" si="64"/>
        <v>0</v>
      </c>
      <c r="O51" s="344">
        <f t="shared" si="64"/>
        <v>9</v>
      </c>
      <c r="P51" s="344">
        <f t="shared" si="64"/>
        <v>-2</v>
      </c>
      <c r="Q51" s="344">
        <f t="shared" ref="Q51:W51" si="65">Q18-Q49</f>
        <v>13</v>
      </c>
      <c r="R51" s="344">
        <f t="shared" si="65"/>
        <v>-4</v>
      </c>
      <c r="S51" s="344">
        <f t="shared" si="65"/>
        <v>-477</v>
      </c>
      <c r="T51" s="344">
        <f t="shared" si="65"/>
        <v>315</v>
      </c>
      <c r="U51" s="344">
        <f>U18-U49</f>
        <v>-1079</v>
      </c>
      <c r="V51" s="344">
        <f>V18-V49</f>
        <v>181</v>
      </c>
      <c r="W51" s="344">
        <f t="shared" si="65"/>
        <v>0</v>
      </c>
      <c r="X51" s="461">
        <f>SUM(E51:W51)</f>
        <v>31587</v>
      </c>
      <c r="Y51" s="399">
        <f t="shared" ref="Y51:Z51" si="66">Y18-Y49</f>
        <v>-348</v>
      </c>
      <c r="Z51" s="344">
        <f t="shared" si="66"/>
        <v>-469.04099999999994</v>
      </c>
      <c r="AA51" s="344">
        <f t="shared" ref="AA51:AB51" si="67">AA18-AA49</f>
        <v>10</v>
      </c>
      <c r="AB51" s="344">
        <f t="shared" si="67"/>
        <v>176</v>
      </c>
      <c r="AC51" s="344">
        <f>AC18-AC49</f>
        <v>-34</v>
      </c>
      <c r="AD51" s="344">
        <f t="shared" ref="AD51" si="68">AD18-AD49</f>
        <v>-476</v>
      </c>
      <c r="AE51" s="344">
        <f t="shared" ref="AE51:AK51" si="69">AE18-AE49</f>
        <v>-201</v>
      </c>
      <c r="AF51" s="344">
        <f t="shared" si="69"/>
        <v>-922</v>
      </c>
      <c r="AG51" s="399">
        <f t="shared" si="69"/>
        <v>1079</v>
      </c>
      <c r="AH51" s="601">
        <f t="shared" si="69"/>
        <v>-366</v>
      </c>
      <c r="AI51" s="344">
        <f t="shared" si="69"/>
        <v>32</v>
      </c>
      <c r="AJ51" s="344">
        <f t="shared" ref="AJ51" si="70">AJ18-AJ49</f>
        <v>0</v>
      </c>
      <c r="AK51" s="399">
        <f t="shared" si="69"/>
        <v>-584</v>
      </c>
      <c r="AL51" s="578">
        <f t="shared" ref="AL51" si="71">AL18-AL49</f>
        <v>29483.958999999995</v>
      </c>
    </row>
    <row r="52" spans="1:38" ht="12.95" customHeight="1">
      <c r="C52" s="4"/>
      <c r="D52" s="4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461"/>
      <c r="Y52" s="399"/>
      <c r="Z52" s="344"/>
      <c r="AA52" s="344"/>
      <c r="AB52" s="344"/>
      <c r="AC52" s="344"/>
      <c r="AD52" s="344"/>
      <c r="AE52" s="344"/>
      <c r="AF52" s="344"/>
      <c r="AG52" s="399"/>
      <c r="AH52" s="601"/>
      <c r="AI52" s="344"/>
      <c r="AJ52" s="344"/>
      <c r="AK52" s="399"/>
      <c r="AL52" s="578"/>
    </row>
    <row r="53" spans="1:38" ht="12.95" customHeight="1">
      <c r="B53" s="1" t="s">
        <v>56</v>
      </c>
      <c r="C53" s="4"/>
      <c r="D53" s="4"/>
      <c r="E53" s="344"/>
      <c r="F53" s="517"/>
      <c r="G53" s="517"/>
      <c r="H53" s="517"/>
      <c r="I53" s="517"/>
      <c r="J53" s="517"/>
      <c r="K53" s="517"/>
      <c r="L53" s="517"/>
      <c r="M53" s="517"/>
      <c r="N53" s="517"/>
      <c r="O53" s="517"/>
      <c r="P53" s="517"/>
      <c r="Q53" s="517"/>
      <c r="R53" s="517"/>
      <c r="S53" s="517"/>
      <c r="T53" s="517"/>
      <c r="U53" s="517"/>
      <c r="V53" s="517"/>
      <c r="W53" s="517"/>
      <c r="X53" s="461"/>
      <c r="Y53" s="517"/>
      <c r="Z53" s="517"/>
      <c r="AA53" s="517"/>
      <c r="AB53" s="517"/>
      <c r="AC53" s="517"/>
      <c r="AD53" s="517"/>
      <c r="AE53" s="517"/>
      <c r="AF53" s="517"/>
      <c r="AG53" s="517"/>
      <c r="AH53" s="462"/>
      <c r="AI53" s="517"/>
      <c r="AJ53" s="517"/>
      <c r="AK53" s="517"/>
      <c r="AL53" s="578"/>
    </row>
    <row r="54" spans="1:38">
      <c r="A54" s="196">
        <v>27</v>
      </c>
      <c r="B54" s="4" t="s">
        <v>57</v>
      </c>
      <c r="D54" s="4"/>
      <c r="E54" s="344">
        <f>'ROO INPUT'!$F54</f>
        <v>-841</v>
      </c>
      <c r="F54" s="517">
        <f>F51*0.35</f>
        <v>0</v>
      </c>
      <c r="G54" s="517">
        <f>G51*0.35</f>
        <v>-0.7</v>
      </c>
      <c r="H54" s="517">
        <f t="shared" ref="H54" si="72">H51*0.35</f>
        <v>0</v>
      </c>
      <c r="I54" s="517">
        <f t="shared" ref="I54:M54" si="73">I51*0.35</f>
        <v>-11.2</v>
      </c>
      <c r="J54" s="517">
        <f>J51*0.35</f>
        <v>-131.25</v>
      </c>
      <c r="K54" s="517">
        <f t="shared" si="73"/>
        <v>206.5</v>
      </c>
      <c r="L54" s="517">
        <f t="shared" si="73"/>
        <v>1.0499999999999998</v>
      </c>
      <c r="M54" s="517">
        <f t="shared" si="73"/>
        <v>-26.599999999999998</v>
      </c>
      <c r="N54" s="517">
        <v>0</v>
      </c>
      <c r="O54" s="517">
        <f>O51*0.35</f>
        <v>3.15</v>
      </c>
      <c r="P54" s="517">
        <f t="shared" ref="P54" si="74">P51*0.35</f>
        <v>-0.7</v>
      </c>
      <c r="Q54" s="517">
        <f>Q51*0.35</f>
        <v>4.55</v>
      </c>
      <c r="R54" s="517">
        <f>R51*0.35</f>
        <v>-1.4</v>
      </c>
      <c r="S54" s="517">
        <f>S51*0.35</f>
        <v>-166.95</v>
      </c>
      <c r="T54" s="517">
        <f>T51*0.35</f>
        <v>110.25</v>
      </c>
      <c r="U54" s="517">
        <f t="shared" ref="U54:V54" si="75">U51*0.35</f>
        <v>-377.65</v>
      </c>
      <c r="V54" s="517">
        <f t="shared" si="75"/>
        <v>63.349999999999994</v>
      </c>
      <c r="W54" s="517">
        <f>'DEBT CALC'!E54</f>
        <v>40</v>
      </c>
      <c r="X54" s="461">
        <f>SUM(E54:W54)</f>
        <v>-1128.6000000000004</v>
      </c>
      <c r="Y54" s="517">
        <f>Y51*0.35</f>
        <v>-121.8</v>
      </c>
      <c r="Z54" s="517">
        <f>Z51*0.35</f>
        <v>-164.16434999999996</v>
      </c>
      <c r="AA54" s="517">
        <f t="shared" ref="AA54:AB54" si="76">AA51*0.35</f>
        <v>3.5</v>
      </c>
      <c r="AB54" s="517">
        <f t="shared" si="76"/>
        <v>61.599999999999994</v>
      </c>
      <c r="AC54" s="517">
        <f>AC51*0.35</f>
        <v>-11.899999999999999</v>
      </c>
      <c r="AD54" s="517">
        <f t="shared" ref="AD54" si="77">AD51*0.35</f>
        <v>-166.6</v>
      </c>
      <c r="AE54" s="517">
        <f>AE51*0.35</f>
        <v>-70.349999999999994</v>
      </c>
      <c r="AF54" s="517">
        <f t="shared" ref="AF54:AH54" si="78">AF51*0.35</f>
        <v>-322.7</v>
      </c>
      <c r="AG54" s="517">
        <f t="shared" si="78"/>
        <v>377.65</v>
      </c>
      <c r="AH54" s="462">
        <f t="shared" si="78"/>
        <v>-128.1</v>
      </c>
      <c r="AI54" s="517">
        <f>AI51*0.35</f>
        <v>11.2</v>
      </c>
      <c r="AJ54" s="517">
        <f>AJ51*0.35</f>
        <v>0</v>
      </c>
      <c r="AK54" s="517">
        <f t="shared" ref="AK54" si="79">AK51*0.35</f>
        <v>-204.39999999999998</v>
      </c>
      <c r="AL54" s="578">
        <f>SUM(X54:AK54)</f>
        <v>-1864.66435</v>
      </c>
    </row>
    <row r="55" spans="1:38">
      <c r="A55" s="196">
        <v>28</v>
      </c>
      <c r="B55" s="4" t="s">
        <v>200</v>
      </c>
      <c r="D55" s="4"/>
      <c r="E55" s="344">
        <f>'ROO INPUT'!$F55</f>
        <v>0</v>
      </c>
      <c r="F55" s="517">
        <f>(F82*'Exh. No. BGM-4 2'!$P$13)*-0.35</f>
        <v>3.0485000000000002</v>
      </c>
      <c r="G55" s="517">
        <f>(G82*'Exh. No. BGM-4 2'!$P$13)*-0.35</f>
        <v>0</v>
      </c>
      <c r="H55" s="517">
        <f>(H82*'Exh. No. BGM-4 2'!$P$13)*-0.35</f>
        <v>8.1043199999999995</v>
      </c>
      <c r="I55" s="517">
        <f>(I82*'Exh. No. BGM-4 2'!$P$13)*-0.35</f>
        <v>0</v>
      </c>
      <c r="J55" s="517">
        <f>(J82*'Exh. No. BGM-4 2'!$P$13)*-0.35</f>
        <v>0</v>
      </c>
      <c r="K55" s="517">
        <f>(K82*'Exh. No. BGM-4 2'!$P$13)*-0.35</f>
        <v>0</v>
      </c>
      <c r="L55" s="517">
        <f>(L82*'Exh. No. BGM-4 2'!$P$13)*-0.35</f>
        <v>0</v>
      </c>
      <c r="M55" s="517">
        <f>(M82*'Exh. No. BGM-4 2'!$P$13)*-0.35</f>
        <v>0</v>
      </c>
      <c r="N55" s="517"/>
      <c r="O55" s="517">
        <f>(O82*'Exh. No. BGM-4 2'!$P$13)*-0.35</f>
        <v>0</v>
      </c>
      <c r="P55" s="517">
        <f>(P82*'Exh. No. BGM-4 2'!$P$13)*-0.35</f>
        <v>0</v>
      </c>
      <c r="Q55" s="517">
        <f>(Q82*'Exh. No. BGM-4 2'!$P$13)*-0.35</f>
        <v>0</v>
      </c>
      <c r="R55" s="517">
        <f>(R82*'Exh. No. BGM-4 2'!$P$13)*-0.35</f>
        <v>0</v>
      </c>
      <c r="S55" s="517">
        <f>(S82*'Exh. No. BGM-4 2'!$P$13)*-0.35</f>
        <v>0</v>
      </c>
      <c r="T55" s="517">
        <f>(T82*'Exh. No. BGM-4 2'!$P$13)*-0.35</f>
        <v>0</v>
      </c>
      <c r="U55" s="517">
        <f>(U82*'Exh. No. BGM-4 2'!$P$13)*-0.35</f>
        <v>0</v>
      </c>
      <c r="V55" s="517">
        <f>(V82*'Exh. No. BGM-4 2'!$P$13)*-0.35</f>
        <v>0</v>
      </c>
      <c r="W55" s="517"/>
      <c r="X55" s="461">
        <f>SUM(E55:W55)</f>
        <v>11.15282</v>
      </c>
      <c r="Y55" s="517">
        <f>(Y82*'Exh. No. BGM-4 2'!$P$13)*-0.35</f>
        <v>0</v>
      </c>
      <c r="Z55" s="517">
        <f>(Z82*'Exh. No. BGM-4 2'!$P$13)*-0.35</f>
        <v>0</v>
      </c>
      <c r="AA55" s="517">
        <f>(AA82*'Exh. No. BGM-4 2'!$P$13)*-0.35</f>
        <v>0</v>
      </c>
      <c r="AB55" s="517">
        <f>(AB82*'Exh. No. BGM-4 2'!$P$13)*-0.35</f>
        <v>0</v>
      </c>
      <c r="AC55" s="517">
        <f>(AC82*'Exh. No. BGM-4 2'!$P$13)*-0.35</f>
        <v>0</v>
      </c>
      <c r="AD55" s="517">
        <f>(AD82*'Exh. No. BGM-4 2'!$P$13)*-0.35</f>
        <v>0</v>
      </c>
      <c r="AE55" s="517">
        <f>(AE82*'Exh. No. BGM-4 2'!$P$13)*-0.35</f>
        <v>0</v>
      </c>
      <c r="AF55" s="517">
        <f>(AF82*'Exh. No. BGM-4 2'!$P$13)*-0.35</f>
        <v>0</v>
      </c>
      <c r="AG55" s="517">
        <f>(AG82*'Exh. No. BGM-4 2'!$P$13)*-0.35</f>
        <v>0</v>
      </c>
      <c r="AH55" s="462">
        <f>(AH82*'Exh. No. BGM-4 2'!$P$13)*-0.35</f>
        <v>-110.1681</v>
      </c>
      <c r="AI55" s="517">
        <f>(AI82*'Exh. No. BGM-4 2'!$P$13)*-0.35</f>
        <v>0</v>
      </c>
      <c r="AJ55" s="517">
        <f>(AJ82*'Exh. No. BGM-4 2'!$P$13)*-0.35</f>
        <v>0</v>
      </c>
      <c r="AK55" s="517">
        <f>(AK82*'Exh. No. BGM-4 2'!$P$13)*-0.35</f>
        <v>-13.82612</v>
      </c>
      <c r="AL55" s="578">
        <f>SUM(X55:AK55)</f>
        <v>-112.84139999999999</v>
      </c>
    </row>
    <row r="56" spans="1:38">
      <c r="A56" s="196">
        <v>29</v>
      </c>
      <c r="B56" s="4" t="s">
        <v>58</v>
      </c>
      <c r="D56" s="4"/>
      <c r="E56" s="344">
        <f>'ROO INPUT'!$F56</f>
        <v>9923</v>
      </c>
      <c r="F56" s="517">
        <v>0</v>
      </c>
      <c r="G56" s="517">
        <v>0</v>
      </c>
      <c r="H56" s="517">
        <v>0</v>
      </c>
      <c r="I56" s="517">
        <v>0</v>
      </c>
      <c r="J56" s="517">
        <v>0</v>
      </c>
      <c r="K56" s="517">
        <v>0</v>
      </c>
      <c r="L56" s="517">
        <v>0</v>
      </c>
      <c r="M56" s="517">
        <v>0</v>
      </c>
      <c r="N56" s="517">
        <v>0</v>
      </c>
      <c r="O56" s="517">
        <v>0</v>
      </c>
      <c r="P56" s="517">
        <v>0</v>
      </c>
      <c r="Q56" s="517">
        <v>0</v>
      </c>
      <c r="R56" s="517">
        <v>0</v>
      </c>
      <c r="S56" s="517">
        <v>0</v>
      </c>
      <c r="T56" s="517">
        <v>0</v>
      </c>
      <c r="U56" s="517">
        <v>0</v>
      </c>
      <c r="V56" s="517">
        <v>0</v>
      </c>
      <c r="W56" s="517">
        <v>0</v>
      </c>
      <c r="X56" s="461">
        <f>SUM(E56:W56)</f>
        <v>9923</v>
      </c>
      <c r="Y56" s="517">
        <v>0</v>
      </c>
      <c r="Z56" s="517">
        <v>0</v>
      </c>
      <c r="AA56" s="517">
        <v>0</v>
      </c>
      <c r="AB56" s="517">
        <v>0</v>
      </c>
      <c r="AC56" s="517">
        <v>0</v>
      </c>
      <c r="AD56" s="517">
        <v>0</v>
      </c>
      <c r="AE56" s="517">
        <v>0</v>
      </c>
      <c r="AF56" s="517">
        <v>0</v>
      </c>
      <c r="AG56" s="517">
        <v>0</v>
      </c>
      <c r="AH56" s="462">
        <v>0</v>
      </c>
      <c r="AI56" s="517">
        <v>0</v>
      </c>
      <c r="AJ56" s="517">
        <v>0</v>
      </c>
      <c r="AK56" s="517">
        <v>0</v>
      </c>
      <c r="AL56" s="578">
        <f>SUM(X56:AK56)</f>
        <v>9923</v>
      </c>
    </row>
    <row r="57" spans="1:38">
      <c r="A57" s="196">
        <v>30</v>
      </c>
      <c r="B57" s="4" t="s">
        <v>59</v>
      </c>
      <c r="D57" s="4"/>
      <c r="E57" s="346">
        <f>'ROO INPUT'!$F57</f>
        <v>-17</v>
      </c>
      <c r="F57" s="463"/>
      <c r="G57" s="463"/>
      <c r="H57" s="463"/>
      <c r="I57" s="463">
        <v>0</v>
      </c>
      <c r="J57" s="463">
        <v>0</v>
      </c>
      <c r="K57" s="463">
        <v>0</v>
      </c>
      <c r="L57" s="463">
        <v>0</v>
      </c>
      <c r="M57" s="463">
        <v>0</v>
      </c>
      <c r="N57" s="463">
        <v>0</v>
      </c>
      <c r="O57" s="463">
        <v>0</v>
      </c>
      <c r="P57" s="463">
        <v>0</v>
      </c>
      <c r="Q57" s="463">
        <v>0</v>
      </c>
      <c r="R57" s="463">
        <v>0</v>
      </c>
      <c r="S57" s="463">
        <v>0</v>
      </c>
      <c r="T57" s="463">
        <v>0</v>
      </c>
      <c r="U57" s="463">
        <v>0</v>
      </c>
      <c r="V57" s="463">
        <v>0</v>
      </c>
      <c r="W57" s="463">
        <v>0</v>
      </c>
      <c r="X57" s="464">
        <f>SUM(E57:W57)</f>
        <v>-17</v>
      </c>
      <c r="Y57" s="463">
        <v>0</v>
      </c>
      <c r="Z57" s="463">
        <v>0</v>
      </c>
      <c r="AA57" s="463">
        <v>0</v>
      </c>
      <c r="AB57" s="463">
        <v>0</v>
      </c>
      <c r="AC57" s="463">
        <v>0</v>
      </c>
      <c r="AD57" s="463">
        <v>0</v>
      </c>
      <c r="AE57" s="463">
        <v>0</v>
      </c>
      <c r="AF57" s="463">
        <v>0</v>
      </c>
      <c r="AG57" s="463">
        <v>0</v>
      </c>
      <c r="AH57" s="463">
        <v>0</v>
      </c>
      <c r="AI57" s="463">
        <v>0</v>
      </c>
      <c r="AJ57" s="463">
        <v>0</v>
      </c>
      <c r="AK57" s="463">
        <v>0</v>
      </c>
      <c r="AL57" s="573">
        <f>SUM(X57:AK57)</f>
        <v>-17</v>
      </c>
    </row>
    <row r="58" spans="1:38"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461"/>
      <c r="Y58" s="399"/>
      <c r="Z58" s="344"/>
      <c r="AA58" s="344"/>
      <c r="AB58" s="344"/>
      <c r="AC58" s="344"/>
      <c r="AD58" s="344"/>
      <c r="AE58" s="344"/>
      <c r="AF58" s="344"/>
      <c r="AG58" s="399"/>
      <c r="AH58" s="601"/>
      <c r="AI58" s="344"/>
      <c r="AJ58" s="344"/>
      <c r="AK58" s="399"/>
      <c r="AL58" s="578"/>
    </row>
    <row r="59" spans="1:38" s="3" customFormat="1" ht="12.75" thickBot="1">
      <c r="A59" s="196">
        <v>31</v>
      </c>
      <c r="B59" s="3" t="s">
        <v>60</v>
      </c>
      <c r="E59" s="522">
        <f>E51-SUM(E54:E57)</f>
        <v>23458</v>
      </c>
      <c r="F59" s="522">
        <f t="shared" ref="F59:O59" si="80">F51-SUM(F54:F57)</f>
        <v>-3.0485000000000002</v>
      </c>
      <c r="G59" s="522">
        <f>G51-SUM(G54:G57)</f>
        <v>-1.3</v>
      </c>
      <c r="H59" s="522">
        <f t="shared" si="80"/>
        <v>-8.1043199999999995</v>
      </c>
      <c r="I59" s="522">
        <f t="shared" si="80"/>
        <v>-20.8</v>
      </c>
      <c r="J59" s="522">
        <f>J51-SUM(J54:J57)</f>
        <v>-243.75</v>
      </c>
      <c r="K59" s="522">
        <f t="shared" si="80"/>
        <v>383.5</v>
      </c>
      <c r="L59" s="522">
        <f t="shared" si="80"/>
        <v>1.9500000000000002</v>
      </c>
      <c r="M59" s="522">
        <f t="shared" si="80"/>
        <v>-49.400000000000006</v>
      </c>
      <c r="N59" s="522">
        <f t="shared" si="80"/>
        <v>0</v>
      </c>
      <c r="O59" s="522">
        <f t="shared" si="80"/>
        <v>5.85</v>
      </c>
      <c r="P59" s="522">
        <f t="shared" ref="P59:R59" si="81">P51-SUM(P54:P57)</f>
        <v>-1.3</v>
      </c>
      <c r="Q59" s="522">
        <f t="shared" si="81"/>
        <v>8.4499999999999993</v>
      </c>
      <c r="R59" s="522">
        <f t="shared" si="81"/>
        <v>-2.6</v>
      </c>
      <c r="S59" s="522">
        <f t="shared" ref="S59" si="82">S51-SUM(S54:S57)</f>
        <v>-310.05</v>
      </c>
      <c r="T59" s="522">
        <f>T51-SUM(T54:T57)</f>
        <v>204.75</v>
      </c>
      <c r="U59" s="522">
        <f>U51-SUM(U54:U57)</f>
        <v>-701.35</v>
      </c>
      <c r="V59" s="522">
        <f>V51-SUM(V54:V57)</f>
        <v>117.65</v>
      </c>
      <c r="W59" s="522">
        <f t="shared" ref="W59" si="83">W51-SUM(W54:W57)</f>
        <v>-40</v>
      </c>
      <c r="X59" s="466">
        <f>X51-SUM(X54:X57)+X58</f>
        <v>22798.447180000003</v>
      </c>
      <c r="Y59" s="599">
        <f>Y51-SUM(Y54:Y57)</f>
        <v>-226.2</v>
      </c>
      <c r="Z59" s="522">
        <f t="shared" ref="Z59" si="84">Z51-SUM(Z54:Z57)</f>
        <v>-304.87664999999998</v>
      </c>
      <c r="AA59" s="522">
        <f t="shared" ref="AA59:AB59" si="85">AA51-SUM(AA54:AA57)</f>
        <v>6.5</v>
      </c>
      <c r="AB59" s="522">
        <f t="shared" si="85"/>
        <v>114.4</v>
      </c>
      <c r="AC59" s="522">
        <f>AC51-SUM(AC54:AC57)</f>
        <v>-22.1</v>
      </c>
      <c r="AD59" s="522">
        <f>AD51-SUM(AD54:AD57)</f>
        <v>-309.39999999999998</v>
      </c>
      <c r="AE59" s="522">
        <f>AE51-SUM(AE54:AE57)</f>
        <v>-130.65</v>
      </c>
      <c r="AF59" s="522">
        <f t="shared" ref="AF59" si="86">AF51-SUM(AF54:AF57)</f>
        <v>-599.29999999999995</v>
      </c>
      <c r="AG59" s="599">
        <f t="shared" ref="AG59:AH59" si="87">AG51-SUM(AG54:AG57)</f>
        <v>701.35</v>
      </c>
      <c r="AH59" s="599">
        <f t="shared" si="87"/>
        <v>-127.7319</v>
      </c>
      <c r="AI59" s="522">
        <f>AI51-SUM(AI54:AI57)</f>
        <v>20.8</v>
      </c>
      <c r="AJ59" s="522">
        <f>AJ51-SUM(AJ54:AJ57)</f>
        <v>0</v>
      </c>
      <c r="AK59" s="599">
        <f t="shared" ref="AK59" si="88">AK51-SUM(AK54:AK57)</f>
        <v>-365.77388000000002</v>
      </c>
      <c r="AL59" s="579">
        <f>AL51-SUM(AL54:AL57)+AL58</f>
        <v>21555.464749999996</v>
      </c>
    </row>
    <row r="60" spans="1:38" ht="6" customHeight="1" thickTop="1"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461"/>
      <c r="V60" s="461"/>
      <c r="W60" s="344"/>
      <c r="X60" s="461"/>
      <c r="Y60" s="399"/>
      <c r="Z60" s="461"/>
      <c r="AA60" s="461"/>
      <c r="AB60" s="461"/>
      <c r="AC60" s="461"/>
      <c r="AD60" s="344"/>
      <c r="AE60" s="344"/>
      <c r="AF60" s="344"/>
      <c r="AG60" s="399"/>
      <c r="AH60" s="601"/>
      <c r="AI60" s="344"/>
      <c r="AJ60" s="344"/>
      <c r="AK60" s="399"/>
      <c r="AL60" s="578"/>
    </row>
    <row r="61" spans="1:38">
      <c r="B61" s="1" t="s">
        <v>107</v>
      </c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461"/>
      <c r="V61" s="461"/>
      <c r="W61" s="344"/>
      <c r="X61" s="461"/>
      <c r="Y61" s="399"/>
      <c r="Z61" s="461"/>
      <c r="AA61" s="461"/>
      <c r="AB61" s="461"/>
      <c r="AC61" s="461"/>
      <c r="AD61" s="344"/>
      <c r="AE61" s="344"/>
      <c r="AF61" s="344"/>
      <c r="AG61" s="399"/>
      <c r="AH61" s="601"/>
      <c r="AI61" s="344"/>
      <c r="AJ61" s="344"/>
      <c r="AK61" s="399"/>
      <c r="AL61" s="578"/>
    </row>
    <row r="62" spans="1:38">
      <c r="B62" s="1" t="s">
        <v>108</v>
      </c>
      <c r="E62" s="344"/>
      <c r="F62" s="517"/>
      <c r="G62" s="517"/>
      <c r="H62" s="517"/>
      <c r="I62" s="517"/>
      <c r="J62" s="517"/>
      <c r="K62" s="517"/>
      <c r="L62" s="517"/>
      <c r="M62" s="517"/>
      <c r="N62" s="517"/>
      <c r="O62" s="517"/>
      <c r="P62" s="517"/>
      <c r="Q62" s="517"/>
      <c r="R62" s="517"/>
      <c r="S62" s="517"/>
      <c r="T62" s="517"/>
      <c r="U62" s="523"/>
      <c r="V62" s="523"/>
      <c r="W62" s="517"/>
      <c r="X62" s="461"/>
      <c r="Y62" s="517"/>
      <c r="Z62" s="523"/>
      <c r="AA62" s="523"/>
      <c r="AB62" s="523"/>
      <c r="AC62" s="523"/>
      <c r="AD62" s="517"/>
      <c r="AE62" s="517"/>
      <c r="AF62" s="517"/>
      <c r="AG62" s="517"/>
      <c r="AH62" s="462"/>
      <c r="AI62" s="517"/>
      <c r="AJ62" s="517"/>
      <c r="AK62" s="517"/>
      <c r="AL62" s="578"/>
    </row>
    <row r="63" spans="1:38">
      <c r="A63" s="196">
        <v>32</v>
      </c>
      <c r="B63" s="4"/>
      <c r="C63" s="4" t="s">
        <v>43</v>
      </c>
      <c r="D63" s="4"/>
      <c r="E63" s="572">
        <f>'ROO INPUT'!$F63</f>
        <v>26868</v>
      </c>
      <c r="F63" s="516">
        <v>0</v>
      </c>
      <c r="G63" s="516">
        <v>0</v>
      </c>
      <c r="H63" s="516">
        <v>0</v>
      </c>
      <c r="I63" s="516">
        <v>0</v>
      </c>
      <c r="J63" s="516">
        <v>0</v>
      </c>
      <c r="K63" s="516">
        <v>0</v>
      </c>
      <c r="L63" s="516">
        <v>0</v>
      </c>
      <c r="M63" s="516">
        <v>0</v>
      </c>
      <c r="N63" s="516">
        <v>0</v>
      </c>
      <c r="O63" s="516">
        <v>0</v>
      </c>
      <c r="P63" s="516">
        <v>0</v>
      </c>
      <c r="Q63" s="516">
        <v>0</v>
      </c>
      <c r="R63" s="516">
        <v>0</v>
      </c>
      <c r="S63" s="516">
        <v>0</v>
      </c>
      <c r="T63" s="516">
        <v>0</v>
      </c>
      <c r="U63" s="524">
        <v>0</v>
      </c>
      <c r="V63" s="524">
        <v>0</v>
      </c>
      <c r="W63" s="516">
        <v>0</v>
      </c>
      <c r="X63" s="460">
        <f>SUM(E63:W63)</f>
        <v>26868</v>
      </c>
      <c r="Y63" s="516">
        <v>0</v>
      </c>
      <c r="Z63" s="524">
        <v>0</v>
      </c>
      <c r="AA63" s="524">
        <v>0</v>
      </c>
      <c r="AB63" s="524">
        <v>0</v>
      </c>
      <c r="AC63" s="524">
        <v>0</v>
      </c>
      <c r="AD63" s="516">
        <v>0</v>
      </c>
      <c r="AE63" s="516">
        <v>0</v>
      </c>
      <c r="AF63" s="516">
        <v>0</v>
      </c>
      <c r="AG63" s="516">
        <v>0</v>
      </c>
      <c r="AH63" s="603">
        <v>0</v>
      </c>
      <c r="AI63" s="516">
        <v>0</v>
      </c>
      <c r="AJ63" s="516">
        <v>0</v>
      </c>
      <c r="AK63" s="516">
        <v>0</v>
      </c>
      <c r="AL63" s="577">
        <f>SUM(X63:AK63)</f>
        <v>26868</v>
      </c>
    </row>
    <row r="64" spans="1:38">
      <c r="A64" s="196">
        <v>33</v>
      </c>
      <c r="B64" s="4"/>
      <c r="C64" s="4" t="s">
        <v>62</v>
      </c>
      <c r="D64" s="4"/>
      <c r="E64" s="344">
        <f>'ROO INPUT'!$F64</f>
        <v>390508</v>
      </c>
      <c r="F64" s="517">
        <v>0</v>
      </c>
      <c r="G64" s="517">
        <v>0</v>
      </c>
      <c r="H64" s="517">
        <v>0</v>
      </c>
      <c r="I64" s="517">
        <v>0</v>
      </c>
      <c r="J64" s="517">
        <v>0</v>
      </c>
      <c r="K64" s="517">
        <v>0</v>
      </c>
      <c r="L64" s="517">
        <v>0</v>
      </c>
      <c r="M64" s="517">
        <v>0</v>
      </c>
      <c r="N64" s="517">
        <v>0</v>
      </c>
      <c r="O64" s="517">
        <v>0</v>
      </c>
      <c r="P64" s="517">
        <v>0</v>
      </c>
      <c r="Q64" s="517">
        <v>0</v>
      </c>
      <c r="R64" s="517">
        <v>0</v>
      </c>
      <c r="S64" s="517">
        <v>0</v>
      </c>
      <c r="T64" s="517">
        <v>0</v>
      </c>
      <c r="U64" s="523">
        <v>0</v>
      </c>
      <c r="V64" s="523">
        <v>0</v>
      </c>
      <c r="W64" s="517">
        <v>0</v>
      </c>
      <c r="X64" s="461">
        <f>SUM(E64:W64)</f>
        <v>390508</v>
      </c>
      <c r="Y64" s="517">
        <v>0</v>
      </c>
      <c r="Z64" s="523">
        <v>0</v>
      </c>
      <c r="AA64" s="523">
        <v>0</v>
      </c>
      <c r="AB64" s="523">
        <v>0</v>
      </c>
      <c r="AC64" s="523">
        <v>0</v>
      </c>
      <c r="AD64" s="517">
        <v>0</v>
      </c>
      <c r="AE64" s="517"/>
      <c r="AF64" s="517">
        <v>0</v>
      </c>
      <c r="AG64" s="517">
        <v>0</v>
      </c>
      <c r="AH64" s="462">
        <v>14510</v>
      </c>
      <c r="AI64" s="517">
        <v>0</v>
      </c>
      <c r="AJ64" s="517"/>
      <c r="AK64" s="517">
        <v>0</v>
      </c>
      <c r="AL64" s="578">
        <f>SUM(X64:AK64)</f>
        <v>405018</v>
      </c>
    </row>
    <row r="65" spans="1:38">
      <c r="A65" s="196">
        <v>34</v>
      </c>
      <c r="B65" s="4"/>
      <c r="C65" s="4" t="s">
        <v>63</v>
      </c>
      <c r="D65" s="4"/>
      <c r="E65" s="346">
        <f>'ROO INPUT'!$F65</f>
        <v>82624</v>
      </c>
      <c r="F65" s="463">
        <v>0</v>
      </c>
      <c r="G65" s="463">
        <v>0</v>
      </c>
      <c r="H65" s="463">
        <v>0</v>
      </c>
      <c r="I65" s="463">
        <v>0</v>
      </c>
      <c r="J65" s="463">
        <v>0</v>
      </c>
      <c r="K65" s="463">
        <v>0</v>
      </c>
      <c r="L65" s="463">
        <v>0</v>
      </c>
      <c r="M65" s="463">
        <v>0</v>
      </c>
      <c r="N65" s="463">
        <v>0</v>
      </c>
      <c r="O65" s="463">
        <v>0</v>
      </c>
      <c r="P65" s="463">
        <v>0</v>
      </c>
      <c r="Q65" s="463">
        <v>0</v>
      </c>
      <c r="R65" s="463">
        <v>0</v>
      </c>
      <c r="S65" s="463">
        <v>0</v>
      </c>
      <c r="T65" s="463">
        <v>0</v>
      </c>
      <c r="U65" s="525">
        <v>0</v>
      </c>
      <c r="V65" s="525">
        <v>0</v>
      </c>
      <c r="W65" s="463">
        <v>0</v>
      </c>
      <c r="X65" s="464">
        <f>SUM(E65:W65)</f>
        <v>82624</v>
      </c>
      <c r="Y65" s="463">
        <v>0</v>
      </c>
      <c r="Z65" s="525">
        <v>0</v>
      </c>
      <c r="AA65" s="525">
        <v>0</v>
      </c>
      <c r="AB65" s="525">
        <v>0</v>
      </c>
      <c r="AC65" s="525">
        <v>0</v>
      </c>
      <c r="AD65" s="463">
        <v>0</v>
      </c>
      <c r="AE65" s="463"/>
      <c r="AF65" s="463">
        <v>0</v>
      </c>
      <c r="AG65" s="463">
        <v>0</v>
      </c>
      <c r="AH65" s="463">
        <v>0</v>
      </c>
      <c r="AI65" s="463">
        <v>0</v>
      </c>
      <c r="AJ65" s="463"/>
      <c r="AK65" s="463">
        <v>0</v>
      </c>
      <c r="AL65" s="573">
        <f>SUM(X65:AK65)</f>
        <v>82624</v>
      </c>
    </row>
    <row r="66" spans="1:38" ht="18" customHeight="1">
      <c r="A66" s="196">
        <v>35</v>
      </c>
      <c r="B66" s="4" t="s">
        <v>64</v>
      </c>
      <c r="C66" s="4"/>
      <c r="E66" s="344">
        <f>SUM(E63:E65)</f>
        <v>500000</v>
      </c>
      <c r="F66" s="344">
        <f t="shared" ref="F66:N66" si="89">SUM(F63:F65)</f>
        <v>0</v>
      </c>
      <c r="G66" s="344">
        <f t="shared" si="89"/>
        <v>0</v>
      </c>
      <c r="H66" s="344">
        <f t="shared" si="89"/>
        <v>0</v>
      </c>
      <c r="I66" s="344">
        <f t="shared" si="89"/>
        <v>0</v>
      </c>
      <c r="J66" s="344">
        <f>SUM(J63:J65)</f>
        <v>0</v>
      </c>
      <c r="K66" s="344">
        <f t="shared" si="89"/>
        <v>0</v>
      </c>
      <c r="L66" s="344">
        <f t="shared" si="89"/>
        <v>0</v>
      </c>
      <c r="M66" s="344">
        <f t="shared" si="89"/>
        <v>0</v>
      </c>
      <c r="N66" s="344">
        <f t="shared" si="89"/>
        <v>0</v>
      </c>
      <c r="O66" s="344">
        <f t="shared" ref="O66:X66" si="90">SUM(O63:O65)</f>
        <v>0</v>
      </c>
      <c r="P66" s="344">
        <f t="shared" si="90"/>
        <v>0</v>
      </c>
      <c r="Q66" s="344">
        <f t="shared" ref="Q66:V66" si="91">SUM(Q63:Q65)</f>
        <v>0</v>
      </c>
      <c r="R66" s="344">
        <f t="shared" si="91"/>
        <v>0</v>
      </c>
      <c r="S66" s="344">
        <f t="shared" si="91"/>
        <v>0</v>
      </c>
      <c r="T66" s="344">
        <f t="shared" si="91"/>
        <v>0</v>
      </c>
      <c r="U66" s="344">
        <f t="shared" si="91"/>
        <v>0</v>
      </c>
      <c r="V66" s="344">
        <f t="shared" si="91"/>
        <v>0</v>
      </c>
      <c r="W66" s="344">
        <f t="shared" ref="W66" si="92">SUM(W63:W65)</f>
        <v>0</v>
      </c>
      <c r="X66" s="461">
        <f t="shared" si="90"/>
        <v>500000</v>
      </c>
      <c r="Y66" s="399">
        <f t="shared" ref="Y66:Z66" si="93">SUM(Y63:Y65)</f>
        <v>0</v>
      </c>
      <c r="Z66" s="344">
        <f t="shared" si="93"/>
        <v>0</v>
      </c>
      <c r="AA66" s="344">
        <f t="shared" ref="AA66:AB66" si="94">SUM(AA63:AA65)</f>
        <v>0</v>
      </c>
      <c r="AB66" s="344">
        <f t="shared" si="94"/>
        <v>0</v>
      </c>
      <c r="AC66" s="344">
        <f>SUM(AC63:AC65)</f>
        <v>0</v>
      </c>
      <c r="AD66" s="344">
        <f t="shared" ref="AD66" si="95">SUM(AD63:AD65)</f>
        <v>0</v>
      </c>
      <c r="AE66" s="344">
        <f t="shared" ref="AE66:AK66" si="96">SUM(AE63:AE65)</f>
        <v>0</v>
      </c>
      <c r="AF66" s="344">
        <f t="shared" si="96"/>
        <v>0</v>
      </c>
      <c r="AG66" s="399">
        <f t="shared" si="96"/>
        <v>0</v>
      </c>
      <c r="AH66" s="601">
        <f t="shared" si="96"/>
        <v>14510</v>
      </c>
      <c r="AI66" s="344">
        <f t="shared" si="96"/>
        <v>0</v>
      </c>
      <c r="AJ66" s="344">
        <f t="shared" ref="AJ66" si="97">SUM(AJ63:AJ65)</f>
        <v>0</v>
      </c>
      <c r="AK66" s="399">
        <f t="shared" si="96"/>
        <v>0</v>
      </c>
      <c r="AL66" s="578">
        <f t="shared" ref="AL66" si="98">SUM(AL63:AL65)</f>
        <v>514510</v>
      </c>
    </row>
    <row r="67" spans="1:38" ht="3.75" customHeight="1">
      <c r="B67" s="4"/>
      <c r="C67" s="4"/>
      <c r="E67" s="344"/>
      <c r="F67" s="344"/>
      <c r="G67" s="344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44"/>
      <c r="W67" s="344"/>
      <c r="X67" s="461"/>
      <c r="Y67" s="399"/>
      <c r="Z67" s="344"/>
      <c r="AA67" s="344"/>
      <c r="AB67" s="344"/>
      <c r="AC67" s="344"/>
      <c r="AD67" s="344"/>
      <c r="AE67" s="344"/>
      <c r="AF67" s="344"/>
      <c r="AG67" s="399"/>
      <c r="AH67" s="601"/>
      <c r="AI67" s="344"/>
      <c r="AJ67" s="344"/>
      <c r="AK67" s="399"/>
      <c r="AL67" s="578"/>
    </row>
    <row r="68" spans="1:38">
      <c r="B68" s="4" t="s">
        <v>221</v>
      </c>
      <c r="C68" s="4"/>
      <c r="D68" s="4"/>
      <c r="E68" s="344"/>
      <c r="F68" s="517"/>
      <c r="G68" s="517"/>
      <c r="H68" s="517"/>
      <c r="I68" s="517"/>
      <c r="J68" s="517"/>
      <c r="K68" s="517"/>
      <c r="L68" s="517"/>
      <c r="M68" s="517"/>
      <c r="N68" s="517"/>
      <c r="O68" s="517"/>
      <c r="P68" s="517"/>
      <c r="Q68" s="517"/>
      <c r="R68" s="517"/>
      <c r="S68" s="517"/>
      <c r="T68" s="517"/>
      <c r="U68" s="517"/>
      <c r="V68" s="517"/>
      <c r="W68" s="517"/>
      <c r="X68" s="461"/>
      <c r="Y68" s="517"/>
      <c r="Z68" s="517"/>
      <c r="AA68" s="517"/>
      <c r="AB68" s="517"/>
      <c r="AC68" s="517"/>
      <c r="AD68" s="517"/>
      <c r="AE68" s="517"/>
      <c r="AF68" s="517"/>
      <c r="AG68" s="517"/>
      <c r="AH68" s="462"/>
      <c r="AI68" s="517"/>
      <c r="AJ68" s="517"/>
      <c r="AK68" s="517"/>
      <c r="AL68" s="578"/>
    </row>
    <row r="69" spans="1:38">
      <c r="A69" s="196">
        <v>36</v>
      </c>
      <c r="B69" s="4"/>
      <c r="C69" s="4" t="s">
        <v>43</v>
      </c>
      <c r="D69" s="4"/>
      <c r="E69" s="344">
        <f>'ROO INPUT'!$F69</f>
        <v>-10317</v>
      </c>
      <c r="F69" s="517">
        <v>0</v>
      </c>
      <c r="G69" s="517">
        <v>0</v>
      </c>
      <c r="H69" s="517">
        <v>0</v>
      </c>
      <c r="I69" s="517">
        <v>0</v>
      </c>
      <c r="J69" s="517">
        <v>0</v>
      </c>
      <c r="K69" s="517">
        <v>0</v>
      </c>
      <c r="L69" s="517">
        <v>0</v>
      </c>
      <c r="M69" s="517">
        <v>0</v>
      </c>
      <c r="N69" s="517">
        <v>0</v>
      </c>
      <c r="O69" s="517">
        <v>0</v>
      </c>
      <c r="P69" s="517">
        <v>0</v>
      </c>
      <c r="Q69" s="517">
        <v>0</v>
      </c>
      <c r="R69" s="517">
        <v>0</v>
      </c>
      <c r="S69" s="517">
        <v>0</v>
      </c>
      <c r="T69" s="517">
        <v>0</v>
      </c>
      <c r="U69" s="517">
        <v>0</v>
      </c>
      <c r="V69" s="517">
        <v>0</v>
      </c>
      <c r="W69" s="517">
        <v>0</v>
      </c>
      <c r="X69" s="461">
        <f>SUM(E69:W69)</f>
        <v>-10317</v>
      </c>
      <c r="Y69" s="517">
        <v>0</v>
      </c>
      <c r="Z69" s="517">
        <v>0</v>
      </c>
      <c r="AA69" s="517">
        <v>0</v>
      </c>
      <c r="AB69" s="517">
        <v>0</v>
      </c>
      <c r="AC69" s="517">
        <v>0</v>
      </c>
      <c r="AD69" s="517">
        <v>0</v>
      </c>
      <c r="AE69" s="517">
        <v>0</v>
      </c>
      <c r="AF69" s="517">
        <v>0</v>
      </c>
      <c r="AG69" s="517">
        <v>0</v>
      </c>
      <c r="AH69" s="604">
        <v>0</v>
      </c>
      <c r="AI69" s="517">
        <v>0</v>
      </c>
      <c r="AJ69" s="517">
        <v>0</v>
      </c>
      <c r="AK69" s="517">
        <v>0</v>
      </c>
      <c r="AL69" s="578">
        <f>SUM(X69:AK69)</f>
        <v>-10317</v>
      </c>
    </row>
    <row r="70" spans="1:38">
      <c r="A70" s="196">
        <v>37</v>
      </c>
      <c r="B70" s="4"/>
      <c r="C70" s="4" t="s">
        <v>62</v>
      </c>
      <c r="D70" s="4"/>
      <c r="E70" s="344">
        <f>'ROO INPUT'!$F70</f>
        <v>-129098</v>
      </c>
      <c r="F70" s="517">
        <v>0</v>
      </c>
      <c r="G70" s="517">
        <v>0</v>
      </c>
      <c r="H70" s="517">
        <v>0</v>
      </c>
      <c r="I70" s="517">
        <v>0</v>
      </c>
      <c r="J70" s="517">
        <v>0</v>
      </c>
      <c r="K70" s="517">
        <v>0</v>
      </c>
      <c r="L70" s="517">
        <v>0</v>
      </c>
      <c r="M70" s="517">
        <v>0</v>
      </c>
      <c r="N70" s="517">
        <v>0</v>
      </c>
      <c r="O70" s="517">
        <v>0</v>
      </c>
      <c r="P70" s="517">
        <v>0</v>
      </c>
      <c r="Q70" s="517">
        <v>0</v>
      </c>
      <c r="R70" s="517">
        <v>0</v>
      </c>
      <c r="S70" s="517">
        <v>0</v>
      </c>
      <c r="T70" s="517">
        <v>0</v>
      </c>
      <c r="U70" s="517">
        <v>0</v>
      </c>
      <c r="V70" s="517">
        <v>0</v>
      </c>
      <c r="W70" s="517">
        <v>0</v>
      </c>
      <c r="X70" s="461">
        <f>SUM(E70:W70)</f>
        <v>-129098</v>
      </c>
      <c r="Y70" s="517">
        <v>0</v>
      </c>
      <c r="Z70" s="517">
        <v>0</v>
      </c>
      <c r="AA70" s="517">
        <v>0</v>
      </c>
      <c r="AB70" s="517">
        <v>0</v>
      </c>
      <c r="AC70" s="517">
        <v>0</v>
      </c>
      <c r="AD70" s="517">
        <v>0</v>
      </c>
      <c r="AE70" s="517"/>
      <c r="AF70" s="517">
        <v>0</v>
      </c>
      <c r="AG70" s="517">
        <v>0</v>
      </c>
      <c r="AH70" s="462">
        <v>-163</v>
      </c>
      <c r="AI70" s="517">
        <v>0</v>
      </c>
      <c r="AJ70" s="517"/>
      <c r="AK70" s="517">
        <v>0</v>
      </c>
      <c r="AL70" s="578">
        <f>SUM(X70:AK70)</f>
        <v>-129261</v>
      </c>
    </row>
    <row r="71" spans="1:38">
      <c r="A71" s="196">
        <v>38</v>
      </c>
      <c r="B71" s="4"/>
      <c r="C71" s="4" t="s">
        <v>63</v>
      </c>
      <c r="D71" s="4"/>
      <c r="E71" s="344">
        <f>'ROO INPUT'!$F71</f>
        <v>-23473</v>
      </c>
      <c r="F71" s="517">
        <v>0</v>
      </c>
      <c r="G71" s="517">
        <v>0</v>
      </c>
      <c r="H71" s="517">
        <v>0</v>
      </c>
      <c r="I71" s="517">
        <v>0</v>
      </c>
      <c r="J71" s="517">
        <v>0</v>
      </c>
      <c r="K71" s="517">
        <v>0</v>
      </c>
      <c r="L71" s="517">
        <v>0</v>
      </c>
      <c r="M71" s="517">
        <v>0</v>
      </c>
      <c r="N71" s="517">
        <v>0</v>
      </c>
      <c r="O71" s="517">
        <v>0</v>
      </c>
      <c r="P71" s="517">
        <v>0</v>
      </c>
      <c r="Q71" s="517">
        <v>0</v>
      </c>
      <c r="R71" s="517">
        <v>0</v>
      </c>
      <c r="S71" s="517">
        <v>0</v>
      </c>
      <c r="T71" s="517">
        <v>0</v>
      </c>
      <c r="U71" s="517">
        <v>0</v>
      </c>
      <c r="V71" s="517">
        <v>0</v>
      </c>
      <c r="W71" s="517">
        <v>0</v>
      </c>
      <c r="X71" s="461">
        <f>SUM(E71:W71)</f>
        <v>-23473</v>
      </c>
      <c r="Y71" s="517">
        <v>0</v>
      </c>
      <c r="Z71" s="517">
        <v>0</v>
      </c>
      <c r="AA71" s="517">
        <v>0</v>
      </c>
      <c r="AB71" s="517">
        <v>0</v>
      </c>
      <c r="AC71" s="517">
        <v>0</v>
      </c>
      <c r="AD71" s="517">
        <v>0</v>
      </c>
      <c r="AE71" s="517"/>
      <c r="AF71" s="517">
        <v>0</v>
      </c>
      <c r="AG71" s="517">
        <v>0</v>
      </c>
      <c r="AH71" s="463">
        <v>0</v>
      </c>
      <c r="AI71" s="517">
        <v>0</v>
      </c>
      <c r="AJ71" s="517"/>
      <c r="AK71" s="517">
        <v>0</v>
      </c>
      <c r="AL71" s="578">
        <f>SUM(X71:AK71)</f>
        <v>-23473</v>
      </c>
    </row>
    <row r="72" spans="1:38">
      <c r="A72" s="196">
        <v>39</v>
      </c>
      <c r="B72" s="4" t="s">
        <v>437</v>
      </c>
      <c r="C72" s="4"/>
      <c r="E72" s="350">
        <f>SUM(E69:E71)</f>
        <v>-162888</v>
      </c>
      <c r="F72" s="350">
        <f t="shared" ref="F72:N72" si="99">SUM(F69:F71)</f>
        <v>0</v>
      </c>
      <c r="G72" s="350">
        <f t="shared" si="99"/>
        <v>0</v>
      </c>
      <c r="H72" s="350">
        <f t="shared" si="99"/>
        <v>0</v>
      </c>
      <c r="I72" s="350">
        <f t="shared" si="99"/>
        <v>0</v>
      </c>
      <c r="J72" s="350">
        <f>SUM(J69:J71)</f>
        <v>0</v>
      </c>
      <c r="K72" s="350">
        <f t="shared" si="99"/>
        <v>0</v>
      </c>
      <c r="L72" s="350">
        <f t="shared" si="99"/>
        <v>0</v>
      </c>
      <c r="M72" s="350">
        <f t="shared" si="99"/>
        <v>0</v>
      </c>
      <c r="N72" s="350">
        <f t="shared" si="99"/>
        <v>0</v>
      </c>
      <c r="O72" s="350">
        <f t="shared" ref="O72:P72" si="100">SUM(O69:O71)</f>
        <v>0</v>
      </c>
      <c r="P72" s="350">
        <f t="shared" si="100"/>
        <v>0</v>
      </c>
      <c r="Q72" s="350">
        <f t="shared" ref="Q72:W72" si="101">SUM(Q69:Q71)</f>
        <v>0</v>
      </c>
      <c r="R72" s="350">
        <f t="shared" si="101"/>
        <v>0</v>
      </c>
      <c r="S72" s="350">
        <f t="shared" si="101"/>
        <v>0</v>
      </c>
      <c r="T72" s="350">
        <f t="shared" si="101"/>
        <v>0</v>
      </c>
      <c r="U72" s="350">
        <f t="shared" ref="U72:V72" si="102">SUM(U69:U71)</f>
        <v>0</v>
      </c>
      <c r="V72" s="350">
        <f t="shared" si="102"/>
        <v>0</v>
      </c>
      <c r="W72" s="350">
        <f t="shared" si="101"/>
        <v>0</v>
      </c>
      <c r="X72" s="467">
        <f t="shared" ref="X72:AB72" si="103">SUM(X69:X71)</f>
        <v>-162888</v>
      </c>
      <c r="Y72" s="600">
        <f t="shared" ref="Y72:Z72" si="104">SUM(Y69:Y71)</f>
        <v>0</v>
      </c>
      <c r="Z72" s="350">
        <f t="shared" si="104"/>
        <v>0</v>
      </c>
      <c r="AA72" s="350">
        <f t="shared" si="103"/>
        <v>0</v>
      </c>
      <c r="AB72" s="350">
        <f t="shared" si="103"/>
        <v>0</v>
      </c>
      <c r="AC72" s="350">
        <f>SUM(AC69:AC71)</f>
        <v>0</v>
      </c>
      <c r="AD72" s="350">
        <f t="shared" ref="AD72" si="105">SUM(AD69:AD71)</f>
        <v>0</v>
      </c>
      <c r="AE72" s="350">
        <f t="shared" ref="AE72:AK72" si="106">SUM(AE69:AE71)</f>
        <v>0</v>
      </c>
      <c r="AF72" s="350">
        <f t="shared" si="106"/>
        <v>0</v>
      </c>
      <c r="AG72" s="600">
        <f t="shared" si="106"/>
        <v>0</v>
      </c>
      <c r="AH72" s="600">
        <f t="shared" si="106"/>
        <v>-163</v>
      </c>
      <c r="AI72" s="350">
        <f t="shared" si="106"/>
        <v>0</v>
      </c>
      <c r="AJ72" s="350">
        <f t="shared" ref="AJ72" si="107">SUM(AJ69:AJ71)</f>
        <v>0</v>
      </c>
      <c r="AK72" s="600">
        <f t="shared" si="106"/>
        <v>0</v>
      </c>
      <c r="AL72" s="580">
        <f t="shared" ref="AL72" si="108">SUM(AL69:AL71)</f>
        <v>-163051</v>
      </c>
    </row>
    <row r="73" spans="1:38">
      <c r="A73" s="196">
        <v>40</v>
      </c>
      <c r="B73" s="4" t="s">
        <v>189</v>
      </c>
      <c r="C73" s="4"/>
      <c r="D73" s="4"/>
      <c r="E73" s="353">
        <f>E66+E72</f>
        <v>337112</v>
      </c>
      <c r="F73" s="353">
        <f t="shared" ref="F73:AL73" si="109">F66+F72</f>
        <v>0</v>
      </c>
      <c r="G73" s="353">
        <f t="shared" si="109"/>
        <v>0</v>
      </c>
      <c r="H73" s="353">
        <f t="shared" si="109"/>
        <v>0</v>
      </c>
      <c r="I73" s="353">
        <f t="shared" si="109"/>
        <v>0</v>
      </c>
      <c r="J73" s="353">
        <f t="shared" si="109"/>
        <v>0</v>
      </c>
      <c r="K73" s="353">
        <f t="shared" si="109"/>
        <v>0</v>
      </c>
      <c r="L73" s="353">
        <f t="shared" si="109"/>
        <v>0</v>
      </c>
      <c r="M73" s="353">
        <f t="shared" si="109"/>
        <v>0</v>
      </c>
      <c r="N73" s="353">
        <f t="shared" si="109"/>
        <v>0</v>
      </c>
      <c r="O73" s="353">
        <f t="shared" si="109"/>
        <v>0</v>
      </c>
      <c r="P73" s="353">
        <f t="shared" si="109"/>
        <v>0</v>
      </c>
      <c r="Q73" s="353">
        <f t="shared" si="109"/>
        <v>0</v>
      </c>
      <c r="R73" s="353">
        <f t="shared" si="109"/>
        <v>0</v>
      </c>
      <c r="S73" s="353">
        <f t="shared" ref="S73" si="110">S66+S72</f>
        <v>0</v>
      </c>
      <c r="T73" s="353">
        <f>T66+T72</f>
        <v>0</v>
      </c>
      <c r="U73" s="353">
        <f>U66+U72</f>
        <v>0</v>
      </c>
      <c r="V73" s="353">
        <f>V66+V72</f>
        <v>0</v>
      </c>
      <c r="W73" s="353">
        <f>W66+W72</f>
        <v>0</v>
      </c>
      <c r="X73" s="468">
        <f t="shared" si="109"/>
        <v>337112</v>
      </c>
      <c r="Y73" s="601">
        <f t="shared" ref="Y73:Z73" si="111">Y66+Y72</f>
        <v>0</v>
      </c>
      <c r="Z73" s="353">
        <f t="shared" si="111"/>
        <v>0</v>
      </c>
      <c r="AA73" s="353">
        <f t="shared" si="109"/>
        <v>0</v>
      </c>
      <c r="AB73" s="353">
        <f t="shared" si="109"/>
        <v>0</v>
      </c>
      <c r="AC73" s="353">
        <f>AC66+AC72</f>
        <v>0</v>
      </c>
      <c r="AD73" s="353">
        <f t="shared" ref="AD73" si="112">AD66+AD72</f>
        <v>0</v>
      </c>
      <c r="AE73" s="353">
        <f>AE66+AE72</f>
        <v>0</v>
      </c>
      <c r="AF73" s="353">
        <f t="shared" ref="AF73" si="113">AF66+AF72</f>
        <v>0</v>
      </c>
      <c r="AG73" s="601">
        <f>AG66+AG72</f>
        <v>0</v>
      </c>
      <c r="AH73" s="353">
        <f>AH66+AH72</f>
        <v>14347</v>
      </c>
      <c r="AI73" s="353">
        <f>AI66+AI72</f>
        <v>0</v>
      </c>
      <c r="AJ73" s="353">
        <f>AJ66+AJ72</f>
        <v>0</v>
      </c>
      <c r="AK73" s="601">
        <f>AK66+AK72</f>
        <v>0</v>
      </c>
      <c r="AL73" s="578">
        <f t="shared" si="109"/>
        <v>351459</v>
      </c>
    </row>
    <row r="74" spans="1:38" s="465" customFormat="1" ht="13.5" customHeight="1">
      <c r="A74" s="5">
        <v>41</v>
      </c>
      <c r="B74" s="6" t="s">
        <v>113</v>
      </c>
      <c r="C74" s="6"/>
      <c r="D74" s="6"/>
      <c r="E74" s="346">
        <f>'ROO INPUT'!$F74</f>
        <v>-73856</v>
      </c>
      <c r="F74" s="463">
        <v>-325</v>
      </c>
      <c r="G74" s="463">
        <v>0</v>
      </c>
      <c r="H74" s="463">
        <v>0</v>
      </c>
      <c r="I74" s="463">
        <v>0</v>
      </c>
      <c r="J74" s="463">
        <v>0</v>
      </c>
      <c r="K74" s="463">
        <v>0</v>
      </c>
      <c r="L74" s="463">
        <v>0</v>
      </c>
      <c r="M74" s="463">
        <v>0</v>
      </c>
      <c r="N74" s="463">
        <v>0</v>
      </c>
      <c r="O74" s="463">
        <v>0</v>
      </c>
      <c r="P74" s="463">
        <v>0</v>
      </c>
      <c r="Q74" s="463">
        <v>0</v>
      </c>
      <c r="R74" s="463">
        <v>0</v>
      </c>
      <c r="S74" s="463">
        <v>0</v>
      </c>
      <c r="T74" s="463">
        <v>0</v>
      </c>
      <c r="U74" s="463">
        <v>0</v>
      </c>
      <c r="V74" s="463">
        <v>0</v>
      </c>
      <c r="W74" s="463">
        <v>0</v>
      </c>
      <c r="X74" s="464">
        <f>SUM(E74:W74)</f>
        <v>-74181</v>
      </c>
      <c r="Y74" s="463"/>
      <c r="Z74" s="463"/>
      <c r="AA74" s="463"/>
      <c r="AB74" s="463"/>
      <c r="AC74" s="463">
        <v>0</v>
      </c>
      <c r="AD74" s="463">
        <v>0</v>
      </c>
      <c r="AE74" s="463"/>
      <c r="AF74" s="463">
        <v>0</v>
      </c>
      <c r="AG74" s="463"/>
      <c r="AH74" s="463">
        <f>+'[8]G-CAP SUMMARY'!$D$41</f>
        <v>-2602</v>
      </c>
      <c r="AI74" s="463"/>
      <c r="AJ74" s="463"/>
      <c r="AK74" s="463"/>
      <c r="AL74" s="573">
        <f>SUM(X74:AK74)</f>
        <v>-76783</v>
      </c>
    </row>
    <row r="75" spans="1:38" s="465" customFormat="1" ht="18.95" customHeight="1">
      <c r="A75" s="5">
        <v>42</v>
      </c>
      <c r="B75" s="6" t="s">
        <v>222</v>
      </c>
      <c r="C75" s="6"/>
      <c r="D75" s="6"/>
      <c r="E75" s="353">
        <f>E73+E74</f>
        <v>263256</v>
      </c>
      <c r="F75" s="353">
        <f>F73+F74</f>
        <v>-325</v>
      </c>
      <c r="G75" s="353">
        <f t="shared" ref="G75:AB75" si="114">G73+G74</f>
        <v>0</v>
      </c>
      <c r="H75" s="353">
        <f t="shared" si="114"/>
        <v>0</v>
      </c>
      <c r="I75" s="353">
        <f t="shared" si="114"/>
        <v>0</v>
      </c>
      <c r="J75" s="353">
        <f>J73+J74</f>
        <v>0</v>
      </c>
      <c r="K75" s="353">
        <f t="shared" si="114"/>
        <v>0</v>
      </c>
      <c r="L75" s="353">
        <f t="shared" si="114"/>
        <v>0</v>
      </c>
      <c r="M75" s="353">
        <f t="shared" si="114"/>
        <v>0</v>
      </c>
      <c r="N75" s="353">
        <f t="shared" si="114"/>
        <v>0</v>
      </c>
      <c r="O75" s="353">
        <f t="shared" si="114"/>
        <v>0</v>
      </c>
      <c r="P75" s="353">
        <f t="shared" si="114"/>
        <v>0</v>
      </c>
      <c r="Q75" s="353">
        <f t="shared" ref="Q75:X75" si="115">Q73+Q74</f>
        <v>0</v>
      </c>
      <c r="R75" s="353">
        <f t="shared" si="115"/>
        <v>0</v>
      </c>
      <c r="S75" s="353">
        <f t="shared" si="115"/>
        <v>0</v>
      </c>
      <c r="T75" s="353">
        <f t="shared" si="115"/>
        <v>0</v>
      </c>
      <c r="U75" s="353">
        <f>U73+U74</f>
        <v>0</v>
      </c>
      <c r="V75" s="353">
        <f>V73+V74</f>
        <v>0</v>
      </c>
      <c r="W75" s="353">
        <f t="shared" si="115"/>
        <v>0</v>
      </c>
      <c r="X75" s="468">
        <f t="shared" si="115"/>
        <v>262931</v>
      </c>
      <c r="Y75" s="601">
        <f t="shared" ref="Y75:Z75" si="116">Y73+Y74</f>
        <v>0</v>
      </c>
      <c r="Z75" s="353">
        <f t="shared" si="116"/>
        <v>0</v>
      </c>
      <c r="AA75" s="353">
        <f t="shared" si="114"/>
        <v>0</v>
      </c>
      <c r="AB75" s="353">
        <f t="shared" si="114"/>
        <v>0</v>
      </c>
      <c r="AC75" s="353">
        <f>AC73+AC74</f>
        <v>0</v>
      </c>
      <c r="AD75" s="353">
        <f t="shared" ref="AD75" si="117">AD73+AD74</f>
        <v>0</v>
      </c>
      <c r="AE75" s="353">
        <f t="shared" ref="AE75:AK75" si="118">AE73+AE74</f>
        <v>0</v>
      </c>
      <c r="AF75" s="353">
        <f t="shared" si="118"/>
        <v>0</v>
      </c>
      <c r="AG75" s="601">
        <f t="shared" si="118"/>
        <v>0</v>
      </c>
      <c r="AH75" s="601">
        <f t="shared" si="118"/>
        <v>11745</v>
      </c>
      <c r="AI75" s="353">
        <f t="shared" si="118"/>
        <v>0</v>
      </c>
      <c r="AJ75" s="353">
        <f t="shared" ref="AJ75" si="119">AJ73+AJ74</f>
        <v>0</v>
      </c>
      <c r="AK75" s="601">
        <f t="shared" si="118"/>
        <v>0</v>
      </c>
      <c r="AL75" s="578">
        <f t="shared" ref="AL75" si="120">AL73+AL74</f>
        <v>274676</v>
      </c>
    </row>
    <row r="76" spans="1:38">
      <c r="A76" s="196">
        <v>43</v>
      </c>
      <c r="B76" s="4" t="s">
        <v>67</v>
      </c>
      <c r="C76" s="4"/>
      <c r="D76" s="4"/>
      <c r="E76" s="344">
        <f>'ROO INPUT'!$F76</f>
        <v>9116</v>
      </c>
      <c r="F76" s="517">
        <v>0</v>
      </c>
      <c r="G76" s="517">
        <v>0</v>
      </c>
      <c r="H76" s="517">
        <v>0</v>
      </c>
      <c r="I76" s="517">
        <v>0</v>
      </c>
      <c r="J76" s="517">
        <v>0</v>
      </c>
      <c r="K76" s="517">
        <v>0</v>
      </c>
      <c r="L76" s="517">
        <v>0</v>
      </c>
      <c r="M76" s="517">
        <v>0</v>
      </c>
      <c r="N76" s="517">
        <v>0</v>
      </c>
      <c r="O76" s="517">
        <v>0</v>
      </c>
      <c r="P76" s="517">
        <v>0</v>
      </c>
      <c r="Q76" s="517">
        <v>0</v>
      </c>
      <c r="R76" s="517">
        <v>0</v>
      </c>
      <c r="S76" s="517">
        <v>0</v>
      </c>
      <c r="T76" s="517">
        <v>0</v>
      </c>
      <c r="U76" s="517">
        <v>0</v>
      </c>
      <c r="V76" s="517">
        <v>0</v>
      </c>
      <c r="W76" s="517">
        <v>0</v>
      </c>
      <c r="X76" s="461">
        <f>SUM(E76:W76)</f>
        <v>9116</v>
      </c>
      <c r="Y76" s="517"/>
      <c r="Z76" s="517"/>
      <c r="AA76" s="517"/>
      <c r="AB76" s="517"/>
      <c r="AC76" s="517">
        <v>0</v>
      </c>
      <c r="AD76" s="517">
        <v>0</v>
      </c>
      <c r="AE76" s="517">
        <v>0</v>
      </c>
      <c r="AF76" s="517">
        <v>0</v>
      </c>
      <c r="AG76" s="517"/>
      <c r="AH76" s="462">
        <v>0</v>
      </c>
      <c r="AI76" s="517"/>
      <c r="AJ76" s="517">
        <v>0</v>
      </c>
      <c r="AK76" s="517"/>
      <c r="AL76" s="578">
        <f>SUM(X76:AK76)</f>
        <v>9116</v>
      </c>
    </row>
    <row r="77" spans="1:38" s="465" customFormat="1">
      <c r="A77" s="5">
        <v>44</v>
      </c>
      <c r="B77" s="6" t="s">
        <v>68</v>
      </c>
      <c r="C77" s="6"/>
      <c r="D77" s="6"/>
      <c r="E77" s="344">
        <f>'ROO INPUT'!$F77</f>
        <v>0</v>
      </c>
      <c r="F77" s="462">
        <v>0</v>
      </c>
      <c r="G77" s="462">
        <v>0</v>
      </c>
      <c r="H77" s="462">
        <v>0</v>
      </c>
      <c r="I77" s="462">
        <v>0</v>
      </c>
      <c r="J77" s="462">
        <v>0</v>
      </c>
      <c r="K77" s="462">
        <v>0</v>
      </c>
      <c r="L77" s="462">
        <v>0</v>
      </c>
      <c r="M77" s="462">
        <v>0</v>
      </c>
      <c r="N77" s="462">
        <v>0</v>
      </c>
      <c r="O77" s="462">
        <v>0</v>
      </c>
      <c r="P77" s="462">
        <v>0</v>
      </c>
      <c r="Q77" s="462">
        <v>0</v>
      </c>
      <c r="R77" s="462">
        <v>0</v>
      </c>
      <c r="S77" s="462">
        <v>0</v>
      </c>
      <c r="T77" s="462">
        <v>0</v>
      </c>
      <c r="U77" s="462">
        <v>0</v>
      </c>
      <c r="V77" s="462">
        <v>0</v>
      </c>
      <c r="W77" s="462">
        <v>0</v>
      </c>
      <c r="X77" s="468">
        <f>SUM(E77:W77)</f>
        <v>0</v>
      </c>
      <c r="Y77" s="462"/>
      <c r="Z77" s="462"/>
      <c r="AA77" s="462"/>
      <c r="AB77" s="462"/>
      <c r="AC77" s="462">
        <v>0</v>
      </c>
      <c r="AD77" s="462">
        <v>0</v>
      </c>
      <c r="AE77" s="462">
        <v>0</v>
      </c>
      <c r="AF77" s="462">
        <v>0</v>
      </c>
      <c r="AG77" s="462"/>
      <c r="AH77" s="462"/>
      <c r="AI77" s="462"/>
      <c r="AJ77" s="462">
        <v>0</v>
      </c>
      <c r="AK77" s="462"/>
      <c r="AL77" s="578">
        <f>SUM(X77:AK77)</f>
        <v>0</v>
      </c>
    </row>
    <row r="78" spans="1:38" s="465" customFormat="1">
      <c r="A78" s="5">
        <v>45</v>
      </c>
      <c r="B78" s="6" t="s">
        <v>440</v>
      </c>
      <c r="C78" s="6"/>
      <c r="D78" s="6"/>
      <c r="E78" s="344">
        <f>'ROO INPUT'!$F78</f>
        <v>-249</v>
      </c>
      <c r="F78" s="462"/>
      <c r="G78" s="462">
        <v>0</v>
      </c>
      <c r="H78" s="462"/>
      <c r="I78" s="462"/>
      <c r="J78" s="462"/>
      <c r="K78" s="462"/>
      <c r="L78" s="462"/>
      <c r="M78" s="462"/>
      <c r="N78" s="462"/>
      <c r="O78" s="462"/>
      <c r="P78" s="462"/>
      <c r="Q78" s="462"/>
      <c r="R78" s="462"/>
      <c r="S78" s="462"/>
      <c r="T78" s="462"/>
      <c r="U78" s="462"/>
      <c r="V78" s="462"/>
      <c r="W78" s="462"/>
      <c r="X78" s="468">
        <f>SUM(E78:W78)</f>
        <v>-249</v>
      </c>
      <c r="Y78" s="462"/>
      <c r="Z78" s="462"/>
      <c r="AA78" s="462"/>
      <c r="AB78" s="462"/>
      <c r="AC78" s="462"/>
      <c r="AD78" s="462"/>
      <c r="AE78" s="462"/>
      <c r="AF78" s="462"/>
      <c r="AG78" s="462"/>
      <c r="AH78" s="462"/>
      <c r="AI78" s="462"/>
      <c r="AJ78" s="462"/>
      <c r="AK78" s="462">
        <v>1474</v>
      </c>
      <c r="AL78" s="578">
        <f>SUM(X78:AK78)</f>
        <v>1225</v>
      </c>
    </row>
    <row r="79" spans="1:38">
      <c r="A79" s="196">
        <v>46</v>
      </c>
      <c r="B79" s="4" t="s">
        <v>192</v>
      </c>
      <c r="C79" s="4"/>
      <c r="D79" s="4"/>
      <c r="E79" s="346">
        <f>'ROO INPUT'!$F79</f>
        <v>15664</v>
      </c>
      <c r="F79" s="463">
        <v>0</v>
      </c>
      <c r="G79" s="463">
        <v>0</v>
      </c>
      <c r="H79" s="463">
        <v>-864</v>
      </c>
      <c r="I79" s="463">
        <v>0</v>
      </c>
      <c r="J79" s="463">
        <v>0</v>
      </c>
      <c r="K79" s="463">
        <v>0</v>
      </c>
      <c r="L79" s="463">
        <v>0</v>
      </c>
      <c r="M79" s="463">
        <v>0</v>
      </c>
      <c r="N79" s="463">
        <v>0</v>
      </c>
      <c r="O79" s="463">
        <v>0</v>
      </c>
      <c r="P79" s="463">
        <v>0</v>
      </c>
      <c r="Q79" s="463">
        <v>0</v>
      </c>
      <c r="R79" s="463">
        <v>0</v>
      </c>
      <c r="S79" s="463">
        <v>0</v>
      </c>
      <c r="T79" s="463">
        <v>0</v>
      </c>
      <c r="U79" s="463">
        <v>0</v>
      </c>
      <c r="V79" s="463">
        <v>0</v>
      </c>
      <c r="W79" s="463">
        <v>0</v>
      </c>
      <c r="X79" s="464">
        <f>SUM(E79:W79)</f>
        <v>14800</v>
      </c>
      <c r="Y79" s="463"/>
      <c r="Z79" s="463"/>
      <c r="AA79" s="463"/>
      <c r="AB79" s="463"/>
      <c r="AC79" s="463">
        <v>0</v>
      </c>
      <c r="AD79" s="463">
        <v>0</v>
      </c>
      <c r="AE79" s="463">
        <v>0</v>
      </c>
      <c r="AF79" s="463">
        <v>0</v>
      </c>
      <c r="AG79" s="463"/>
      <c r="AH79" s="463"/>
      <c r="AI79" s="463"/>
      <c r="AJ79" s="463">
        <v>0</v>
      </c>
      <c r="AK79" s="463"/>
      <c r="AL79" s="573">
        <f>SUM(X79:AK79)</f>
        <v>14800</v>
      </c>
    </row>
    <row r="80" spans="1:38" ht="7.5" customHeight="1">
      <c r="AH80" s="459"/>
      <c r="AL80" s="576"/>
    </row>
    <row r="81" spans="1:38" ht="6.75" customHeight="1"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344"/>
      <c r="P81" s="344"/>
      <c r="Q81" s="344"/>
      <c r="R81" s="344"/>
      <c r="S81" s="344"/>
      <c r="T81" s="344"/>
      <c r="U81" s="344"/>
      <c r="V81" s="344"/>
      <c r="W81" s="344"/>
      <c r="X81" s="461"/>
      <c r="Y81" s="399"/>
      <c r="Z81" s="344"/>
      <c r="AA81" s="344"/>
      <c r="AB81" s="344"/>
      <c r="AC81" s="344"/>
      <c r="AD81" s="344"/>
      <c r="AE81" s="344"/>
      <c r="AF81" s="344"/>
      <c r="AG81" s="399"/>
      <c r="AH81" s="601"/>
      <c r="AI81" s="344"/>
      <c r="AJ81" s="344"/>
      <c r="AK81" s="399"/>
      <c r="AL81" s="578"/>
    </row>
    <row r="82" spans="1:38" s="469" customFormat="1" ht="12.75" thickBot="1">
      <c r="A82" s="437">
        <v>47</v>
      </c>
      <c r="B82" s="469" t="s">
        <v>69</v>
      </c>
      <c r="E82" s="466">
        <f>E75+E76+E77+E79+E78</f>
        <v>287787</v>
      </c>
      <c r="F82" s="466">
        <f t="shared" ref="F82:AB82" si="121">F75+F76+F77+F79+F78</f>
        <v>-325</v>
      </c>
      <c r="G82" s="466">
        <f>G75+G76+G77+G79+G78</f>
        <v>0</v>
      </c>
      <c r="H82" s="466">
        <f t="shared" si="121"/>
        <v>-864</v>
      </c>
      <c r="I82" s="466">
        <f t="shared" si="121"/>
        <v>0</v>
      </c>
      <c r="J82" s="466">
        <f>J75+J76+J77+J79+J78</f>
        <v>0</v>
      </c>
      <c r="K82" s="466">
        <f t="shared" si="121"/>
        <v>0</v>
      </c>
      <c r="L82" s="466">
        <f t="shared" si="121"/>
        <v>0</v>
      </c>
      <c r="M82" s="466">
        <f t="shared" si="121"/>
        <v>0</v>
      </c>
      <c r="N82" s="466">
        <f t="shared" si="121"/>
        <v>0</v>
      </c>
      <c r="O82" s="466">
        <f t="shared" si="121"/>
        <v>0</v>
      </c>
      <c r="P82" s="466">
        <f t="shared" si="121"/>
        <v>0</v>
      </c>
      <c r="Q82" s="466">
        <f t="shared" ref="Q82:W82" si="122">Q75+Q76+Q77+Q79+Q78</f>
        <v>0</v>
      </c>
      <c r="R82" s="466">
        <f t="shared" si="122"/>
        <v>0</v>
      </c>
      <c r="S82" s="466">
        <f t="shared" si="122"/>
        <v>0</v>
      </c>
      <c r="T82" s="466">
        <f t="shared" si="122"/>
        <v>0</v>
      </c>
      <c r="U82" s="466">
        <f>U75+U76+U77+U79+U78</f>
        <v>0</v>
      </c>
      <c r="V82" s="466">
        <f>V75+V76+V77+V79+V78</f>
        <v>0</v>
      </c>
      <c r="W82" s="466">
        <f t="shared" si="122"/>
        <v>0</v>
      </c>
      <c r="X82" s="466">
        <f t="shared" si="121"/>
        <v>286598</v>
      </c>
      <c r="Y82" s="602">
        <f t="shared" ref="Y82" si="123">Y75+Y76+Y77+Y79+Y78</f>
        <v>0</v>
      </c>
      <c r="Z82" s="466">
        <f>Z75+Z76+Z77+Z79+Z78</f>
        <v>0</v>
      </c>
      <c r="AA82" s="466">
        <f t="shared" si="121"/>
        <v>0</v>
      </c>
      <c r="AB82" s="466">
        <f t="shared" si="121"/>
        <v>0</v>
      </c>
      <c r="AC82" s="466">
        <f>AC75+AC76+AC77+AC79+AC78</f>
        <v>0</v>
      </c>
      <c r="AD82" s="466">
        <f t="shared" ref="AD82" si="124">AD75+AD76+AD77+AD79+AD78</f>
        <v>0</v>
      </c>
      <c r="AE82" s="466">
        <f t="shared" ref="AE82:AK82" si="125">AE75+AE76+AE77+AE79+AE78</f>
        <v>0</v>
      </c>
      <c r="AF82" s="466">
        <f t="shared" si="125"/>
        <v>0</v>
      </c>
      <c r="AG82" s="602">
        <f t="shared" si="125"/>
        <v>0</v>
      </c>
      <c r="AH82" s="466">
        <f t="shared" si="125"/>
        <v>11745</v>
      </c>
      <c r="AI82" s="466">
        <f t="shared" si="125"/>
        <v>0</v>
      </c>
      <c r="AJ82" s="466">
        <f t="shared" ref="AJ82" si="126">AJ75+AJ76+AJ77+AJ79+AJ78</f>
        <v>0</v>
      </c>
      <c r="AK82" s="602">
        <f t="shared" si="125"/>
        <v>1474</v>
      </c>
      <c r="AL82" s="579">
        <f t="shared" ref="AL82" si="127">AL75+AL76+AL77+AL79+AL78</f>
        <v>299817</v>
      </c>
    </row>
    <row r="83" spans="1:38" ht="12.75" thickTop="1">
      <c r="A83" s="196">
        <v>48</v>
      </c>
      <c r="B83" s="1" t="s">
        <v>476</v>
      </c>
      <c r="E83" s="7">
        <f>ROUND(E59/E82,4)</f>
        <v>8.1500000000000003E-2</v>
      </c>
      <c r="F83" s="344"/>
      <c r="G83" s="344"/>
      <c r="H83" s="344"/>
      <c r="I83" s="344"/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461"/>
      <c r="V83" s="461"/>
      <c r="W83" s="344"/>
      <c r="X83" s="484" t="s">
        <v>464</v>
      </c>
      <c r="Y83" s="399"/>
      <c r="Z83" s="461"/>
      <c r="AA83" s="461"/>
      <c r="AB83" s="461"/>
      <c r="AC83" s="461"/>
      <c r="AD83" s="344"/>
      <c r="AE83" s="344"/>
      <c r="AF83" s="344"/>
      <c r="AG83" s="399"/>
      <c r="AH83" s="611"/>
      <c r="AI83" s="344"/>
      <c r="AJ83" s="344"/>
      <c r="AK83" s="399"/>
      <c r="AL83" s="488"/>
    </row>
    <row r="84" spans="1:38">
      <c r="A84" s="196">
        <v>50</v>
      </c>
      <c r="B84" s="1" t="s">
        <v>178</v>
      </c>
      <c r="E84" s="73">
        <f>E90</f>
        <v>-4966.8979851606009</v>
      </c>
      <c r="F84" s="73">
        <f t="shared" ref="F84:AL84" si="128">F90</f>
        <v>-32.162508358240217</v>
      </c>
      <c r="G84" s="73">
        <f t="shared" si="128"/>
        <v>2.0945951389280508</v>
      </c>
      <c r="H84" s="73">
        <f t="shared" si="128"/>
        <v>-85.502791450829378</v>
      </c>
      <c r="I84" s="73">
        <f t="shared" si="128"/>
        <v>33.513522222848813</v>
      </c>
      <c r="J84" s="73">
        <f t="shared" ref="J84" si="129">J90</f>
        <v>392.73658854900947</v>
      </c>
      <c r="K84" s="73">
        <f t="shared" si="128"/>
        <v>-617.90556598377498</v>
      </c>
      <c r="L84" s="73">
        <f t="shared" si="128"/>
        <v>-3.1418927083920765</v>
      </c>
      <c r="M84" s="73">
        <f t="shared" si="128"/>
        <v>79.594615279265938</v>
      </c>
      <c r="N84" s="73">
        <f t="shared" si="128"/>
        <v>0</v>
      </c>
      <c r="O84" s="73">
        <f t="shared" si="128"/>
        <v>-9.4256781251762281</v>
      </c>
      <c r="P84" s="73">
        <f t="shared" si="128"/>
        <v>2.0945951389280508</v>
      </c>
      <c r="Q84" s="73">
        <f t="shared" ref="Q84:W84" si="130">Q90</f>
        <v>-13.614868403032329</v>
      </c>
      <c r="R84" s="73">
        <f t="shared" si="130"/>
        <v>4.1891902778561017</v>
      </c>
      <c r="S84" s="73">
        <f t="shared" si="130"/>
        <v>499.56094063434011</v>
      </c>
      <c r="T84" s="73">
        <f t="shared" si="130"/>
        <v>-329.89873438116797</v>
      </c>
      <c r="U84" s="73">
        <f>U90</f>
        <v>1130.0340774516833</v>
      </c>
      <c r="V84" s="73">
        <f>V90</f>
        <v>-189.56086007298859</v>
      </c>
      <c r="W84" s="73">
        <f t="shared" si="130"/>
        <v>64.449081197786171</v>
      </c>
      <c r="X84" s="73">
        <f t="shared" si="128"/>
        <v>-4039.8436787535597</v>
      </c>
      <c r="Y84" s="430">
        <f t="shared" ref="Y84:Z84" si="131">Y90</f>
        <v>364.4595541734808</v>
      </c>
      <c r="Z84" s="73">
        <f t="shared" si="131"/>
        <v>491.22549927897586</v>
      </c>
      <c r="AA84" s="73">
        <f t="shared" si="128"/>
        <v>-10.472975694640253</v>
      </c>
      <c r="AB84" s="73">
        <f t="shared" si="128"/>
        <v>-184.32437222566847</v>
      </c>
      <c r="AC84" s="73">
        <f>AC90</f>
        <v>35.608117361776863</v>
      </c>
      <c r="AD84" s="73">
        <f t="shared" ref="AD84" si="132">AD90</f>
        <v>498.51364306487602</v>
      </c>
      <c r="AE84" s="73">
        <f t="shared" ref="AE84:AK84" si="133">AE90</f>
        <v>210.5068114622691</v>
      </c>
      <c r="AF84" s="73">
        <f t="shared" si="133"/>
        <v>965.60835904583132</v>
      </c>
      <c r="AG84" s="430">
        <f t="shared" si="133"/>
        <v>-1130.0340774516833</v>
      </c>
      <c r="AH84" s="73">
        <f t="shared" si="133"/>
        <v>1545.6144817085451</v>
      </c>
      <c r="AI84" s="73">
        <f t="shared" si="133"/>
        <v>-33.513522222848813</v>
      </c>
      <c r="AJ84" s="73">
        <f t="shared" ref="AJ84" si="134">AJ90</f>
        <v>0</v>
      </c>
      <c r="AK84" s="430">
        <f t="shared" si="133"/>
        <v>757.49112616713262</v>
      </c>
      <c r="AL84" s="487">
        <f t="shared" si="128"/>
        <v>-529.16103408549918</v>
      </c>
    </row>
    <row r="85" spans="1:38" ht="8.25" customHeight="1">
      <c r="E85" s="344"/>
      <c r="F85" s="344"/>
      <c r="G85" s="344"/>
      <c r="H85" s="344"/>
      <c r="I85" s="344"/>
      <c r="J85" s="344"/>
      <c r="K85" s="344"/>
      <c r="L85" s="344"/>
      <c r="M85" s="344"/>
      <c r="N85" s="344"/>
      <c r="O85" s="344"/>
      <c r="P85" s="344"/>
      <c r="Q85" s="344"/>
      <c r="R85" s="344"/>
      <c r="S85" s="344"/>
      <c r="T85" s="344"/>
      <c r="U85" s="461"/>
      <c r="V85" s="461"/>
      <c r="W85" s="344"/>
      <c r="X85" s="461"/>
      <c r="Y85" s="399"/>
      <c r="Z85" s="461"/>
      <c r="AA85" s="461"/>
      <c r="AB85" s="461"/>
      <c r="AC85" s="461"/>
      <c r="AD85" s="344"/>
      <c r="AE85" s="344"/>
      <c r="AF85" s="344"/>
      <c r="AG85" s="399"/>
      <c r="AH85" s="399"/>
      <c r="AI85" s="344"/>
      <c r="AJ85" s="344"/>
      <c r="AK85" s="399"/>
      <c r="AL85" s="461"/>
    </row>
    <row r="86" spans="1:38" s="472" customFormat="1" ht="16.5" customHeight="1">
      <c r="A86" s="471"/>
      <c r="D86" s="473" t="s">
        <v>445</v>
      </c>
      <c r="E86" s="526">
        <f>'Exh. No. BGM-4 2'!N15</f>
        <v>7.0800000000000002E-2</v>
      </c>
      <c r="F86" s="399"/>
      <c r="G86" s="399"/>
      <c r="H86" s="399"/>
      <c r="I86" s="399"/>
      <c r="J86" s="399"/>
      <c r="K86" s="399"/>
      <c r="L86" s="399"/>
      <c r="M86" s="399"/>
      <c r="N86" s="399"/>
      <c r="O86" s="399"/>
      <c r="P86" s="399"/>
      <c r="Q86" s="399"/>
      <c r="R86" s="399"/>
      <c r="S86" s="399"/>
      <c r="T86" s="399"/>
      <c r="U86" s="474"/>
      <c r="V86" s="474"/>
      <c r="W86" s="399"/>
      <c r="X86" s="474"/>
      <c r="Y86" s="399"/>
      <c r="Z86" s="474"/>
      <c r="AA86" s="474"/>
      <c r="AB86" s="474"/>
      <c r="AC86" s="474"/>
      <c r="AD86" s="399"/>
      <c r="AE86" s="399"/>
      <c r="AF86" s="399"/>
      <c r="AG86" s="399"/>
      <c r="AH86" s="399"/>
      <c r="AI86" s="399"/>
      <c r="AJ86" s="399"/>
      <c r="AK86" s="399"/>
      <c r="AL86" s="474"/>
    </row>
    <row r="87" spans="1:38" s="472" customFormat="1" ht="17.25" customHeight="1">
      <c r="A87" s="383"/>
      <c r="D87" s="473" t="s">
        <v>157</v>
      </c>
      <c r="E87" s="616">
        <f>'Exh. No. BGM-4 2'!F21</f>
        <v>0.620645</v>
      </c>
      <c r="F87" s="399"/>
      <c r="G87" s="399"/>
      <c r="H87" s="399"/>
      <c r="I87" s="399"/>
      <c r="J87" s="399"/>
      <c r="K87" s="399"/>
      <c r="L87" s="399"/>
      <c r="M87" s="399"/>
      <c r="N87" s="399"/>
      <c r="O87" s="399"/>
      <c r="P87" s="399"/>
      <c r="Q87" s="399"/>
      <c r="R87" s="399"/>
      <c r="S87" s="399"/>
      <c r="T87" s="399"/>
      <c r="U87" s="474"/>
      <c r="V87" s="474"/>
      <c r="W87" s="399"/>
      <c r="X87" s="474"/>
      <c r="Y87" s="399"/>
      <c r="Z87" s="474"/>
      <c r="AA87" s="474"/>
      <c r="AB87" s="474"/>
      <c r="AC87" s="474"/>
      <c r="AD87" s="399"/>
      <c r="AE87" s="399"/>
      <c r="AF87" s="399"/>
      <c r="AG87" s="399"/>
      <c r="AH87" s="399"/>
      <c r="AI87" s="399"/>
      <c r="AJ87" s="399"/>
      <c r="AK87" s="399"/>
      <c r="AL87" s="474"/>
    </row>
    <row r="88" spans="1:38" s="472" customFormat="1" ht="2.25" customHeight="1">
      <c r="A88" s="383"/>
      <c r="D88" s="473"/>
      <c r="E88" s="270"/>
      <c r="F88" s="399"/>
      <c r="G88" s="399"/>
      <c r="H88" s="399"/>
      <c r="I88" s="399"/>
      <c r="J88" s="399"/>
      <c r="K88" s="399"/>
      <c r="L88" s="399"/>
      <c r="M88" s="399"/>
      <c r="N88" s="399"/>
      <c r="O88" s="399"/>
      <c r="P88" s="399"/>
      <c r="Q88" s="399"/>
      <c r="R88" s="399"/>
      <c r="S88" s="399"/>
      <c r="T88" s="399"/>
      <c r="U88" s="474"/>
      <c r="V88" s="474"/>
      <c r="W88" s="399"/>
      <c r="X88" s="474"/>
      <c r="Y88" s="399"/>
      <c r="Z88" s="474"/>
      <c r="AA88" s="474"/>
      <c r="AB88" s="474"/>
      <c r="AC88" s="474"/>
      <c r="AD88" s="399"/>
      <c r="AE88" s="399"/>
      <c r="AF88" s="399"/>
      <c r="AG88" s="399"/>
      <c r="AH88" s="399"/>
      <c r="AI88" s="399"/>
      <c r="AJ88" s="399"/>
      <c r="AK88" s="399"/>
      <c r="AL88" s="474"/>
    </row>
    <row r="89" spans="1:38" s="472" customFormat="1" ht="29.25" customHeight="1">
      <c r="A89" s="383"/>
      <c r="D89" s="473" t="s">
        <v>171</v>
      </c>
      <c r="E89" s="270">
        <f>E82*$E$86-E59</f>
        <v>-3082.6804000000011</v>
      </c>
      <c r="F89" s="270">
        <f>F82*$E$86-F59</f>
        <v>-19.961500000000001</v>
      </c>
      <c r="G89" s="270">
        <f>G82*$E$86-G59</f>
        <v>1.3</v>
      </c>
      <c r="H89" s="270">
        <f>H82*$E$86-H59</f>
        <v>-53.066879999999998</v>
      </c>
      <c r="I89" s="270">
        <f t="shared" ref="I89:P89" si="135">I82*$E$86-I59</f>
        <v>20.8</v>
      </c>
      <c r="J89" s="270">
        <f>J82*$E$86-J59</f>
        <v>243.75</v>
      </c>
      <c r="K89" s="270">
        <f t="shared" si="135"/>
        <v>-383.5</v>
      </c>
      <c r="L89" s="270">
        <f t="shared" si="135"/>
        <v>-1.9500000000000002</v>
      </c>
      <c r="M89" s="270">
        <f t="shared" si="135"/>
        <v>49.400000000000006</v>
      </c>
      <c r="N89" s="270">
        <f t="shared" si="135"/>
        <v>0</v>
      </c>
      <c r="O89" s="270">
        <f t="shared" si="135"/>
        <v>-5.85</v>
      </c>
      <c r="P89" s="270">
        <f t="shared" si="135"/>
        <v>1.3</v>
      </c>
      <c r="Q89" s="270">
        <f t="shared" ref="Q89:R89" si="136">Q82*$E$86-Q59</f>
        <v>-8.4499999999999993</v>
      </c>
      <c r="R89" s="270">
        <f t="shared" si="136"/>
        <v>2.6</v>
      </c>
      <c r="S89" s="270">
        <f t="shared" ref="S89" si="137">S82*$E$86-S59</f>
        <v>310.05</v>
      </c>
      <c r="T89" s="270">
        <f>T82*$E$86-T59</f>
        <v>-204.75</v>
      </c>
      <c r="U89" s="270">
        <f>U82*$E$86-U59</f>
        <v>701.35</v>
      </c>
      <c r="V89" s="270">
        <f>V82*$E$86-V59</f>
        <v>-117.65</v>
      </c>
      <c r="W89" s="270">
        <f>W82*$E$86-W59</f>
        <v>40</v>
      </c>
      <c r="X89" s="270">
        <f t="shared" ref="X89" si="138">X82*$E$86-X59</f>
        <v>-2507.308780000003</v>
      </c>
      <c r="Y89" s="270">
        <f t="shared" ref="Y89:Z89" si="139">Y82*$E$86-Y59</f>
        <v>226.2</v>
      </c>
      <c r="Z89" s="270">
        <f t="shared" si="139"/>
        <v>304.87664999999998</v>
      </c>
      <c r="AA89" s="270">
        <f t="shared" ref="AA89:AB89" si="140">AA82*$E$86-AA59</f>
        <v>-6.5</v>
      </c>
      <c r="AB89" s="270">
        <f t="shared" si="140"/>
        <v>-114.4</v>
      </c>
      <c r="AC89" s="270">
        <f>AC82*$E$86-AC59</f>
        <v>22.1</v>
      </c>
      <c r="AD89" s="270">
        <f t="shared" ref="AD89" si="141">AD82*$E$86-AD59</f>
        <v>309.39999999999998</v>
      </c>
      <c r="AE89" s="270">
        <f t="shared" ref="AE89:AK89" si="142">AE82*$E$86-AE59</f>
        <v>130.65</v>
      </c>
      <c r="AF89" s="270">
        <f t="shared" si="142"/>
        <v>599.29999999999995</v>
      </c>
      <c r="AG89" s="270">
        <f t="shared" si="142"/>
        <v>-701.35</v>
      </c>
      <c r="AH89" s="270">
        <f t="shared" si="142"/>
        <v>959.27790000000005</v>
      </c>
      <c r="AI89" s="270">
        <f t="shared" si="142"/>
        <v>-20.8</v>
      </c>
      <c r="AJ89" s="270">
        <f t="shared" ref="AJ89" si="143">AJ82*$E$86-AJ59</f>
        <v>0</v>
      </c>
      <c r="AK89" s="270">
        <f t="shared" si="142"/>
        <v>470.13308000000001</v>
      </c>
      <c r="AL89" s="475">
        <f t="shared" ref="AL89" si="144">AL82*$E$86-AL59</f>
        <v>-328.42114999999467</v>
      </c>
    </row>
    <row r="90" spans="1:38" s="472" customFormat="1">
      <c r="A90" s="383"/>
      <c r="D90" s="473" t="s">
        <v>149</v>
      </c>
      <c r="E90" s="270">
        <f t="shared" ref="E90:H90" si="145">E89/$E$87</f>
        <v>-4966.8979851606009</v>
      </c>
      <c r="F90" s="270">
        <f t="shared" si="145"/>
        <v>-32.162508358240217</v>
      </c>
      <c r="G90" s="270">
        <f t="shared" si="145"/>
        <v>2.0945951389280508</v>
      </c>
      <c r="H90" s="270">
        <f t="shared" si="145"/>
        <v>-85.502791450829378</v>
      </c>
      <c r="I90" s="270">
        <f t="shared" ref="I90:P90" si="146">I89/$E$87</f>
        <v>33.513522222848813</v>
      </c>
      <c r="J90" s="270">
        <f>J89/$E$87</f>
        <v>392.73658854900947</v>
      </c>
      <c r="K90" s="270">
        <f t="shared" si="146"/>
        <v>-617.90556598377498</v>
      </c>
      <c r="L90" s="270">
        <f t="shared" si="146"/>
        <v>-3.1418927083920765</v>
      </c>
      <c r="M90" s="270">
        <f t="shared" si="146"/>
        <v>79.594615279265938</v>
      </c>
      <c r="N90" s="270">
        <f t="shared" si="146"/>
        <v>0</v>
      </c>
      <c r="O90" s="270">
        <f t="shared" si="146"/>
        <v>-9.4256781251762281</v>
      </c>
      <c r="P90" s="270">
        <f t="shared" si="146"/>
        <v>2.0945951389280508</v>
      </c>
      <c r="Q90" s="270">
        <f t="shared" ref="Q90:R90" si="147">Q89/$E$87</f>
        <v>-13.614868403032329</v>
      </c>
      <c r="R90" s="270">
        <f t="shared" si="147"/>
        <v>4.1891902778561017</v>
      </c>
      <c r="S90" s="270">
        <f t="shared" ref="S90" si="148">S89/$E$87</f>
        <v>499.56094063434011</v>
      </c>
      <c r="T90" s="270">
        <f>T89/$E$87</f>
        <v>-329.89873438116797</v>
      </c>
      <c r="U90" s="270">
        <f>U89/$E$87</f>
        <v>1130.0340774516833</v>
      </c>
      <c r="V90" s="270">
        <f>V89/$E$87</f>
        <v>-189.56086007298859</v>
      </c>
      <c r="W90" s="270">
        <f>W89/$E$87</f>
        <v>64.449081197786171</v>
      </c>
      <c r="X90" s="270">
        <f t="shared" ref="X90" si="149">X89/$E$87</f>
        <v>-4039.8436787535597</v>
      </c>
      <c r="Y90" s="270">
        <f t="shared" ref="Y90:Z90" si="150">Y89/$E$87</f>
        <v>364.4595541734808</v>
      </c>
      <c r="Z90" s="270">
        <f t="shared" si="150"/>
        <v>491.22549927897586</v>
      </c>
      <c r="AA90" s="270">
        <f t="shared" ref="AA90:AB90" si="151">AA89/$E$87</f>
        <v>-10.472975694640253</v>
      </c>
      <c r="AB90" s="270">
        <f t="shared" si="151"/>
        <v>-184.32437222566847</v>
      </c>
      <c r="AC90" s="270">
        <f>AC89/$E$87</f>
        <v>35.608117361776863</v>
      </c>
      <c r="AD90" s="270">
        <f t="shared" ref="AD90" si="152">AD89/$E$87</f>
        <v>498.51364306487602</v>
      </c>
      <c r="AE90" s="270">
        <f t="shared" ref="AE90:AK90" si="153">AE89/$E$87</f>
        <v>210.5068114622691</v>
      </c>
      <c r="AF90" s="270">
        <f t="shared" si="153"/>
        <v>965.60835904583132</v>
      </c>
      <c r="AG90" s="270">
        <f t="shared" si="153"/>
        <v>-1130.0340774516833</v>
      </c>
      <c r="AH90" s="270">
        <f t="shared" si="153"/>
        <v>1545.6144817085451</v>
      </c>
      <c r="AI90" s="270">
        <f t="shared" si="153"/>
        <v>-33.513522222848813</v>
      </c>
      <c r="AJ90" s="270">
        <f t="shared" ref="AJ90" si="154">AJ89/$E$87</f>
        <v>0</v>
      </c>
      <c r="AK90" s="270">
        <f t="shared" si="153"/>
        <v>757.49112616713262</v>
      </c>
      <c r="AL90" s="475">
        <f t="shared" ref="AL90" si="155">AL89/$E$87</f>
        <v>-529.16103408549918</v>
      </c>
    </row>
    <row r="91" spans="1:38" s="472" customFormat="1">
      <c r="A91" s="383"/>
      <c r="D91" s="473"/>
      <c r="E91" s="515"/>
      <c r="F91" s="515"/>
      <c r="G91" s="515"/>
      <c r="H91" s="515"/>
      <c r="I91" s="515"/>
      <c r="J91" s="515"/>
      <c r="K91" s="515"/>
      <c r="L91" s="515"/>
      <c r="M91" s="515"/>
      <c r="N91" s="515"/>
      <c r="O91" s="515"/>
      <c r="P91" s="515"/>
      <c r="Q91" s="515"/>
      <c r="R91" s="515"/>
      <c r="S91" s="515"/>
      <c r="T91" s="515"/>
      <c r="U91" s="515"/>
      <c r="V91" s="515"/>
      <c r="W91" s="515"/>
      <c r="X91" s="476"/>
      <c r="Y91" s="515"/>
      <c r="Z91" s="515"/>
      <c r="AA91" s="515"/>
      <c r="AB91" s="515"/>
      <c r="AC91" s="515"/>
      <c r="AD91" s="515"/>
      <c r="AE91" s="515"/>
      <c r="AF91" s="515"/>
      <c r="AG91" s="515"/>
      <c r="AH91" s="515"/>
      <c r="AI91" s="515"/>
      <c r="AJ91" s="515"/>
      <c r="AK91" s="515"/>
      <c r="AL91" s="477"/>
    </row>
    <row r="92" spans="1:38" s="472" customFormat="1">
      <c r="A92" s="471"/>
      <c r="D92" s="473"/>
      <c r="E92" s="526"/>
      <c r="F92" s="515"/>
      <c r="G92" s="515"/>
      <c r="H92" s="515"/>
      <c r="I92" s="515"/>
      <c r="J92" s="515"/>
      <c r="K92" s="515"/>
      <c r="L92" s="515"/>
      <c r="M92" s="515"/>
      <c r="N92" s="515"/>
      <c r="O92" s="515"/>
      <c r="P92" s="515"/>
      <c r="Q92" s="515"/>
      <c r="R92" s="515"/>
      <c r="S92" s="515"/>
      <c r="T92" s="515"/>
      <c r="U92" s="515"/>
      <c r="V92" s="515"/>
      <c r="W92" s="515"/>
      <c r="X92" s="476"/>
      <c r="Y92" s="515"/>
      <c r="Z92" s="515"/>
      <c r="AA92" s="515"/>
      <c r="AB92" s="515"/>
      <c r="AC92" s="515"/>
      <c r="AD92" s="515"/>
      <c r="AE92" s="515"/>
      <c r="AF92" s="515"/>
      <c r="AG92" s="515"/>
      <c r="AH92" s="515"/>
      <c r="AI92" s="515"/>
      <c r="AJ92" s="515"/>
      <c r="AK92" s="515"/>
      <c r="AL92" s="477"/>
    </row>
    <row r="93" spans="1:38" s="472" customFormat="1">
      <c r="A93" s="383"/>
      <c r="E93" s="515"/>
      <c r="F93" s="515"/>
      <c r="G93" s="515"/>
      <c r="H93" s="515"/>
      <c r="I93" s="515"/>
      <c r="J93" s="515"/>
      <c r="K93" s="515"/>
      <c r="L93" s="515"/>
      <c r="M93" s="515"/>
      <c r="N93" s="515"/>
      <c r="O93" s="515"/>
      <c r="P93" s="515"/>
      <c r="Q93" s="515"/>
      <c r="R93" s="515"/>
      <c r="S93" s="515"/>
      <c r="T93" s="515"/>
      <c r="U93" s="515"/>
      <c r="V93" s="515"/>
      <c r="W93" s="515"/>
      <c r="X93" s="476"/>
      <c r="Y93" s="515"/>
      <c r="Z93" s="515"/>
      <c r="AA93" s="515"/>
      <c r="AB93" s="515"/>
      <c r="AC93" s="515"/>
      <c r="AD93" s="515"/>
      <c r="AE93" s="515"/>
      <c r="AF93" s="515"/>
      <c r="AG93" s="515"/>
      <c r="AH93" s="515"/>
      <c r="AI93" s="515"/>
      <c r="AJ93" s="515"/>
      <c r="AK93" s="515"/>
      <c r="AL93" s="477"/>
    </row>
    <row r="94" spans="1:38" s="472" customFormat="1">
      <c r="A94" s="383"/>
      <c r="D94" s="473"/>
      <c r="E94" s="515"/>
      <c r="F94" s="515"/>
      <c r="G94" s="515"/>
      <c r="H94" s="515"/>
      <c r="I94" s="515"/>
      <c r="J94" s="515"/>
      <c r="K94" s="515"/>
      <c r="L94" s="515"/>
      <c r="M94" s="515"/>
      <c r="N94" s="515"/>
      <c r="O94" s="515"/>
      <c r="P94" s="515"/>
      <c r="Q94" s="515"/>
      <c r="R94" s="515"/>
      <c r="S94" s="515"/>
      <c r="T94" s="515"/>
      <c r="U94" s="515"/>
      <c r="V94" s="515"/>
      <c r="W94" s="515"/>
      <c r="X94" s="476"/>
      <c r="Y94" s="515"/>
      <c r="Z94" s="515"/>
      <c r="AA94" s="515"/>
      <c r="AB94" s="515"/>
      <c r="AC94" s="515"/>
      <c r="AD94" s="515"/>
      <c r="AE94" s="515"/>
      <c r="AF94" s="515"/>
      <c r="AG94" s="515"/>
      <c r="AH94" s="515"/>
      <c r="AI94" s="515"/>
      <c r="AJ94" s="515"/>
      <c r="AK94" s="515"/>
      <c r="AL94" s="477"/>
    </row>
    <row r="95" spans="1:38" s="587" customFormat="1">
      <c r="A95" s="584"/>
      <c r="D95" s="583"/>
      <c r="E95" s="582"/>
      <c r="F95" s="582"/>
      <c r="G95" s="582"/>
      <c r="H95" s="582"/>
      <c r="I95" s="582"/>
      <c r="J95" s="582"/>
      <c r="K95" s="582"/>
      <c r="L95" s="582"/>
      <c r="M95" s="582"/>
      <c r="N95" s="582"/>
      <c r="O95" s="582"/>
      <c r="P95" s="582"/>
      <c r="Q95" s="582"/>
      <c r="R95" s="582"/>
      <c r="S95" s="582"/>
      <c r="T95" s="582"/>
      <c r="U95" s="582"/>
      <c r="V95" s="582"/>
      <c r="W95" s="582"/>
      <c r="X95" s="491"/>
      <c r="Y95" s="582"/>
      <c r="Z95" s="582"/>
      <c r="AA95" s="582"/>
      <c r="AB95" s="582"/>
      <c r="AC95" s="582"/>
      <c r="AD95" s="582"/>
      <c r="AE95" s="582"/>
      <c r="AF95" s="582"/>
      <c r="AG95" s="582"/>
      <c r="AH95" s="612"/>
      <c r="AI95" s="582"/>
      <c r="AJ95" s="582"/>
      <c r="AK95" s="582"/>
      <c r="AL95" s="490"/>
    </row>
    <row r="96" spans="1:38" s="587" customFormat="1">
      <c r="A96" s="584"/>
      <c r="D96" s="588"/>
      <c r="E96" s="582"/>
      <c r="F96" s="582"/>
      <c r="G96" s="582"/>
      <c r="H96" s="582"/>
      <c r="I96" s="582"/>
      <c r="J96" s="582"/>
      <c r="K96" s="582"/>
      <c r="L96" s="582"/>
      <c r="M96" s="582"/>
      <c r="N96" s="582"/>
      <c r="O96" s="582"/>
      <c r="P96" s="582"/>
      <c r="Q96" s="582"/>
      <c r="R96" s="582"/>
      <c r="S96" s="582"/>
      <c r="T96" s="582"/>
      <c r="U96" s="582"/>
      <c r="V96" s="582"/>
      <c r="W96" s="582"/>
      <c r="X96" s="491"/>
      <c r="Y96" s="582"/>
      <c r="Z96" s="582"/>
      <c r="AA96" s="582"/>
      <c r="AB96" s="582"/>
      <c r="AC96" s="582"/>
      <c r="AD96" s="582"/>
      <c r="AE96" s="582"/>
      <c r="AF96" s="582"/>
      <c r="AG96" s="582"/>
      <c r="AH96" s="582"/>
      <c r="AI96" s="582"/>
      <c r="AJ96" s="582"/>
      <c r="AK96" s="582"/>
      <c r="AL96" s="490"/>
    </row>
    <row r="97" spans="1:38" s="587" customFormat="1">
      <c r="A97" s="584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91"/>
      <c r="V97" s="491"/>
      <c r="W97" s="459"/>
      <c r="X97" s="491"/>
      <c r="Y97" s="459"/>
      <c r="Z97" s="491"/>
      <c r="AA97" s="491"/>
      <c r="AB97" s="491"/>
      <c r="AC97" s="491"/>
      <c r="AD97" s="459"/>
      <c r="AE97" s="459"/>
      <c r="AF97" s="459"/>
      <c r="AG97" s="459"/>
      <c r="AH97" s="459"/>
      <c r="AI97" s="459"/>
      <c r="AJ97" s="459"/>
      <c r="AK97" s="459"/>
      <c r="AL97" s="586"/>
    </row>
    <row r="98" spans="1:38" s="587" customFormat="1">
      <c r="A98" s="584"/>
      <c r="E98" s="459"/>
      <c r="F98" s="459"/>
      <c r="G98" s="459"/>
      <c r="H98" s="459"/>
      <c r="I98" s="459"/>
      <c r="J98" s="459"/>
      <c r="K98" s="459"/>
      <c r="L98" s="459"/>
      <c r="M98" s="459"/>
      <c r="N98" s="459"/>
      <c r="O98" s="459"/>
      <c r="P98" s="459"/>
      <c r="Q98" s="459"/>
      <c r="R98" s="459"/>
      <c r="S98" s="459"/>
      <c r="T98" s="459"/>
      <c r="U98" s="491"/>
      <c r="V98" s="491"/>
      <c r="W98" s="459"/>
      <c r="X98" s="491"/>
      <c r="Y98" s="459"/>
      <c r="Z98" s="491"/>
      <c r="AA98" s="491"/>
      <c r="AB98" s="491"/>
      <c r="AC98" s="491"/>
      <c r="AD98" s="459"/>
      <c r="AE98" s="459"/>
      <c r="AF98" s="459"/>
      <c r="AG98" s="459"/>
      <c r="AH98" s="459"/>
      <c r="AI98" s="459"/>
      <c r="AJ98" s="459"/>
      <c r="AK98" s="459"/>
      <c r="AL98" s="436"/>
    </row>
    <row r="99" spans="1:38" s="465" customFormat="1">
      <c r="A99" s="5"/>
      <c r="E99" s="581"/>
      <c r="F99" s="581"/>
      <c r="G99" s="581"/>
      <c r="H99" s="581"/>
      <c r="I99" s="581"/>
      <c r="J99" s="581"/>
      <c r="K99" s="581"/>
      <c r="L99" s="581"/>
      <c r="M99" s="581"/>
      <c r="N99" s="581"/>
      <c r="O99" s="581"/>
      <c r="P99" s="581"/>
      <c r="Q99" s="581"/>
      <c r="R99" s="581"/>
      <c r="S99" s="581"/>
      <c r="T99" s="581"/>
      <c r="U99" s="585"/>
      <c r="V99" s="585"/>
      <c r="W99" s="581"/>
      <c r="X99" s="585"/>
      <c r="Y99" s="459"/>
      <c r="Z99" s="585"/>
      <c r="AA99" s="585"/>
      <c r="AB99" s="585"/>
      <c r="AC99" s="585"/>
      <c r="AD99" s="581"/>
      <c r="AE99" s="581"/>
      <c r="AF99" s="581"/>
      <c r="AG99" s="459"/>
      <c r="AH99" s="459"/>
      <c r="AI99" s="581"/>
      <c r="AJ99" s="581"/>
      <c r="AK99" s="459"/>
      <c r="AL99" s="436"/>
    </row>
    <row r="100" spans="1:38" s="465" customFormat="1">
      <c r="A100" s="5"/>
      <c r="E100" s="581"/>
      <c r="F100" s="581"/>
      <c r="G100" s="581"/>
      <c r="H100" s="581"/>
      <c r="I100" s="581"/>
      <c r="J100" s="581"/>
      <c r="K100" s="581"/>
      <c r="L100" s="581"/>
      <c r="M100" s="581"/>
      <c r="N100" s="581"/>
      <c r="O100" s="581"/>
      <c r="P100" s="581"/>
      <c r="Q100" s="581"/>
      <c r="R100" s="581"/>
      <c r="S100" s="581"/>
      <c r="T100" s="581"/>
      <c r="U100" s="585"/>
      <c r="V100" s="585"/>
      <c r="W100" s="581"/>
      <c r="X100" s="585"/>
      <c r="Y100" s="459"/>
      <c r="Z100" s="585"/>
      <c r="AA100" s="585"/>
      <c r="AB100" s="585"/>
      <c r="AC100" s="585"/>
      <c r="AD100" s="581"/>
      <c r="AE100" s="581"/>
      <c r="AF100" s="581"/>
      <c r="AG100" s="459"/>
      <c r="AH100" s="459"/>
      <c r="AI100" s="581"/>
      <c r="AJ100" s="581"/>
      <c r="AK100" s="459"/>
      <c r="AL100" s="458"/>
    </row>
    <row r="101" spans="1:38" s="465" customFormat="1">
      <c r="A101" s="5"/>
      <c r="E101" s="581"/>
      <c r="F101" s="581"/>
      <c r="G101" s="581"/>
      <c r="H101" s="581"/>
      <c r="I101" s="581"/>
      <c r="J101" s="581"/>
      <c r="K101" s="581"/>
      <c r="L101" s="581"/>
      <c r="M101" s="581"/>
      <c r="N101" s="581"/>
      <c r="O101" s="581"/>
      <c r="P101" s="581"/>
      <c r="Q101" s="581"/>
      <c r="R101" s="581"/>
      <c r="S101" s="581"/>
      <c r="T101" s="581"/>
      <c r="U101" s="585"/>
      <c r="V101" s="585"/>
      <c r="W101" s="581"/>
      <c r="X101" s="585"/>
      <c r="Y101" s="459"/>
      <c r="Z101" s="585"/>
      <c r="AA101" s="585"/>
      <c r="AB101" s="585"/>
      <c r="AC101" s="585"/>
      <c r="AD101" s="581"/>
      <c r="AE101" s="581"/>
      <c r="AF101" s="581"/>
      <c r="AG101" s="459"/>
      <c r="AH101" s="459"/>
      <c r="AI101" s="581"/>
      <c r="AJ101" s="581"/>
      <c r="AK101" s="459"/>
      <c r="AL101" s="436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72" bottom="0.84" header="0.5" footer="0.5"/>
  <pageSetup scale="65" firstPageNumber="4" fitToWidth="5" orientation="portrait" r:id="rId3"/>
  <headerFooter scaleWithDoc="0" alignWithMargins="0"/>
  <colBreaks count="3" manualBreakCount="3">
    <brk id="14" max="87" man="1"/>
    <brk id="24" max="87" man="1"/>
    <brk id="32" max="87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0"/>
  <sheetViews>
    <sheetView zoomScale="115" zoomScaleNormal="115" workbookViewId="0">
      <selection activeCell="L16" sqref="L16"/>
    </sheetView>
  </sheetViews>
  <sheetFormatPr defaultRowHeight="12.75"/>
  <cols>
    <col min="1" max="1" width="9.140625" style="553"/>
    <col min="2" max="3" width="1.7109375" style="553" customWidth="1"/>
    <col min="4" max="4" width="25.140625" style="553" bestFit="1" customWidth="1"/>
    <col min="5" max="5" width="1.7109375" style="553" customWidth="1"/>
    <col min="6" max="6" width="10.85546875" style="553" customWidth="1"/>
    <col min="7" max="7" width="1.7109375" style="553" customWidth="1"/>
    <col min="8" max="8" width="10.85546875" style="553" customWidth="1"/>
    <col min="9" max="9" width="1.7109375" style="553" customWidth="1"/>
    <col min="10" max="16384" width="9.140625" style="553"/>
  </cols>
  <sheetData>
    <row r="3" spans="2:9">
      <c r="B3" s="769"/>
      <c r="C3" s="770"/>
      <c r="D3" s="770"/>
      <c r="E3" s="770"/>
      <c r="F3" s="770"/>
      <c r="G3" s="770"/>
      <c r="H3" s="770"/>
      <c r="I3" s="771"/>
    </row>
    <row r="4" spans="2:9">
      <c r="B4" s="772"/>
      <c r="C4" s="773"/>
      <c r="D4" s="773"/>
      <c r="E4" s="773"/>
      <c r="F4" s="787" t="s">
        <v>588</v>
      </c>
      <c r="G4" s="788"/>
      <c r="H4" s="787" t="s">
        <v>589</v>
      </c>
      <c r="I4" s="775"/>
    </row>
    <row r="5" spans="2:9">
      <c r="B5" s="772"/>
      <c r="C5" s="773"/>
      <c r="D5" s="773"/>
      <c r="E5" s="773"/>
      <c r="F5" s="773"/>
      <c r="G5" s="773"/>
      <c r="H5" s="773"/>
      <c r="I5" s="775"/>
    </row>
    <row r="6" spans="2:9">
      <c r="B6" s="772"/>
      <c r="C6" s="780" t="s">
        <v>582</v>
      </c>
      <c r="D6" s="780"/>
      <c r="E6" s="780"/>
      <c r="F6" s="781">
        <f>+'[4]Exh. No. BGM-3 1'!$M$53</f>
        <v>37500.877322561792</v>
      </c>
      <c r="G6" s="783"/>
      <c r="H6" s="781">
        <f>+'Exh. No. BGM-4 1'!M48</f>
        <v>4531</v>
      </c>
      <c r="I6" s="775"/>
    </row>
    <row r="7" spans="2:9">
      <c r="B7" s="772"/>
      <c r="C7" s="773"/>
      <c r="D7" s="773"/>
      <c r="E7" s="773"/>
      <c r="F7" s="784"/>
      <c r="G7" s="784"/>
      <c r="H7" s="784"/>
      <c r="I7" s="775"/>
    </row>
    <row r="8" spans="2:9">
      <c r="B8" s="772"/>
      <c r="C8" s="773" t="s">
        <v>583</v>
      </c>
      <c r="D8" s="773"/>
      <c r="E8" s="773"/>
      <c r="F8" s="784"/>
      <c r="G8" s="784"/>
      <c r="H8" s="784"/>
      <c r="I8" s="775"/>
    </row>
    <row r="9" spans="2:9">
      <c r="B9" s="772"/>
      <c r="C9" s="773"/>
      <c r="D9" s="773" t="s">
        <v>590</v>
      </c>
      <c r="E9" s="773"/>
      <c r="F9" s="776">
        <f>+'[4]Exh. No. BGM-3 1'!$M$55</f>
        <v>-14333.021021515498</v>
      </c>
      <c r="G9" s="776"/>
      <c r="H9" s="776">
        <f>+'Exh. No. BGM-4 1'!M50</f>
        <v>-3003.5120234803053</v>
      </c>
      <c r="I9" s="775"/>
    </row>
    <row r="10" spans="2:9">
      <c r="B10" s="772"/>
      <c r="C10" s="773"/>
      <c r="D10" s="773" t="s">
        <v>584</v>
      </c>
      <c r="E10" s="773"/>
      <c r="F10" s="776">
        <f>+'[4]Exh. No. BGM-3 1'!$AC$44</f>
        <v>-6598.9550250631319</v>
      </c>
      <c r="G10" s="776"/>
      <c r="H10" s="776">
        <f>+'Exh. No. BGM-4 1'!AC41</f>
        <v>-1881.6043196919593</v>
      </c>
      <c r="I10" s="775"/>
    </row>
    <row r="11" spans="2:9">
      <c r="B11" s="772"/>
      <c r="C11" s="773"/>
      <c r="D11" s="773" t="s">
        <v>585</v>
      </c>
      <c r="E11" s="773"/>
      <c r="F11" s="776">
        <f>+'[4]Exh. No. BGM-3 1'!$AC$46</f>
        <v>-393.51773372531738</v>
      </c>
      <c r="G11" s="776"/>
      <c r="H11" s="776">
        <f>+'Exh. No. BGM-4 1'!AC43</f>
        <v>-113.3331073128914</v>
      </c>
      <c r="I11" s="775"/>
    </row>
    <row r="12" spans="2:9">
      <c r="B12" s="772"/>
      <c r="C12" s="773"/>
      <c r="D12" s="773" t="s">
        <v>586</v>
      </c>
      <c r="E12" s="773"/>
      <c r="F12" s="776">
        <f>+'[4]Exh. No. BGM-3 1'!$AC$36</f>
        <v>-1121.2191219751605</v>
      </c>
      <c r="G12" s="776"/>
      <c r="H12" s="776">
        <f>+'Exh. No. BGM-4 1'!AC33</f>
        <v>-318.51325367727185</v>
      </c>
      <c r="I12" s="775"/>
    </row>
    <row r="13" spans="2:9">
      <c r="B13" s="772"/>
      <c r="C13" s="773"/>
      <c r="D13" s="773" t="s">
        <v>587</v>
      </c>
      <c r="E13" s="773"/>
      <c r="F13" s="776">
        <f>+'[4]Exh. No. BGM-3 1'!$AC$49</f>
        <v>-16608.54712445493</v>
      </c>
      <c r="G13" s="776"/>
      <c r="H13" s="776"/>
      <c r="I13" s="775"/>
    </row>
    <row r="14" spans="2:9">
      <c r="B14" s="772"/>
      <c r="C14" s="773"/>
      <c r="D14" s="773" t="s">
        <v>599</v>
      </c>
      <c r="E14" s="773"/>
      <c r="F14" s="777">
        <f>+'[4]Exh. No. BGM-3 1'!$AC$29</f>
        <v>1750.9097041722159</v>
      </c>
      <c r="G14" s="776"/>
      <c r="H14" s="777">
        <f>+'Exh. No. BGM-4 1'!AC27</f>
        <v>255.73170416241686</v>
      </c>
      <c r="I14" s="775"/>
    </row>
    <row r="15" spans="2:9">
      <c r="B15" s="772"/>
      <c r="C15" s="773"/>
      <c r="D15" s="780" t="s">
        <v>591</v>
      </c>
      <c r="E15" s="780"/>
      <c r="F15" s="781">
        <f>+SUM(F9:F14)</f>
        <v>-37304.350322561833</v>
      </c>
      <c r="G15" s="781"/>
      <c r="H15" s="781">
        <f>+SUM(H9:H14)</f>
        <v>-5061.2310000000107</v>
      </c>
      <c r="I15" s="775"/>
    </row>
    <row r="16" spans="2:9">
      <c r="B16" s="772"/>
      <c r="C16" s="773"/>
      <c r="D16" s="773"/>
      <c r="E16" s="773"/>
      <c r="F16" s="776"/>
      <c r="G16" s="776"/>
      <c r="H16" s="776"/>
      <c r="I16" s="775"/>
    </row>
    <row r="17" spans="2:9" ht="13.5" thickBot="1">
      <c r="B17" s="772"/>
      <c r="C17" s="780" t="s">
        <v>592</v>
      </c>
      <c r="D17" s="780"/>
      <c r="E17" s="780"/>
      <c r="F17" s="782">
        <f>+F6+F15</f>
        <v>196.52699999995821</v>
      </c>
      <c r="G17" s="781"/>
      <c r="H17" s="782">
        <f>+H6+H15</f>
        <v>-530.23100000001068</v>
      </c>
      <c r="I17" s="775"/>
    </row>
    <row r="18" spans="2:9" ht="13.5" thickTop="1">
      <c r="B18" s="778"/>
      <c r="C18" s="774"/>
      <c r="D18" s="774"/>
      <c r="E18" s="774"/>
      <c r="F18" s="774"/>
      <c r="G18" s="774"/>
      <c r="H18" s="774"/>
      <c r="I18" s="779"/>
    </row>
    <row r="20" spans="2:9">
      <c r="F20" s="786">
        <f>+F17-'[4]Exh. No. BGM-3 1'!$T$51</f>
        <v>-4.4167336454847828E-11</v>
      </c>
      <c r="H20" s="186">
        <f>+H17-'Exh. No. BGM-4 1'!T48</f>
        <v>-1.0686562745831907E-11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view="pageBreakPreview" zoomScale="85" zoomScaleNormal="100" zoomScaleSheetLayoutView="85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E13" sqref="E13"/>
    </sheetView>
  </sheetViews>
  <sheetFormatPr defaultColWidth="10.7109375" defaultRowHeight="12"/>
  <cols>
    <col min="1" max="1" width="5.7109375" style="239" customWidth="1"/>
    <col min="2" max="3" width="1.7109375" style="215" customWidth="1"/>
    <col min="4" max="4" width="28.7109375" style="215" customWidth="1"/>
    <col min="5" max="5" width="17.28515625" style="217" customWidth="1"/>
    <col min="6" max="23" width="20.42578125" style="217" customWidth="1"/>
    <col min="24" max="24" width="22.140625" style="217" customWidth="1"/>
    <col min="25" max="36" width="20.42578125" style="217" customWidth="1"/>
    <col min="37" max="16384" width="10.7109375" style="215"/>
  </cols>
  <sheetData>
    <row r="1" spans="1:36">
      <c r="F1" s="269" t="s">
        <v>225</v>
      </c>
      <c r="G1" s="269" t="s">
        <v>225</v>
      </c>
      <c r="H1" s="269" t="s">
        <v>225</v>
      </c>
      <c r="I1" s="269" t="s">
        <v>225</v>
      </c>
      <c r="J1" s="269" t="s">
        <v>225</v>
      </c>
      <c r="K1" s="269" t="s">
        <v>225</v>
      </c>
      <c r="L1" s="269" t="s">
        <v>225</v>
      </c>
      <c r="M1" s="269" t="s">
        <v>225</v>
      </c>
      <c r="N1" s="269" t="s">
        <v>225</v>
      </c>
      <c r="O1" s="269" t="s">
        <v>225</v>
      </c>
      <c r="P1" s="269" t="s">
        <v>225</v>
      </c>
      <c r="Q1" s="269" t="s">
        <v>225</v>
      </c>
      <c r="R1" s="269" t="s">
        <v>225</v>
      </c>
      <c r="S1" s="269" t="s">
        <v>225</v>
      </c>
      <c r="T1" s="269" t="s">
        <v>225</v>
      </c>
      <c r="U1" s="269" t="s">
        <v>225</v>
      </c>
      <c r="V1" s="269" t="s">
        <v>225</v>
      </c>
      <c r="W1" s="269" t="s">
        <v>225</v>
      </c>
      <c r="X1" s="269" t="s">
        <v>225</v>
      </c>
      <c r="Y1" s="269" t="s">
        <v>225</v>
      </c>
      <c r="Z1" s="269" t="s">
        <v>225</v>
      </c>
      <c r="AA1" s="269" t="s">
        <v>225</v>
      </c>
      <c r="AB1" s="269" t="s">
        <v>225</v>
      </c>
      <c r="AC1" s="269" t="s">
        <v>225</v>
      </c>
      <c r="AD1" s="269" t="s">
        <v>225</v>
      </c>
      <c r="AE1" s="269" t="s">
        <v>225</v>
      </c>
      <c r="AF1" s="269" t="s">
        <v>225</v>
      </c>
      <c r="AG1" s="269" t="s">
        <v>225</v>
      </c>
      <c r="AH1" s="269" t="s">
        <v>225</v>
      </c>
      <c r="AI1" s="269" t="s">
        <v>225</v>
      </c>
      <c r="AJ1" s="269" t="s">
        <v>225</v>
      </c>
    </row>
    <row r="2" spans="1:36" ht="12.75" customHeight="1">
      <c r="A2" s="214">
        <f>'Exh. No. BGM 4 4'!A2</f>
        <v>0</v>
      </c>
      <c r="E2" s="216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</row>
    <row r="3" spans="1:36" ht="12.75" customHeight="1">
      <c r="A3" s="214" t="str">
        <f>'Exh. No. BGM 4 4'!A3</f>
        <v xml:space="preserve">WASHINGTON NATURAL GAS - PRO FORMA </v>
      </c>
      <c r="E3" s="216"/>
    </row>
    <row r="4" spans="1:36" ht="12.75" customHeight="1">
      <c r="A4" s="214" t="str">
        <f>'Exh. No. BGM 4 4'!A5</f>
        <v>TWELVE MONTHS ENDED DECEMBER 31, 2016</v>
      </c>
      <c r="E4" s="219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</row>
    <row r="5" spans="1:36">
      <c r="A5" s="214" t="str">
        <f>'Exh. No. BGM 4 4'!A6</f>
        <v xml:space="preserve">(000'S OF DOLLARS)   </v>
      </c>
      <c r="B5" s="214"/>
      <c r="C5" s="214"/>
      <c r="D5" s="214"/>
      <c r="E5" s="214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</row>
    <row r="6" spans="1:36" ht="12.75" customHeight="1">
      <c r="A6" s="214"/>
    </row>
    <row r="7" spans="1:36" s="222" customFormat="1">
      <c r="A7" s="221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</row>
    <row r="8" spans="1:36" s="222" customFormat="1" ht="12" customHeight="1">
      <c r="A8" s="224"/>
      <c r="B8" s="225"/>
      <c r="C8" s="226"/>
      <c r="D8" s="227"/>
      <c r="E8" s="228" t="str">
        <f>'Exh. No. BGM 4 4'!E8</f>
        <v>Per</v>
      </c>
      <c r="F8" s="228" t="str">
        <f>'Exh. No. BGM 4 4'!F8</f>
        <v xml:space="preserve">Deferred </v>
      </c>
      <c r="G8" s="228" t="str">
        <f>'Exh. No. BGM 4 4'!G8</f>
        <v>Deferred</v>
      </c>
      <c r="H8" s="228" t="str">
        <f>'Exh. No. BGM 4 4'!H8</f>
        <v>Working</v>
      </c>
      <c r="I8" s="228" t="str">
        <f>'Exh. No. BGM 4 4'!I8</f>
        <v xml:space="preserve">Eliminate </v>
      </c>
      <c r="J8" s="228" t="str">
        <f>'Exh. No. BGM 4 4'!J8</f>
        <v>Restate</v>
      </c>
      <c r="K8" s="228" t="str">
        <f>'Exh. No. BGM 4 4'!K8</f>
        <v>Uncollectible</v>
      </c>
      <c r="L8" s="228" t="str">
        <f>'Exh. No. BGM 4 4'!L8</f>
        <v>Regulatory</v>
      </c>
      <c r="M8" s="228" t="str">
        <f>'Exh. No. BGM 4 4'!M8</f>
        <v>Injuries</v>
      </c>
      <c r="N8" s="228" t="str">
        <f>'Exh. No. BGM 4 4'!N8</f>
        <v xml:space="preserve">FIT / </v>
      </c>
      <c r="O8" s="228" t="str">
        <f>'Exh. No. BGM 4 4'!O8</f>
        <v>Office Space</v>
      </c>
      <c r="P8" s="228" t="str">
        <f>'Exh. No. BGM 4 4'!P8</f>
        <v>Restate</v>
      </c>
      <c r="Q8" s="228" t="str">
        <f>'Exh. No. BGM 4 4'!Q8</f>
        <v>Net</v>
      </c>
      <c r="R8" s="228" t="str">
        <f>'Exh. No. BGM 4 4'!R8</f>
        <v xml:space="preserve">Weather </v>
      </c>
      <c r="S8" s="228" t="str">
        <f>'Exh. No. BGM 4 4'!S8</f>
        <v>Eliminate</v>
      </c>
      <c r="T8" s="228" t="str">
        <f>'Exh. No. BGM 4 4'!T8</f>
        <v>Misc. Restating</v>
      </c>
      <c r="U8" s="228" t="str">
        <f>'Exh. No. BGM 4 4'!U8</f>
        <v xml:space="preserve">Project </v>
      </c>
      <c r="V8" s="228" t="str">
        <f>'Exh. No. BGM 4 4'!V8</f>
        <v>Restating</v>
      </c>
      <c r="W8" s="228" t="str">
        <f>'Exh. No. BGM 4 4'!W8</f>
        <v>Restate</v>
      </c>
      <c r="X8" s="228" t="str">
        <f>'Exh. No. BGM 4 4'!Y8</f>
        <v xml:space="preserve">Pro Forma </v>
      </c>
      <c r="Y8" s="228" t="str">
        <f>'Exh. No. BGM 4 4'!Z8</f>
        <v>Pro Forma</v>
      </c>
      <c r="Z8" s="228" t="str">
        <f>'Exh. No. BGM 4 4'!AA8</f>
        <v>Pro Forma</v>
      </c>
      <c r="AA8" s="228" t="str">
        <f>'Exh. No. BGM 4 4'!AB8</f>
        <v>Pro Forma</v>
      </c>
      <c r="AB8" s="228" t="str">
        <f>'Exh. No. BGM 4 4'!AC8</f>
        <v>Pro Forma</v>
      </c>
      <c r="AC8" s="228" t="str">
        <f>'Exh. No. BGM 4 4'!AD8</f>
        <v>Pro Forma</v>
      </c>
      <c r="AD8" s="228" t="str">
        <f>'Exh. No. BGM 4 4'!AE8</f>
        <v>Pro Forma</v>
      </c>
      <c r="AE8" s="228" t="str">
        <f>'Exh. No. BGM 4 4'!AF8</f>
        <v>Pro Forma</v>
      </c>
      <c r="AF8" s="228" t="str">
        <f>'Exh. No. BGM 4 4'!AG8</f>
        <v>Pro Forma</v>
      </c>
      <c r="AG8" s="228" t="str">
        <f>'Exh. No. BGM 4 4'!AH8</f>
        <v xml:space="preserve">Pro Forma </v>
      </c>
      <c r="AH8" s="228" t="str">
        <f>'Exh. No. BGM 4 4'!AI8</f>
        <v>Pro Forma</v>
      </c>
      <c r="AI8" s="228" t="str">
        <f>'Exh. No. BGM 4 4'!AJ8</f>
        <v>Pro Forma</v>
      </c>
      <c r="AJ8" s="228" t="str">
        <f>'Exh. No. BGM 4 4'!AK8</f>
        <v>Pro Forma</v>
      </c>
    </row>
    <row r="9" spans="1:36" s="222" customFormat="1">
      <c r="A9" s="229" t="s">
        <v>7</v>
      </c>
      <c r="B9" s="230"/>
      <c r="C9" s="231"/>
      <c r="D9" s="232"/>
      <c r="E9" s="233" t="str">
        <f>'Exh. No. BGM 4 4'!E9</f>
        <v xml:space="preserve">Results </v>
      </c>
      <c r="F9" s="233" t="str">
        <f>'Exh. No. BGM 4 4'!F9</f>
        <v>FIT</v>
      </c>
      <c r="G9" s="233" t="str">
        <f>'Exh. No. BGM 4 4'!G9</f>
        <v xml:space="preserve">Debits and </v>
      </c>
      <c r="H9" s="233" t="str">
        <f>'Exh. No. BGM 4 4'!H9</f>
        <v>Capital</v>
      </c>
      <c r="I9" s="233" t="str">
        <f>'Exh. No. BGM 4 4'!I9</f>
        <v xml:space="preserve">B &amp; O </v>
      </c>
      <c r="J9" s="233" t="str">
        <f>'Exh. No. BGM 4 4'!J9</f>
        <v>Property</v>
      </c>
      <c r="K9" s="233" t="str">
        <f>'Exh. No. BGM 4 4'!K9</f>
        <v>Expense</v>
      </c>
      <c r="L9" s="233" t="str">
        <f>'Exh. No. BGM 4 4'!L9</f>
        <v>Expense</v>
      </c>
      <c r="M9" s="233" t="str">
        <f>'Exh. No. BGM 4 4'!M9</f>
        <v>&amp;</v>
      </c>
      <c r="N9" s="233" t="str">
        <f>'Exh. No. BGM 4 4'!N9</f>
        <v xml:space="preserve">DFIT </v>
      </c>
      <c r="O9" s="233" t="str">
        <f>'Exh. No. BGM 4 4'!O9</f>
        <v>Charges to</v>
      </c>
      <c r="P9" s="233" t="str">
        <f>'Exh. No. BGM 4 4'!P9</f>
        <v>Excise</v>
      </c>
      <c r="Q9" s="233" t="str">
        <f>'Exh. No. BGM 4 4'!Q9</f>
        <v>Gains</v>
      </c>
      <c r="R9" s="233" t="str">
        <f>'Exh. No. BGM 4 4'!R9</f>
        <v>Normalization /</v>
      </c>
      <c r="S9" s="233" t="str">
        <f>'Exh. No. BGM 4 4'!S9</f>
        <v>Adder</v>
      </c>
      <c r="T9" s="233" t="str">
        <f>'Exh. No. BGM 4 4'!T9</f>
        <v>Non-Util / Non-</v>
      </c>
      <c r="U9" s="233" t="str">
        <f>'Exh. No. BGM 4 4'!U9</f>
        <v>Compass</v>
      </c>
      <c r="V9" s="233" t="str">
        <f>'Exh. No. BGM 4 4'!V9</f>
        <v>Incentives</v>
      </c>
      <c r="W9" s="233" t="str">
        <f>'Exh. No. BGM 4 4'!W9</f>
        <v>Debt</v>
      </c>
      <c r="X9" s="233" t="str">
        <f>'Exh. No. BGM 4 4'!Y9</f>
        <v>Atmospheric Testing</v>
      </c>
      <c r="Y9" s="233" t="str">
        <f>'Exh. No. BGM 4 4'!Z9</f>
        <v>Labor</v>
      </c>
      <c r="Z9" s="233" t="str">
        <f>'Exh. No. BGM 4 4'!AA9</f>
        <v>Labor</v>
      </c>
      <c r="AA9" s="233" t="str">
        <f>'Exh. No. BGM 4 4'!AB9</f>
        <v>Employee</v>
      </c>
      <c r="AB9" s="233" t="str">
        <f>'Exh. No. BGM 4 4'!AC9</f>
        <v>Incentive</v>
      </c>
      <c r="AC9" s="233" t="str">
        <f>'Exh. No. BGM 4 4'!AD9</f>
        <v>Property</v>
      </c>
      <c r="AD9" s="233" t="str">
        <f>'Exh. No. BGM 4 4'!AE9</f>
        <v>IS/IT</v>
      </c>
      <c r="AE9" s="233" t="str">
        <f>'Exh. No. BGM 4 4'!AF9</f>
        <v xml:space="preserve"> Revenue</v>
      </c>
      <c r="AF9" s="233" t="str">
        <f>'Exh. No. BGM 4 4'!AG9</f>
        <v>Regulatory</v>
      </c>
      <c r="AG9" s="233" t="str">
        <f>'Exh. No. BGM 4 4'!AH9</f>
        <v>2017 Threshhold</v>
      </c>
      <c r="AH9" s="233" t="str">
        <f>'Exh. No. BGM 4 4'!AI9</f>
        <v>O&amp;M</v>
      </c>
      <c r="AI9" s="233" t="str">
        <f>'Exh. No. BGM 4 4'!AJ9</f>
        <v>Director</v>
      </c>
      <c r="AJ9" s="233" t="str">
        <f>'Exh. No. BGM 4 4'!AK9</f>
        <v>Leap Deferral</v>
      </c>
    </row>
    <row r="10" spans="1:36" s="222" customFormat="1">
      <c r="A10" s="234" t="s">
        <v>16</v>
      </c>
      <c r="B10" s="235"/>
      <c r="C10" s="236"/>
      <c r="D10" s="237" t="s">
        <v>17</v>
      </c>
      <c r="E10" s="238" t="str">
        <f>'Exh. No. BGM 4 4'!E10</f>
        <v>Report</v>
      </c>
      <c r="F10" s="238" t="str">
        <f>'Exh. No. BGM 4 4'!F10</f>
        <v>Rate Base</v>
      </c>
      <c r="G10" s="238" t="str">
        <f>'Exh. No. BGM 4 4'!G10</f>
        <v>Credits</v>
      </c>
      <c r="H10" s="238"/>
      <c r="I10" s="238" t="str">
        <f>'Exh. No. BGM 4 4'!I10</f>
        <v>Taxes</v>
      </c>
      <c r="J10" s="238" t="str">
        <f>'Exh. No. BGM 4 4'!J10</f>
        <v>Tax</v>
      </c>
      <c r="K10" s="238"/>
      <c r="L10" s="238"/>
      <c r="M10" s="238" t="str">
        <f>'Exh. No. BGM 4 4'!M10</f>
        <v>Damages</v>
      </c>
      <c r="N10" s="238" t="str">
        <f>'Exh. No. BGM 4 4'!N10</f>
        <v>Expense</v>
      </c>
      <c r="O10" s="238" t="str">
        <f>'Exh. No. BGM 4 4'!O10</f>
        <v>Subs</v>
      </c>
      <c r="P10" s="238" t="str">
        <f>'Exh. No. BGM 4 4'!P10</f>
        <v>Taxes</v>
      </c>
      <c r="Q10" s="238"/>
      <c r="R10" s="238" t="str">
        <f>'Exh. No. BGM 4 4'!R10</f>
        <v>Gas Cost Adjust</v>
      </c>
      <c r="S10" s="238" t="str">
        <f>'Exh. No. BGM 4 4'!S10</f>
        <v>Schedules</v>
      </c>
      <c r="T10" s="238" t="str">
        <f>'Exh. No. BGM 4 4'!T10</f>
        <v>Recurring Expenses</v>
      </c>
      <c r="U10" s="238" t="str">
        <f>'Exh. No. BGM 4 4'!U10</f>
        <v>Deferral</v>
      </c>
      <c r="V10" s="238"/>
      <c r="W10" s="238" t="str">
        <f>'Exh. No. BGM 4 4'!W10</f>
        <v>Interest</v>
      </c>
      <c r="X10" s="238" t="str">
        <f>'Exh. No. BGM 4 4'!Y10</f>
        <v>&amp; Leak Survey</v>
      </c>
      <c r="Y10" s="238" t="str">
        <f>'Exh. No. BGM 4 4'!Z10</f>
        <v>Non-Exec</v>
      </c>
      <c r="Z10" s="238" t="str">
        <f>'Exh. No. BGM 4 4'!AA10</f>
        <v>Exec</v>
      </c>
      <c r="AA10" s="238" t="str">
        <f>'Exh. No. BGM 4 4'!AB10</f>
        <v>Benefits</v>
      </c>
      <c r="AB10" s="238" t="str">
        <f>'Exh. No. BGM 4 4'!AC10</f>
        <v>Adjustment</v>
      </c>
      <c r="AC10" s="238" t="str">
        <f>'Exh. No. BGM 4 4'!AD10</f>
        <v>Tax</v>
      </c>
      <c r="AD10" s="238" t="str">
        <f>'Exh. No. BGM 4 4'!AE10</f>
        <v>Expense</v>
      </c>
      <c r="AE10" s="238" t="str">
        <f>'Exh. No. BGM 4 4'!AF10</f>
        <v xml:space="preserve">Normalization </v>
      </c>
      <c r="AF10" s="238" t="str">
        <f>'Exh. No. BGM 4 4'!AG10</f>
        <v>Amortization</v>
      </c>
      <c r="AG10" s="238" t="str">
        <f>'Exh. No. BGM 4 4'!AH10</f>
        <v>Capital Adds</v>
      </c>
      <c r="AH10" s="238" t="str">
        <f>'Exh. No. BGM 4 4'!AI10</f>
        <v>Offsets</v>
      </c>
      <c r="AI10" s="238" t="str">
        <f>'Exh. No. BGM 4 4'!AJ10</f>
        <v>Fees Expense</v>
      </c>
      <c r="AJ10" s="238" t="str">
        <f>'Exh. No. BGM 4 4'!AK10</f>
        <v>Gas Line Ext.</v>
      </c>
    </row>
    <row r="11" spans="1:36" s="222" customFormat="1">
      <c r="A11" s="221"/>
      <c r="B11" s="258" t="s">
        <v>201</v>
      </c>
      <c r="E11" s="259">
        <f>'Exh. No. BGM 4 4'!E11</f>
        <v>1</v>
      </c>
      <c r="F11" s="259">
        <f>'Exh. No. BGM 4 4'!F11</f>
        <v>1.01</v>
      </c>
      <c r="G11" s="259">
        <f>'Exh. No. BGM 4 4'!G11</f>
        <v>1.02</v>
      </c>
      <c r="H11" s="259">
        <f>'Exh. No. BGM 4 4'!H11</f>
        <v>1.03</v>
      </c>
      <c r="I11" s="259">
        <f>'Exh. No. BGM 4 4'!I11</f>
        <v>2.0099999999999998</v>
      </c>
      <c r="J11" s="259">
        <f>'Exh. No. BGM 4 4'!J11</f>
        <v>2.0199999999999996</v>
      </c>
      <c r="K11" s="259">
        <f>'Exh. No. BGM 4 4'!K11</f>
        <v>2.0299999999999994</v>
      </c>
      <c r="L11" s="259">
        <f>'Exh. No. BGM 4 4'!L11</f>
        <v>2.0399999999999991</v>
      </c>
      <c r="M11" s="259">
        <f>'Exh. No. BGM 4 4'!M11</f>
        <v>2.0499999999999989</v>
      </c>
      <c r="N11" s="259">
        <f>'Exh. No. BGM 4 4'!N11</f>
        <v>2.0599999999999987</v>
      </c>
      <c r="O11" s="259">
        <f>'Exh. No. BGM 4 4'!O11</f>
        <v>2.0699999999999985</v>
      </c>
      <c r="P11" s="259">
        <f>'Exh. No. BGM 4 4'!P11</f>
        <v>2.0799999999999983</v>
      </c>
      <c r="Q11" s="259">
        <f>'Exh. No. BGM 4 4'!Q11</f>
        <v>2.0899999999999981</v>
      </c>
      <c r="R11" s="259">
        <f>'Exh. No. BGM 4 4'!R11</f>
        <v>2.0999999999999979</v>
      </c>
      <c r="S11" s="259">
        <f>'Exh. No. BGM 4 4'!S11</f>
        <v>2.1099999999999977</v>
      </c>
      <c r="T11" s="259">
        <f>'Exh. No. BGM 4 4'!T11</f>
        <v>2.1199999999999974</v>
      </c>
      <c r="U11" s="259">
        <f>'Exh. No. BGM 4 4'!U11</f>
        <v>2.1299999999999972</v>
      </c>
      <c r="V11" s="259">
        <f>'Exh. No. BGM 4 4'!V11</f>
        <v>2.139999999999997</v>
      </c>
      <c r="W11" s="259">
        <f>'Exh. No. BGM 4 4'!W11</f>
        <v>2.1499999999999968</v>
      </c>
      <c r="X11" s="259">
        <f>'Exh. No. BGM 4 4'!Y11</f>
        <v>3.01</v>
      </c>
      <c r="Y11" s="259">
        <f>'Exh. No. BGM 4 4'!Z11</f>
        <v>3.0199999999999996</v>
      </c>
      <c r="Z11" s="259">
        <f>'Exh. No. BGM 4 4'!AA11</f>
        <v>3.0299999999999994</v>
      </c>
      <c r="AA11" s="259">
        <f>'Exh. No. BGM 4 4'!AB11</f>
        <v>3.0399999999999991</v>
      </c>
      <c r="AB11" s="259">
        <f>'Exh. No. BGM 4 4'!AC11</f>
        <v>3.0499999999999989</v>
      </c>
      <c r="AC11" s="259">
        <f>'Exh. No. BGM 4 4'!AD11</f>
        <v>3.0599999999999987</v>
      </c>
      <c r="AD11" s="259">
        <f>'Exh. No. BGM 4 4'!AE11</f>
        <v>3.0699999999999985</v>
      </c>
      <c r="AE11" s="259">
        <f>'Exh. No. BGM 4 4'!AF11</f>
        <v>3.0799999999999983</v>
      </c>
      <c r="AF11" s="259">
        <f>'Exh. No. BGM 4 4'!AG11</f>
        <v>3.0899999999999981</v>
      </c>
      <c r="AG11" s="259">
        <f>'Exh. No. BGM 4 4'!AH11</f>
        <v>3.0999999999999979</v>
      </c>
      <c r="AH11" s="259">
        <f>'Exh. No. BGM 4 4'!AI11</f>
        <v>3.1099999999999977</v>
      </c>
      <c r="AI11" s="259">
        <f>'Exh. No. BGM 4 4'!AJ11</f>
        <v>3.1199999999999974</v>
      </c>
      <c r="AJ11" s="259">
        <f>'Exh. No. BGM 4 4'!AK11</f>
        <v>3.1299999999999972</v>
      </c>
    </row>
    <row r="12" spans="1:36" s="222" customFormat="1">
      <c r="A12" s="221"/>
      <c r="B12" s="258" t="s">
        <v>202</v>
      </c>
      <c r="E12" s="223" t="str">
        <f>'Exh. No. BGM 4 4'!E12</f>
        <v>G-ROO</v>
      </c>
      <c r="F12" s="223" t="str">
        <f>'Exh. No. BGM 4 4'!F12</f>
        <v>G-DFIT</v>
      </c>
      <c r="G12" s="223" t="str">
        <f>'Exh. No. BGM 4 4'!G12</f>
        <v>G-DDC</v>
      </c>
      <c r="H12" s="223" t="str">
        <f>'Exh. No. BGM 4 4'!H12</f>
        <v>G-WC</v>
      </c>
      <c r="I12" s="223" t="str">
        <f>'Exh. No. BGM 4 4'!I12</f>
        <v>G-EBO</v>
      </c>
      <c r="J12" s="223" t="str">
        <f>'Exh. No. BGM 4 4'!J12</f>
        <v>G-RPT</v>
      </c>
      <c r="K12" s="223" t="str">
        <f>'Exh. No. BGM 4 4'!K12</f>
        <v>G-UE</v>
      </c>
      <c r="L12" s="223" t="str">
        <f>'Exh. No. BGM 4 4'!L12</f>
        <v>G-RE</v>
      </c>
      <c r="M12" s="223" t="str">
        <f>'Exh. No. BGM 4 4'!M12</f>
        <v>G-ID</v>
      </c>
      <c r="N12" s="223" t="str">
        <f>'Exh. No. BGM 4 4'!N12</f>
        <v>G-FIT</v>
      </c>
      <c r="O12" s="223" t="str">
        <f>'Exh. No. BGM 4 4'!O12</f>
        <v>G-OSC</v>
      </c>
      <c r="P12" s="223" t="str">
        <f>'Exh. No. BGM 4 4'!P12</f>
        <v>G-RET</v>
      </c>
      <c r="Q12" s="223" t="str">
        <f>'Exh. No. BGM 4 4'!Q12</f>
        <v>G-NGL</v>
      </c>
      <c r="R12" s="223" t="str">
        <f>'Exh. No. BGM 4 4'!R12</f>
        <v>G-WNGC</v>
      </c>
      <c r="S12" s="223" t="str">
        <f>'Exh. No. BGM 4 4'!S12</f>
        <v>G-EAS</v>
      </c>
      <c r="T12" s="223" t="str">
        <f>'Exh. No. BGM 4 4'!T12</f>
        <v>G-MR</v>
      </c>
      <c r="U12" s="223" t="str">
        <f>'Exh. No. BGM 4 4'!U12</f>
        <v>G-CD</v>
      </c>
      <c r="V12" s="223" t="str">
        <f>'Exh. No. BGM 4 4'!V12</f>
        <v>G-RI</v>
      </c>
      <c r="W12" s="223" t="str">
        <f>'Exh. No. BGM 4 4'!W12</f>
        <v>G-DI</v>
      </c>
      <c r="X12" s="223" t="str">
        <f>'Exh. No. BGM 4 4'!Y12</f>
        <v>G-PAT</v>
      </c>
      <c r="Y12" s="223" t="str">
        <f>'Exh. No. BGM 4 4'!Z12</f>
        <v>G-PLN</v>
      </c>
      <c r="Z12" s="223" t="str">
        <f>'Exh. No. BGM 4 4'!AA12</f>
        <v>G-PLE</v>
      </c>
      <c r="AA12" s="223" t="str">
        <f>'Exh. No. BGM 4 4'!AB12</f>
        <v>G-PEB</v>
      </c>
      <c r="AB12" s="223" t="str">
        <f>'Exh. No. BGM 4 4'!AC12</f>
        <v>G-PI</v>
      </c>
      <c r="AC12" s="223" t="str">
        <f>'Exh. No. BGM 4 4'!AD12</f>
        <v>G-PPT</v>
      </c>
      <c r="AD12" s="223" t="str">
        <f>'Exh. No. BGM 4 4'!AE12</f>
        <v>G-PIS</v>
      </c>
      <c r="AE12" s="223" t="str">
        <f>'Exh. No. BGM 4 4'!AF12</f>
        <v>G-PREV</v>
      </c>
      <c r="AF12" s="223" t="str">
        <f>'Exh. No. BGM 4 4'!AG12</f>
        <v>G-PRA</v>
      </c>
      <c r="AG12" s="223" t="str">
        <f>'Exh. No. BGM 4 4'!AH12</f>
        <v>G-PCAP16</v>
      </c>
      <c r="AH12" s="223" t="str">
        <f>'Exh. No. BGM 4 4'!AI12</f>
        <v>G-POFF</v>
      </c>
      <c r="AI12" s="223" t="str">
        <f>'Exh. No. BGM 4 4'!AJ12</f>
        <v>G-PDF</v>
      </c>
      <c r="AJ12" s="223" t="str">
        <f>'Exh. No. BGM 4 4'!AK12</f>
        <v>G-PLEAP</v>
      </c>
    </row>
    <row r="14" spans="1:36">
      <c r="B14" s="215" t="s">
        <v>33</v>
      </c>
    </row>
    <row r="15" spans="1:36" s="240" customFormat="1">
      <c r="A15" s="239">
        <v>1</v>
      </c>
      <c r="B15" s="240" t="s">
        <v>34</v>
      </c>
      <c r="E15" s="341">
        <f>'Exh. No. BGM 4 4'!E15</f>
        <v>146098</v>
      </c>
      <c r="F15" s="341">
        <f>'Exh. No. BGM 4 4'!F15</f>
        <v>0</v>
      </c>
      <c r="G15" s="341">
        <f>'Exh. No. BGM 4 4'!G15</f>
        <v>0</v>
      </c>
      <c r="H15" s="341">
        <f>'Exh. No. BGM 4 4'!H15</f>
        <v>0</v>
      </c>
      <c r="I15" s="341">
        <f>'Exh. No. BGM 4 4'!I15</f>
        <v>-5097</v>
      </c>
      <c r="J15" s="341">
        <f>'Exh. No. BGM 4 4'!J15</f>
        <v>0</v>
      </c>
      <c r="K15" s="341">
        <f>'Exh. No. BGM 4 4'!K15</f>
        <v>0</v>
      </c>
      <c r="L15" s="341">
        <f>'Exh. No. BGM 4 4'!L15</f>
        <v>0</v>
      </c>
      <c r="M15" s="341">
        <f>'Exh. No. BGM 4 4'!M15</f>
        <v>0</v>
      </c>
      <c r="N15" s="341">
        <f>'Exh. No. BGM 4 4'!N15</f>
        <v>0</v>
      </c>
      <c r="O15" s="341">
        <f>'Exh. No. BGM 4 4'!O15</f>
        <v>0</v>
      </c>
      <c r="P15" s="341">
        <f>'Exh. No. BGM 4 4'!P15</f>
        <v>0</v>
      </c>
      <c r="Q15" s="341">
        <f>'Exh. No. BGM 4 4'!Q15</f>
        <v>0</v>
      </c>
      <c r="R15" s="341">
        <f>'Exh. No. BGM 4 4'!R15</f>
        <v>11209</v>
      </c>
      <c r="S15" s="341">
        <f>'Exh. No. BGM 4 4'!S15</f>
        <v>-1240</v>
      </c>
      <c r="T15" s="341">
        <f>'Exh. No. BGM 4 4'!T15</f>
        <v>0</v>
      </c>
      <c r="U15" s="341">
        <f>'Exh. No. BGM 4 4'!U15</f>
        <v>0</v>
      </c>
      <c r="V15" s="341">
        <f>'Exh. No. BGM 4 4'!V15</f>
        <v>0</v>
      </c>
      <c r="W15" s="341">
        <f>'Exh. No. BGM 4 4'!W15</f>
        <v>0</v>
      </c>
      <c r="X15" s="341">
        <f>'Exh. No. BGM 4 4'!Y15</f>
        <v>0</v>
      </c>
      <c r="Y15" s="341">
        <f>'Exh. No. BGM 4 4'!Z15</f>
        <v>0</v>
      </c>
      <c r="Z15" s="341">
        <f>'Exh. No. BGM 4 4'!AA15</f>
        <v>0</v>
      </c>
      <c r="AA15" s="341">
        <f>'Exh. No. BGM 4 4'!AB15</f>
        <v>0</v>
      </c>
      <c r="AB15" s="341">
        <f>'Exh. No. BGM 4 4'!AC15</f>
        <v>0</v>
      </c>
      <c r="AC15" s="341">
        <f>'Exh. No. BGM 4 4'!AD15</f>
        <v>0</v>
      </c>
      <c r="AD15" s="341">
        <f>'Exh. No. BGM 4 4'!AE15</f>
        <v>0</v>
      </c>
      <c r="AE15" s="341">
        <f>'Exh. No. BGM 4 4'!AF15</f>
        <v>-66671</v>
      </c>
      <c r="AF15" s="341">
        <f>'Exh. No. BGM 4 4'!AG15</f>
        <v>0</v>
      </c>
      <c r="AG15" s="341">
        <f>'Exh. No. BGM 4 4'!AH15</f>
        <v>0</v>
      </c>
      <c r="AH15" s="341">
        <f>'Exh. No. BGM 4 4'!AI15</f>
        <v>0</v>
      </c>
      <c r="AI15" s="341">
        <f>'Exh. No. BGM 4 4'!AJ15</f>
        <v>0</v>
      </c>
      <c r="AJ15" s="341">
        <f>'Exh. No. BGM 4 4'!AK15</f>
        <v>0</v>
      </c>
    </row>
    <row r="16" spans="1:36">
      <c r="A16" s="239">
        <v>2</v>
      </c>
      <c r="B16" s="241" t="s">
        <v>35</v>
      </c>
      <c r="D16" s="241"/>
      <c r="E16" s="263">
        <f>'Exh. No. BGM 4 4'!E16</f>
        <v>4595</v>
      </c>
      <c r="F16" s="263">
        <f>'Exh. No. BGM 4 4'!F16</f>
        <v>0</v>
      </c>
      <c r="G16" s="263">
        <f>'Exh. No. BGM 4 4'!G16</f>
        <v>0</v>
      </c>
      <c r="H16" s="263">
        <f>'Exh. No. BGM 4 4'!H16</f>
        <v>0</v>
      </c>
      <c r="I16" s="263">
        <f>'Exh. No. BGM 4 4'!I16</f>
        <v>-118</v>
      </c>
      <c r="J16" s="263">
        <f>'Exh. No. BGM 4 4'!J16</f>
        <v>0</v>
      </c>
      <c r="K16" s="263">
        <f>'Exh. No. BGM 4 4'!K16</f>
        <v>0</v>
      </c>
      <c r="L16" s="263">
        <f>'Exh. No. BGM 4 4'!L16</f>
        <v>0</v>
      </c>
      <c r="M16" s="263">
        <f>'Exh. No. BGM 4 4'!M16</f>
        <v>0</v>
      </c>
      <c r="N16" s="263">
        <f>'Exh. No. BGM 4 4'!N16</f>
        <v>0</v>
      </c>
      <c r="O16" s="263">
        <f>'Exh. No. BGM 4 4'!O16</f>
        <v>0</v>
      </c>
      <c r="P16" s="263">
        <f>'Exh. No. BGM 4 4'!P16</f>
        <v>0</v>
      </c>
      <c r="Q16" s="263">
        <f>'Exh. No. BGM 4 4'!Q16</f>
        <v>0</v>
      </c>
      <c r="R16" s="263">
        <f>'Exh. No. BGM 4 4'!R16</f>
        <v>0</v>
      </c>
      <c r="S16" s="263">
        <f>'Exh. No. BGM 4 4'!S16</f>
        <v>0</v>
      </c>
      <c r="T16" s="263">
        <f>'Exh. No. BGM 4 4'!T16</f>
        <v>0</v>
      </c>
      <c r="U16" s="263">
        <f>'Exh. No. BGM 4 4'!U16</f>
        <v>0</v>
      </c>
      <c r="V16" s="263">
        <f>'Exh. No. BGM 4 4'!V16</f>
        <v>0</v>
      </c>
      <c r="W16" s="263">
        <f>'Exh. No. BGM 4 4'!W16</f>
        <v>0</v>
      </c>
      <c r="X16" s="263">
        <f>'Exh. No. BGM 4 4'!Y16</f>
        <v>0</v>
      </c>
      <c r="Y16" s="263">
        <f>'Exh. No. BGM 4 4'!Z16</f>
        <v>0</v>
      </c>
      <c r="Z16" s="263">
        <f>'Exh. No. BGM 4 4'!AA16</f>
        <v>0</v>
      </c>
      <c r="AA16" s="263">
        <f>'Exh. No. BGM 4 4'!AB16</f>
        <v>0</v>
      </c>
      <c r="AB16" s="263">
        <f>'Exh. No. BGM 4 4'!AC16</f>
        <v>0</v>
      </c>
      <c r="AC16" s="263">
        <f>'Exh. No. BGM 4 4'!AD16</f>
        <v>0</v>
      </c>
      <c r="AD16" s="263">
        <f>'Exh. No. BGM 4 4'!AE16</f>
        <v>0</v>
      </c>
      <c r="AE16" s="263">
        <f>'Exh. No. BGM 4 4'!AF16</f>
        <v>56</v>
      </c>
      <c r="AF16" s="263">
        <f>'Exh. No. BGM 4 4'!AG16</f>
        <v>0</v>
      </c>
      <c r="AG16" s="263">
        <f>'Exh. No. BGM 4 4'!AH16</f>
        <v>0</v>
      </c>
      <c r="AH16" s="263">
        <f>'Exh. No. BGM 4 4'!AI16</f>
        <v>0</v>
      </c>
      <c r="AI16" s="263">
        <f>'Exh. No. BGM 4 4'!AJ16</f>
        <v>0</v>
      </c>
      <c r="AJ16" s="263">
        <f>'Exh. No. BGM 4 4'!AK16</f>
        <v>0</v>
      </c>
    </row>
    <row r="17" spans="1:36">
      <c r="A17" s="239">
        <v>3</v>
      </c>
      <c r="B17" s="241" t="s">
        <v>36</v>
      </c>
      <c r="D17" s="241"/>
      <c r="E17" s="264">
        <f>'Exh. No. BGM 4 4'!E17</f>
        <v>69723</v>
      </c>
      <c r="F17" s="264">
        <f>'Exh. No. BGM 4 4'!F17</f>
        <v>0</v>
      </c>
      <c r="G17" s="264">
        <f>'Exh. No. BGM 4 4'!G17</f>
        <v>0</v>
      </c>
      <c r="H17" s="264">
        <f>'Exh. No. BGM 4 4'!H17</f>
        <v>0</v>
      </c>
      <c r="I17" s="264">
        <f>'Exh. No. BGM 4 4'!I17</f>
        <v>0</v>
      </c>
      <c r="J17" s="264">
        <f>'Exh. No. BGM 4 4'!J17</f>
        <v>0</v>
      </c>
      <c r="K17" s="264">
        <f>'Exh. No. BGM 4 4'!K17</f>
        <v>0</v>
      </c>
      <c r="L17" s="264">
        <f>'Exh. No. BGM 4 4'!L17</f>
        <v>0</v>
      </c>
      <c r="M17" s="264">
        <f>'Exh. No. BGM 4 4'!M17</f>
        <v>0</v>
      </c>
      <c r="N17" s="264">
        <f>'Exh. No. BGM 4 4'!N17</f>
        <v>0</v>
      </c>
      <c r="O17" s="264">
        <f>'Exh. No. BGM 4 4'!O17</f>
        <v>0</v>
      </c>
      <c r="P17" s="264">
        <f>'Exh. No. BGM 4 4'!P17</f>
        <v>0</v>
      </c>
      <c r="Q17" s="264">
        <f>'Exh. No. BGM 4 4'!Q17</f>
        <v>0</v>
      </c>
      <c r="R17" s="264">
        <f>'Exh. No. BGM 4 4'!R17</f>
        <v>-5427</v>
      </c>
      <c r="S17" s="264">
        <f>'Exh. No. BGM 4 4'!S17</f>
        <v>-63276</v>
      </c>
      <c r="T17" s="264">
        <f>'Exh. No. BGM 4 4'!T17</f>
        <v>0</v>
      </c>
      <c r="U17" s="264">
        <f>'Exh. No. BGM 4 4'!U17</f>
        <v>0</v>
      </c>
      <c r="V17" s="264">
        <f>'Exh. No. BGM 4 4'!V17</f>
        <v>0</v>
      </c>
      <c r="W17" s="264">
        <f>'Exh. No. BGM 4 4'!W17</f>
        <v>0</v>
      </c>
      <c r="X17" s="264">
        <f>'Exh. No. BGM 4 4'!Y17</f>
        <v>0</v>
      </c>
      <c r="Y17" s="264">
        <f>'Exh. No. BGM 4 4'!Z17</f>
        <v>0</v>
      </c>
      <c r="Z17" s="264">
        <f>'Exh. No. BGM 4 4'!AA17</f>
        <v>0</v>
      </c>
      <c r="AA17" s="264">
        <f>'Exh. No. BGM 4 4'!AB17</f>
        <v>0</v>
      </c>
      <c r="AB17" s="264">
        <f>'Exh. No. BGM 4 4'!AC17</f>
        <v>0</v>
      </c>
      <c r="AC17" s="264">
        <f>'Exh. No. BGM 4 4'!AD17</f>
        <v>0</v>
      </c>
      <c r="AD17" s="264">
        <f>'Exh. No. BGM 4 4'!AE17</f>
        <v>0</v>
      </c>
      <c r="AE17" s="264">
        <f>'Exh. No. BGM 4 4'!AF17</f>
        <v>-776</v>
      </c>
      <c r="AF17" s="264">
        <f>'Exh. No. BGM 4 4'!AG17</f>
        <v>0</v>
      </c>
      <c r="AG17" s="264">
        <f>'Exh. No. BGM 4 4'!AH17</f>
        <v>0</v>
      </c>
      <c r="AH17" s="264">
        <f>'Exh. No. BGM 4 4'!AI17</f>
        <v>0</v>
      </c>
      <c r="AI17" s="264">
        <f>'Exh. No. BGM 4 4'!AJ17</f>
        <v>0</v>
      </c>
      <c r="AJ17" s="264">
        <f>'Exh. No. BGM 4 4'!AK17</f>
        <v>0</v>
      </c>
    </row>
    <row r="18" spans="1:36">
      <c r="A18" s="239">
        <v>4</v>
      </c>
      <c r="B18" s="215" t="s">
        <v>37</v>
      </c>
      <c r="C18" s="241"/>
      <c r="D18" s="241"/>
      <c r="E18" s="263">
        <f>SUM(E15:E17)</f>
        <v>220416</v>
      </c>
      <c r="F18" s="263">
        <f t="shared" ref="F18:AC18" si="0">SUM(F15:F17)</f>
        <v>0</v>
      </c>
      <c r="G18" s="263">
        <f t="shared" si="0"/>
        <v>0</v>
      </c>
      <c r="H18" s="263">
        <f t="shared" si="0"/>
        <v>0</v>
      </c>
      <c r="I18" s="263">
        <f t="shared" si="0"/>
        <v>-5215</v>
      </c>
      <c r="J18" s="263">
        <f t="shared" si="0"/>
        <v>0</v>
      </c>
      <c r="K18" s="263">
        <f t="shared" si="0"/>
        <v>0</v>
      </c>
      <c r="L18" s="263">
        <f t="shared" si="0"/>
        <v>0</v>
      </c>
      <c r="M18" s="263">
        <f t="shared" si="0"/>
        <v>0</v>
      </c>
      <c r="N18" s="263">
        <f t="shared" si="0"/>
        <v>0</v>
      </c>
      <c r="O18" s="263">
        <f t="shared" si="0"/>
        <v>0</v>
      </c>
      <c r="P18" s="263">
        <f t="shared" si="0"/>
        <v>0</v>
      </c>
      <c r="Q18" s="263">
        <f t="shared" si="0"/>
        <v>0</v>
      </c>
      <c r="R18" s="263">
        <f t="shared" si="0"/>
        <v>5782</v>
      </c>
      <c r="S18" s="263">
        <f t="shared" ref="S18:T18" si="1">SUM(S15:S17)</f>
        <v>-64516</v>
      </c>
      <c r="T18" s="263">
        <f t="shared" si="1"/>
        <v>0</v>
      </c>
      <c r="U18" s="263">
        <f t="shared" ref="U18:V18" si="2">SUM(U15:U17)</f>
        <v>0</v>
      </c>
      <c r="V18" s="263">
        <f t="shared" si="2"/>
        <v>0</v>
      </c>
      <c r="W18" s="263">
        <f>SUM(W15:W17)</f>
        <v>0</v>
      </c>
      <c r="X18" s="263">
        <f>SUM(X15:X17)</f>
        <v>0</v>
      </c>
      <c r="Y18" s="263">
        <f t="shared" si="0"/>
        <v>0</v>
      </c>
      <c r="Z18" s="263">
        <f t="shared" ref="Z18" si="3">SUM(Z15:Z17)</f>
        <v>0</v>
      </c>
      <c r="AA18" s="263">
        <f t="shared" si="0"/>
        <v>0</v>
      </c>
      <c r="AB18" s="263">
        <f t="shared" ref="AB18" si="4">SUM(AB15:AB17)</f>
        <v>0</v>
      </c>
      <c r="AC18" s="263">
        <f t="shared" si="0"/>
        <v>0</v>
      </c>
      <c r="AD18" s="263">
        <f t="shared" ref="AD18" si="5">SUM(AD15:AD17)</f>
        <v>0</v>
      </c>
      <c r="AE18" s="263">
        <f t="shared" ref="AE18:AH18" si="6">SUM(AE15:AE17)</f>
        <v>-67391</v>
      </c>
      <c r="AF18" s="263">
        <f t="shared" si="6"/>
        <v>0</v>
      </c>
      <c r="AG18" s="263">
        <f t="shared" si="6"/>
        <v>0</v>
      </c>
      <c r="AH18" s="263">
        <f t="shared" si="6"/>
        <v>0</v>
      </c>
      <c r="AI18" s="263">
        <f t="shared" ref="AI18" si="7">SUM(AI15:AI17)</f>
        <v>0</v>
      </c>
      <c r="AJ18" s="263">
        <f t="shared" ref="AJ18" si="8">SUM(AJ15:AJ17)</f>
        <v>0</v>
      </c>
    </row>
    <row r="19" spans="1:36">
      <c r="C19" s="241"/>
      <c r="D19" s="241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</row>
    <row r="20" spans="1:36">
      <c r="B20" s="215" t="s">
        <v>38</v>
      </c>
      <c r="C20" s="241"/>
      <c r="D20" s="241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</row>
    <row r="21" spans="1:36">
      <c r="B21" s="241" t="s">
        <v>223</v>
      </c>
      <c r="D21" s="241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</row>
    <row r="22" spans="1:36">
      <c r="A22" s="239">
        <v>5</v>
      </c>
      <c r="C22" s="241" t="s">
        <v>39</v>
      </c>
      <c r="D22" s="241"/>
      <c r="E22" s="263">
        <f>'Exh. No. BGM 4 4'!E22</f>
        <v>112605</v>
      </c>
      <c r="F22" s="263">
        <f>'Exh. No. BGM 4 4'!F22</f>
        <v>0</v>
      </c>
      <c r="G22" s="263">
        <f>'Exh. No. BGM 4 4'!G22</f>
        <v>0</v>
      </c>
      <c r="H22" s="263">
        <f>'Exh. No. BGM 4 4'!H22</f>
        <v>0</v>
      </c>
      <c r="I22" s="263">
        <f>'Exh. No. BGM 4 4'!I22</f>
        <v>0</v>
      </c>
      <c r="J22" s="263">
        <f>'Exh. No. BGM 4 4'!J22</f>
        <v>0</v>
      </c>
      <c r="K22" s="263">
        <f>'Exh. No. BGM 4 4'!K22</f>
        <v>0</v>
      </c>
      <c r="L22" s="263">
        <f>'Exh. No. BGM 4 4'!L22</f>
        <v>0</v>
      </c>
      <c r="M22" s="263">
        <f>'Exh. No. BGM 4 4'!M22</f>
        <v>0</v>
      </c>
      <c r="N22" s="263">
        <f>'Exh. No. BGM 4 4'!N22</f>
        <v>0</v>
      </c>
      <c r="O22" s="263">
        <f>'Exh. No. BGM 4 4'!O22</f>
        <v>0</v>
      </c>
      <c r="P22" s="263">
        <f>'Exh. No. BGM 4 4'!P22</f>
        <v>0</v>
      </c>
      <c r="Q22" s="263">
        <f>'Exh. No. BGM 4 4'!Q22</f>
        <v>0</v>
      </c>
      <c r="R22" s="263">
        <f>'Exh. No. BGM 4 4'!R22</f>
        <v>5274</v>
      </c>
      <c r="S22" s="263">
        <f>'Exh. No. BGM 4 4'!S22</f>
        <v>-54419</v>
      </c>
      <c r="T22" s="263">
        <f>'Exh. No. BGM 4 4'!T22</f>
        <v>0</v>
      </c>
      <c r="U22" s="263">
        <f>'Exh. No. BGM 4 4'!U22</f>
        <v>0</v>
      </c>
      <c r="V22" s="263">
        <f>'Exh. No. BGM 4 4'!V22</f>
        <v>0</v>
      </c>
      <c r="W22" s="263">
        <f>'Exh. No. BGM 4 4'!W22</f>
        <v>0</v>
      </c>
      <c r="X22" s="263">
        <f>'Exh. No. BGM 4 4'!Y22</f>
        <v>0</v>
      </c>
      <c r="Y22" s="263">
        <f>'Exh. No. BGM 4 4'!Z22</f>
        <v>0</v>
      </c>
      <c r="Z22" s="263">
        <f>'Exh. No. BGM 4 4'!AA22</f>
        <v>0</v>
      </c>
      <c r="AA22" s="263">
        <f>'Exh. No. BGM 4 4'!AB22</f>
        <v>0</v>
      </c>
      <c r="AB22" s="263">
        <f>'Exh. No. BGM 4 4'!AC22</f>
        <v>0</v>
      </c>
      <c r="AC22" s="263">
        <f>'Exh. No. BGM 4 4'!AD22</f>
        <v>0</v>
      </c>
      <c r="AD22" s="263">
        <f>'Exh. No. BGM 4 4'!AE22</f>
        <v>0</v>
      </c>
      <c r="AE22" s="263">
        <f>'Exh. No. BGM 4 4'!AF22</f>
        <v>-63460</v>
      </c>
      <c r="AF22" s="263">
        <f>'Exh. No. BGM 4 4'!AG22</f>
        <v>0</v>
      </c>
      <c r="AG22" s="263">
        <f>'Exh. No. BGM 4 4'!AH22</f>
        <v>0</v>
      </c>
      <c r="AH22" s="263">
        <f>'Exh. No. BGM 4 4'!AI22</f>
        <v>0</v>
      </c>
      <c r="AI22" s="263">
        <f>'Exh. No. BGM 4 4'!AJ22</f>
        <v>0</v>
      </c>
      <c r="AJ22" s="263">
        <f>'Exh. No. BGM 4 4'!AK22</f>
        <v>0</v>
      </c>
    </row>
    <row r="23" spans="1:36">
      <c r="A23" s="239">
        <v>6</v>
      </c>
      <c r="C23" s="241" t="s">
        <v>40</v>
      </c>
      <c r="D23" s="241"/>
      <c r="E23" s="263">
        <f>'Exh. No. BGM 4 4'!E23</f>
        <v>988</v>
      </c>
      <c r="F23" s="263">
        <f>'Exh. No. BGM 4 4'!F23</f>
        <v>0</v>
      </c>
      <c r="G23" s="263">
        <f>'Exh. No. BGM 4 4'!G23</f>
        <v>0</v>
      </c>
      <c r="H23" s="263">
        <f>'Exh. No. BGM 4 4'!H23</f>
        <v>0</v>
      </c>
      <c r="I23" s="263">
        <f>'Exh. No. BGM 4 4'!I23</f>
        <v>0</v>
      </c>
      <c r="J23" s="263">
        <f>'Exh. No. BGM 4 4'!J23</f>
        <v>0</v>
      </c>
      <c r="K23" s="263">
        <f>'Exh. No. BGM 4 4'!K23</f>
        <v>0</v>
      </c>
      <c r="L23" s="263">
        <f>'Exh. No. BGM 4 4'!L23</f>
        <v>0</v>
      </c>
      <c r="M23" s="263">
        <f>'Exh. No. BGM 4 4'!M23</f>
        <v>0</v>
      </c>
      <c r="N23" s="263">
        <f>'Exh. No. BGM 4 4'!N23</f>
        <v>0</v>
      </c>
      <c r="O23" s="263">
        <f>'Exh. No. BGM 4 4'!O23</f>
        <v>0</v>
      </c>
      <c r="P23" s="263">
        <f>'Exh. No. BGM 4 4'!P23</f>
        <v>0</v>
      </c>
      <c r="Q23" s="263">
        <f>'Exh. No. BGM 4 4'!Q23</f>
        <v>0</v>
      </c>
      <c r="R23" s="263">
        <f>'Exh. No. BGM 4 4'!R23</f>
        <v>6</v>
      </c>
      <c r="S23" s="263">
        <f>'Exh. No. BGM 4 4'!S23</f>
        <v>0</v>
      </c>
      <c r="T23" s="263">
        <f>'Exh. No. BGM 4 4'!T23</f>
        <v>0</v>
      </c>
      <c r="U23" s="263">
        <f>'Exh. No. BGM 4 4'!U23</f>
        <v>0</v>
      </c>
      <c r="V23" s="263">
        <f>'Exh. No. BGM 4 4'!V23</f>
        <v>0</v>
      </c>
      <c r="W23" s="263">
        <f>'Exh. No. BGM 4 4'!W23</f>
        <v>0</v>
      </c>
      <c r="X23" s="263">
        <f>'Exh. No. BGM 4 4'!Y23</f>
        <v>0</v>
      </c>
      <c r="Y23" s="263">
        <f>'Exh. No. BGM 4 4'!Z23</f>
        <v>16.199000000000002</v>
      </c>
      <c r="Z23" s="263">
        <f>'Exh. No. BGM 4 4'!AA23</f>
        <v>0</v>
      </c>
      <c r="AA23" s="263">
        <f>'Exh. No. BGM 4 4'!AB23</f>
        <v>-6</v>
      </c>
      <c r="AB23" s="263">
        <f>'Exh. No. BGM 4 4'!AC23</f>
        <v>0</v>
      </c>
      <c r="AC23" s="263">
        <f>'Exh. No. BGM 4 4'!AD23</f>
        <v>0</v>
      </c>
      <c r="AD23" s="263">
        <f>'Exh. No. BGM 4 4'!AE23</f>
        <v>0</v>
      </c>
      <c r="AE23" s="263">
        <f>'Exh. No. BGM 4 4'!AF23</f>
        <v>0</v>
      </c>
      <c r="AF23" s="263">
        <f>'Exh. No. BGM 4 4'!AG23</f>
        <v>0</v>
      </c>
      <c r="AG23" s="263">
        <f>'Exh. No. BGM 4 4'!AH23</f>
        <v>0</v>
      </c>
      <c r="AH23" s="263">
        <f>'Exh. No. BGM 4 4'!AI23</f>
        <v>0</v>
      </c>
      <c r="AI23" s="263">
        <f>'Exh. No. BGM 4 4'!AJ23</f>
        <v>0</v>
      </c>
      <c r="AJ23" s="263">
        <f>'Exh. No. BGM 4 4'!AK23</f>
        <v>0</v>
      </c>
    </row>
    <row r="24" spans="1:36">
      <c r="A24" s="239">
        <v>7</v>
      </c>
      <c r="C24" s="241" t="s">
        <v>41</v>
      </c>
      <c r="D24" s="241"/>
      <c r="E24" s="264">
        <f>'Exh. No. BGM 4 4'!E24</f>
        <v>2932</v>
      </c>
      <c r="F24" s="264">
        <f>'Exh. No. BGM 4 4'!F24</f>
        <v>0</v>
      </c>
      <c r="G24" s="264">
        <f>'Exh. No. BGM 4 4'!G24</f>
        <v>0</v>
      </c>
      <c r="H24" s="264">
        <f>'Exh. No. BGM 4 4'!H24</f>
        <v>0</v>
      </c>
      <c r="I24" s="264">
        <f>'Exh. No. BGM 4 4'!I24</f>
        <v>0</v>
      </c>
      <c r="J24" s="264">
        <f>'Exh. No. BGM 4 4'!J24</f>
        <v>0</v>
      </c>
      <c r="K24" s="264">
        <f>'Exh. No. BGM 4 4'!K24</f>
        <v>0</v>
      </c>
      <c r="L24" s="264">
        <f>'Exh. No. BGM 4 4'!L24</f>
        <v>0</v>
      </c>
      <c r="M24" s="264">
        <f>'Exh. No. BGM 4 4'!M24</f>
        <v>0</v>
      </c>
      <c r="N24" s="264">
        <f>'Exh. No. BGM 4 4'!N24</f>
        <v>0</v>
      </c>
      <c r="O24" s="264">
        <f>'Exh. No. BGM 4 4'!O24</f>
        <v>0</v>
      </c>
      <c r="P24" s="264">
        <f>'Exh. No. BGM 4 4'!P24</f>
        <v>0</v>
      </c>
      <c r="Q24" s="264">
        <f>'Exh. No. BGM 4 4'!Q24</f>
        <v>0</v>
      </c>
      <c r="R24" s="264">
        <f>'Exh. No. BGM 4 4'!R24</f>
        <v>0</v>
      </c>
      <c r="S24" s="264">
        <f>'Exh. No. BGM 4 4'!S24</f>
        <v>-2932</v>
      </c>
      <c r="T24" s="264">
        <f>'Exh. No. BGM 4 4'!T24</f>
        <v>0</v>
      </c>
      <c r="U24" s="264">
        <f>'Exh. No. BGM 4 4'!U24</f>
        <v>0</v>
      </c>
      <c r="V24" s="264">
        <f>'Exh. No. BGM 4 4'!V24</f>
        <v>0</v>
      </c>
      <c r="W24" s="264">
        <f>'Exh. No. BGM 4 4'!W24</f>
        <v>0</v>
      </c>
      <c r="X24" s="264">
        <f>'Exh. No. BGM 4 4'!Y24</f>
        <v>0</v>
      </c>
      <c r="Y24" s="264">
        <f>'Exh. No. BGM 4 4'!Z24</f>
        <v>0</v>
      </c>
      <c r="Z24" s="264">
        <f>'Exh. No. BGM 4 4'!AA24</f>
        <v>0</v>
      </c>
      <c r="AA24" s="264">
        <f>'Exh. No. BGM 4 4'!AB24</f>
        <v>0</v>
      </c>
      <c r="AB24" s="264">
        <f>'Exh. No. BGM 4 4'!AC24</f>
        <v>0</v>
      </c>
      <c r="AC24" s="264">
        <f>'Exh. No. BGM 4 4'!AD24</f>
        <v>0</v>
      </c>
      <c r="AD24" s="264">
        <f>'Exh. No. BGM 4 4'!AE24</f>
        <v>0</v>
      </c>
      <c r="AE24" s="264">
        <f>'Exh. No. BGM 4 4'!AF24</f>
        <v>0</v>
      </c>
      <c r="AF24" s="264">
        <f>'Exh. No. BGM 4 4'!AG24</f>
        <v>0</v>
      </c>
      <c r="AG24" s="264">
        <f>'Exh. No. BGM 4 4'!AH24</f>
        <v>0</v>
      </c>
      <c r="AH24" s="264">
        <f>'Exh. No. BGM 4 4'!AI24</f>
        <v>0</v>
      </c>
      <c r="AI24" s="264">
        <f>'Exh. No. BGM 4 4'!AJ24</f>
        <v>0</v>
      </c>
      <c r="AJ24" s="264">
        <f>'Exh. No. BGM 4 4'!AK24</f>
        <v>0</v>
      </c>
    </row>
    <row r="25" spans="1:36">
      <c r="A25" s="239">
        <v>8</v>
      </c>
      <c r="B25" s="241" t="s">
        <v>42</v>
      </c>
      <c r="C25" s="241"/>
      <c r="E25" s="265">
        <f>SUM(E22:E24)</f>
        <v>116525</v>
      </c>
      <c r="F25" s="265">
        <f t="shared" ref="F25:AC25" si="9">SUM(F22:F24)</f>
        <v>0</v>
      </c>
      <c r="G25" s="265">
        <f t="shared" si="9"/>
        <v>0</v>
      </c>
      <c r="H25" s="265">
        <f t="shared" si="9"/>
        <v>0</v>
      </c>
      <c r="I25" s="265">
        <f t="shared" si="9"/>
        <v>0</v>
      </c>
      <c r="J25" s="265">
        <f t="shared" si="9"/>
        <v>0</v>
      </c>
      <c r="K25" s="265">
        <f t="shared" si="9"/>
        <v>0</v>
      </c>
      <c r="L25" s="265">
        <f t="shared" si="9"/>
        <v>0</v>
      </c>
      <c r="M25" s="265">
        <f t="shared" si="9"/>
        <v>0</v>
      </c>
      <c r="N25" s="265">
        <f t="shared" si="9"/>
        <v>0</v>
      </c>
      <c r="O25" s="265">
        <f t="shared" si="9"/>
        <v>0</v>
      </c>
      <c r="P25" s="265">
        <f t="shared" si="9"/>
        <v>0</v>
      </c>
      <c r="Q25" s="265">
        <f t="shared" si="9"/>
        <v>0</v>
      </c>
      <c r="R25" s="265">
        <f t="shared" si="9"/>
        <v>5280</v>
      </c>
      <c r="S25" s="265">
        <f t="shared" ref="S25:T25" si="10">SUM(S22:S24)</f>
        <v>-57351</v>
      </c>
      <c r="T25" s="265">
        <f t="shared" si="10"/>
        <v>0</v>
      </c>
      <c r="U25" s="265">
        <f t="shared" ref="U25:V25" si="11">SUM(U22:U24)</f>
        <v>0</v>
      </c>
      <c r="V25" s="265">
        <f t="shared" si="11"/>
        <v>0</v>
      </c>
      <c r="W25" s="265">
        <f>SUM(W22:W24)</f>
        <v>0</v>
      </c>
      <c r="X25" s="265">
        <f>SUM(X22:X24)</f>
        <v>0</v>
      </c>
      <c r="Y25" s="265">
        <f t="shared" si="9"/>
        <v>16.199000000000002</v>
      </c>
      <c r="Z25" s="265">
        <f t="shared" ref="Z25" si="12">SUM(Z22:Z24)</f>
        <v>0</v>
      </c>
      <c r="AA25" s="265">
        <f t="shared" si="9"/>
        <v>-6</v>
      </c>
      <c r="AB25" s="265">
        <f t="shared" ref="AB25" si="13">SUM(AB22:AB24)</f>
        <v>0</v>
      </c>
      <c r="AC25" s="265">
        <f t="shared" si="9"/>
        <v>0</v>
      </c>
      <c r="AD25" s="265">
        <f t="shared" ref="AD25" si="14">SUM(AD22:AD24)</f>
        <v>0</v>
      </c>
      <c r="AE25" s="265">
        <f t="shared" ref="AE25:AH25" si="15">SUM(AE22:AE24)</f>
        <v>-63460</v>
      </c>
      <c r="AF25" s="265">
        <f t="shared" si="15"/>
        <v>0</v>
      </c>
      <c r="AG25" s="265">
        <f t="shared" si="15"/>
        <v>0</v>
      </c>
      <c r="AH25" s="265">
        <f t="shared" si="15"/>
        <v>0</v>
      </c>
      <c r="AI25" s="265">
        <f t="shared" ref="AI25" si="16">SUM(AI22:AI24)</f>
        <v>0</v>
      </c>
      <c r="AJ25" s="265">
        <f t="shared" ref="AJ25" si="17">SUM(AJ22:AJ24)</f>
        <v>0</v>
      </c>
    </row>
    <row r="26" spans="1:36">
      <c r="B26" s="241"/>
      <c r="C26" s="241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</row>
    <row r="27" spans="1:36">
      <c r="B27" s="241" t="s">
        <v>43</v>
      </c>
      <c r="D27" s="241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</row>
    <row r="28" spans="1:36">
      <c r="A28" s="239">
        <v>9</v>
      </c>
      <c r="C28" s="241" t="s">
        <v>44</v>
      </c>
      <c r="D28" s="241"/>
      <c r="E28" s="263">
        <f>'Exh. No. BGM 4 4'!E28</f>
        <v>974</v>
      </c>
      <c r="F28" s="263">
        <f>'Exh. No. BGM 4 4'!F28</f>
        <v>0</v>
      </c>
      <c r="G28" s="263">
        <f>'Exh. No. BGM 4 4'!G28</f>
        <v>0</v>
      </c>
      <c r="H28" s="263">
        <f>'Exh. No. BGM 4 4'!H28</f>
        <v>0</v>
      </c>
      <c r="I28" s="263">
        <f>'Exh. No. BGM 4 4'!I28</f>
        <v>0</v>
      </c>
      <c r="J28" s="263">
        <f>'Exh. No. BGM 4 4'!J28</f>
        <v>0</v>
      </c>
      <c r="K28" s="263">
        <f>'Exh. No. BGM 4 4'!K28</f>
        <v>0</v>
      </c>
      <c r="L28" s="263">
        <f>'Exh. No. BGM 4 4'!L28</f>
        <v>0</v>
      </c>
      <c r="M28" s="263">
        <f>'Exh. No. BGM 4 4'!M28</f>
        <v>0</v>
      </c>
      <c r="N28" s="263">
        <f>'Exh. No. BGM 4 4'!N28</f>
        <v>0</v>
      </c>
      <c r="O28" s="263">
        <f>'Exh. No. BGM 4 4'!O28</f>
        <v>0</v>
      </c>
      <c r="P28" s="263">
        <f>'Exh. No. BGM 4 4'!P28</f>
        <v>0</v>
      </c>
      <c r="Q28" s="263">
        <f>'Exh. No. BGM 4 4'!Q28</f>
        <v>0</v>
      </c>
      <c r="R28" s="263">
        <f>'Exh. No. BGM 4 4'!R28</f>
        <v>0</v>
      </c>
      <c r="S28" s="263">
        <f>'Exh. No. BGM 4 4'!S28</f>
        <v>0</v>
      </c>
      <c r="T28" s="263">
        <f>'Exh. No. BGM 4 4'!T28</f>
        <v>0</v>
      </c>
      <c r="U28" s="263">
        <f>'Exh. No. BGM 4 4'!U28</f>
        <v>0</v>
      </c>
      <c r="V28" s="263">
        <f>'Exh. No. BGM 4 4'!V28</f>
        <v>0</v>
      </c>
      <c r="W28" s="263">
        <f>'Exh. No. BGM 4 4'!W28</f>
        <v>0</v>
      </c>
      <c r="X28" s="263">
        <f>'Exh. No. BGM 4 4'!Y28</f>
        <v>0</v>
      </c>
      <c r="Y28" s="263">
        <f>'Exh. No. BGM 4 4'!Z28</f>
        <v>0</v>
      </c>
      <c r="Z28" s="263">
        <f>'Exh. No. BGM 4 4'!AA28</f>
        <v>0</v>
      </c>
      <c r="AA28" s="263">
        <f>'Exh. No. BGM 4 4'!AB28</f>
        <v>0</v>
      </c>
      <c r="AB28" s="263">
        <f>'Exh. No. BGM 4 4'!AC28</f>
        <v>0</v>
      </c>
      <c r="AC28" s="263">
        <f>'Exh. No. BGM 4 4'!AD28</f>
        <v>0</v>
      </c>
      <c r="AD28" s="263">
        <f>'Exh. No. BGM 4 4'!AE28</f>
        <v>0</v>
      </c>
      <c r="AE28" s="263">
        <f>'Exh. No. BGM 4 4'!AF28</f>
        <v>0</v>
      </c>
      <c r="AF28" s="263">
        <f>'Exh. No. BGM 4 4'!AG28</f>
        <v>0</v>
      </c>
      <c r="AG28" s="263">
        <f>'Exh. No. BGM 4 4'!AH28</f>
        <v>0</v>
      </c>
      <c r="AH28" s="263">
        <f>'Exh. No. BGM 4 4'!AI28</f>
        <v>0</v>
      </c>
      <c r="AI28" s="263">
        <f>'Exh. No. BGM 4 4'!AJ28</f>
        <v>0</v>
      </c>
      <c r="AJ28" s="263">
        <f>'Exh. No. BGM 4 4'!AK28</f>
        <v>0</v>
      </c>
    </row>
    <row r="29" spans="1:36">
      <c r="A29" s="239">
        <v>10</v>
      </c>
      <c r="C29" s="241" t="s">
        <v>219</v>
      </c>
      <c r="D29" s="241"/>
      <c r="E29" s="263">
        <f>'Exh. No. BGM 4 4'!E29</f>
        <v>492</v>
      </c>
      <c r="F29" s="263">
        <f>'Exh. No. BGM 4 4'!F29</f>
        <v>0</v>
      </c>
      <c r="G29" s="263">
        <f>'Exh. No. BGM 4 4'!G29</f>
        <v>0</v>
      </c>
      <c r="H29" s="263">
        <f>'Exh. No. BGM 4 4'!H29</f>
        <v>0</v>
      </c>
      <c r="I29" s="263">
        <f>'Exh. No. BGM 4 4'!I29</f>
        <v>0</v>
      </c>
      <c r="J29" s="263">
        <f>'Exh. No. BGM 4 4'!J29</f>
        <v>0</v>
      </c>
      <c r="K29" s="263">
        <f>'Exh. No. BGM 4 4'!K29</f>
        <v>0</v>
      </c>
      <c r="L29" s="263">
        <f>'Exh. No. BGM 4 4'!L29</f>
        <v>0</v>
      </c>
      <c r="M29" s="263">
        <f>'Exh. No. BGM 4 4'!M29</f>
        <v>0</v>
      </c>
      <c r="N29" s="263">
        <f>'Exh. No. BGM 4 4'!N29</f>
        <v>0</v>
      </c>
      <c r="O29" s="263">
        <f>'Exh. No. BGM 4 4'!O29</f>
        <v>0</v>
      </c>
      <c r="P29" s="263">
        <f>'Exh. No. BGM 4 4'!P29</f>
        <v>0</v>
      </c>
      <c r="Q29" s="263">
        <f>'Exh. No. BGM 4 4'!Q29</f>
        <v>0</v>
      </c>
      <c r="R29" s="263">
        <f>'Exh. No. BGM 4 4'!R29</f>
        <v>0</v>
      </c>
      <c r="S29" s="263">
        <f>'Exh. No. BGM 4 4'!S29</f>
        <v>0</v>
      </c>
      <c r="T29" s="263">
        <f>'Exh. No. BGM 4 4'!T29</f>
        <v>0</v>
      </c>
      <c r="U29" s="263">
        <f>'Exh. No. BGM 4 4'!U29</f>
        <v>0</v>
      </c>
      <c r="V29" s="263">
        <f>'Exh. No. BGM 4 4'!V29</f>
        <v>0</v>
      </c>
      <c r="W29" s="263">
        <f>'Exh. No. BGM 4 4'!W29</f>
        <v>0</v>
      </c>
      <c r="X29" s="263">
        <f>'Exh. No. BGM 4 4'!Y29</f>
        <v>0</v>
      </c>
      <c r="Y29" s="263">
        <f>'Exh. No. BGM 4 4'!Z29</f>
        <v>0</v>
      </c>
      <c r="Z29" s="263">
        <f>'Exh. No. BGM 4 4'!AA29</f>
        <v>0</v>
      </c>
      <c r="AA29" s="263">
        <f>'Exh. No. BGM 4 4'!AB29</f>
        <v>0</v>
      </c>
      <c r="AB29" s="263">
        <f>'Exh. No. BGM 4 4'!AC29</f>
        <v>0</v>
      </c>
      <c r="AC29" s="263">
        <f>'Exh. No. BGM 4 4'!AD29</f>
        <v>0</v>
      </c>
      <c r="AD29" s="263">
        <f>'Exh. No. BGM 4 4'!AE29</f>
        <v>0</v>
      </c>
      <c r="AE29" s="263">
        <f>'Exh. No. BGM 4 4'!AF29</f>
        <v>0</v>
      </c>
      <c r="AF29" s="263">
        <f>'Exh. No. BGM 4 4'!AG29</f>
        <v>0</v>
      </c>
      <c r="AG29" s="263">
        <f>'Exh. No. BGM 4 4'!AH29</f>
        <v>0</v>
      </c>
      <c r="AH29" s="263">
        <f>'Exh. No. BGM 4 4'!AI29</f>
        <v>0</v>
      </c>
      <c r="AI29" s="263">
        <f>'Exh. No. BGM 4 4'!AJ29</f>
        <v>0</v>
      </c>
      <c r="AJ29" s="263">
        <f>'Exh. No. BGM 4 4'!AK29</f>
        <v>0</v>
      </c>
    </row>
    <row r="30" spans="1:36">
      <c r="A30" s="239">
        <v>11</v>
      </c>
      <c r="C30" s="241" t="s">
        <v>21</v>
      </c>
      <c r="D30" s="241"/>
      <c r="E30" s="264">
        <f>'Exh. No. BGM 4 4'!E30</f>
        <v>210</v>
      </c>
      <c r="F30" s="264">
        <f>'Exh. No. BGM 4 4'!F30</f>
        <v>0</v>
      </c>
      <c r="G30" s="264">
        <f>'Exh. No. BGM 4 4'!G30</f>
        <v>0</v>
      </c>
      <c r="H30" s="264">
        <f>'Exh. No. BGM 4 4'!H30</f>
        <v>0</v>
      </c>
      <c r="I30" s="264">
        <f>'Exh. No. BGM 4 4'!I30</f>
        <v>0</v>
      </c>
      <c r="J30" s="264">
        <f>'Exh. No. BGM 4 4'!J30</f>
        <v>0</v>
      </c>
      <c r="K30" s="264">
        <f>'Exh. No. BGM 4 4'!K30</f>
        <v>0</v>
      </c>
      <c r="L30" s="264">
        <f>'Exh. No. BGM 4 4'!L30</f>
        <v>0</v>
      </c>
      <c r="M30" s="264">
        <f>'Exh. No. BGM 4 4'!M30</f>
        <v>0</v>
      </c>
      <c r="N30" s="264">
        <f>'Exh. No. BGM 4 4'!N30</f>
        <v>0</v>
      </c>
      <c r="O30" s="264">
        <f>'Exh. No. BGM 4 4'!O30</f>
        <v>0</v>
      </c>
      <c r="P30" s="264">
        <f>'Exh. No. BGM 4 4'!P30</f>
        <v>0</v>
      </c>
      <c r="Q30" s="264">
        <f>'Exh. No. BGM 4 4'!Q30</f>
        <v>0</v>
      </c>
      <c r="R30" s="264">
        <f>'Exh. No. BGM 4 4'!R30</f>
        <v>0</v>
      </c>
      <c r="S30" s="264">
        <f>'Exh. No. BGM 4 4'!S30</f>
        <v>0</v>
      </c>
      <c r="T30" s="264">
        <f>'Exh. No. BGM 4 4'!T30</f>
        <v>0</v>
      </c>
      <c r="U30" s="264">
        <f>'Exh. No. BGM 4 4'!U30</f>
        <v>0</v>
      </c>
      <c r="V30" s="264">
        <f>'Exh. No. BGM 4 4'!V30</f>
        <v>0</v>
      </c>
      <c r="W30" s="264">
        <f>'Exh. No. BGM 4 4'!W30</f>
        <v>0</v>
      </c>
      <c r="X30" s="264">
        <f>'Exh. No. BGM 4 4'!Y30</f>
        <v>0</v>
      </c>
      <c r="Y30" s="264">
        <f>'Exh. No. BGM 4 4'!Z30</f>
        <v>0</v>
      </c>
      <c r="Z30" s="264">
        <f>'Exh. No. BGM 4 4'!AA30</f>
        <v>0</v>
      </c>
      <c r="AA30" s="264">
        <f>'Exh. No. BGM 4 4'!AB30</f>
        <v>0</v>
      </c>
      <c r="AB30" s="264">
        <f>'Exh. No. BGM 4 4'!AC30</f>
        <v>0</v>
      </c>
      <c r="AC30" s="264">
        <f>'Exh. No. BGM 4 4'!AD30</f>
        <v>37</v>
      </c>
      <c r="AD30" s="264">
        <f>'Exh. No. BGM 4 4'!AE30</f>
        <v>0</v>
      </c>
      <c r="AE30" s="264">
        <f>'Exh. No. BGM 4 4'!AF30</f>
        <v>0</v>
      </c>
      <c r="AF30" s="264">
        <f>'Exh. No. BGM 4 4'!AG30</f>
        <v>0</v>
      </c>
      <c r="AG30" s="264">
        <f>'Exh. No. BGM 4 4'!AH30</f>
        <v>0</v>
      </c>
      <c r="AH30" s="264">
        <f>'Exh. No. BGM 4 4'!AI30</f>
        <v>0</v>
      </c>
      <c r="AI30" s="264">
        <f>'Exh. No. BGM 4 4'!AJ30</f>
        <v>0</v>
      </c>
      <c r="AJ30" s="264">
        <f>'Exh. No. BGM 4 4'!AK30</f>
        <v>0</v>
      </c>
    </row>
    <row r="31" spans="1:36">
      <c r="A31" s="239">
        <v>12</v>
      </c>
      <c r="B31" s="241" t="s">
        <v>46</v>
      </c>
      <c r="C31" s="241"/>
      <c r="E31" s="263">
        <f t="shared" ref="E31" si="18">SUM(E28:E30)</f>
        <v>1676</v>
      </c>
      <c r="F31" s="263">
        <f t="shared" ref="F31:AC31" si="19">SUM(F28:F30)</f>
        <v>0</v>
      </c>
      <c r="G31" s="263">
        <f t="shared" si="19"/>
        <v>0</v>
      </c>
      <c r="H31" s="263">
        <f t="shared" si="19"/>
        <v>0</v>
      </c>
      <c r="I31" s="263">
        <f t="shared" si="19"/>
        <v>0</v>
      </c>
      <c r="J31" s="263">
        <f t="shared" si="19"/>
        <v>0</v>
      </c>
      <c r="K31" s="263">
        <f t="shared" si="19"/>
        <v>0</v>
      </c>
      <c r="L31" s="263">
        <f t="shared" si="19"/>
        <v>0</v>
      </c>
      <c r="M31" s="263">
        <f t="shared" si="19"/>
        <v>0</v>
      </c>
      <c r="N31" s="263">
        <f t="shared" si="19"/>
        <v>0</v>
      </c>
      <c r="O31" s="263">
        <f t="shared" si="19"/>
        <v>0</v>
      </c>
      <c r="P31" s="263">
        <f t="shared" si="19"/>
        <v>0</v>
      </c>
      <c r="Q31" s="263">
        <f t="shared" si="19"/>
        <v>0</v>
      </c>
      <c r="R31" s="263">
        <f t="shared" si="19"/>
        <v>0</v>
      </c>
      <c r="S31" s="263">
        <f t="shared" ref="S31:T31" si="20">SUM(S28:S30)</f>
        <v>0</v>
      </c>
      <c r="T31" s="263">
        <f t="shared" si="20"/>
        <v>0</v>
      </c>
      <c r="U31" s="263">
        <f t="shared" ref="U31:V31" si="21">SUM(U28:U30)</f>
        <v>0</v>
      </c>
      <c r="V31" s="263">
        <f t="shared" si="21"/>
        <v>0</v>
      </c>
      <c r="W31" s="263">
        <f>SUM(W28:W30)</f>
        <v>0</v>
      </c>
      <c r="X31" s="263">
        <f>SUM(X28:X30)</f>
        <v>0</v>
      </c>
      <c r="Y31" s="263">
        <f t="shared" si="19"/>
        <v>0</v>
      </c>
      <c r="Z31" s="263">
        <f t="shared" ref="Z31" si="22">SUM(Z28:Z30)</f>
        <v>0</v>
      </c>
      <c r="AA31" s="263">
        <f t="shared" si="19"/>
        <v>0</v>
      </c>
      <c r="AB31" s="263">
        <f t="shared" ref="AB31" si="23">SUM(AB28:AB30)</f>
        <v>0</v>
      </c>
      <c r="AC31" s="263">
        <f t="shared" si="19"/>
        <v>37</v>
      </c>
      <c r="AD31" s="263">
        <f t="shared" ref="AD31" si="24">SUM(AD28:AD30)</f>
        <v>0</v>
      </c>
      <c r="AE31" s="263">
        <f t="shared" ref="AE31:AH31" si="25">SUM(AE28:AE30)</f>
        <v>0</v>
      </c>
      <c r="AF31" s="263">
        <f t="shared" si="25"/>
        <v>0</v>
      </c>
      <c r="AG31" s="263">
        <f t="shared" si="25"/>
        <v>0</v>
      </c>
      <c r="AH31" s="263">
        <f t="shared" si="25"/>
        <v>0</v>
      </c>
      <c r="AI31" s="263">
        <f t="shared" ref="AI31" si="26">SUM(AI28:AI30)</f>
        <v>0</v>
      </c>
      <c r="AJ31" s="263">
        <f t="shared" ref="AJ31" si="27">SUM(AJ28:AJ30)</f>
        <v>0</v>
      </c>
    </row>
    <row r="32" spans="1:36">
      <c r="B32" s="241"/>
      <c r="C32" s="241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</row>
    <row r="33" spans="1:36">
      <c r="B33" s="241" t="s">
        <v>47</v>
      </c>
      <c r="D33" s="241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</row>
    <row r="34" spans="1:36">
      <c r="A34" s="239">
        <v>13</v>
      </c>
      <c r="C34" s="241" t="s">
        <v>44</v>
      </c>
      <c r="D34" s="241"/>
      <c r="E34" s="263">
        <f>'Exh. No. BGM 4 4'!E34</f>
        <v>12049</v>
      </c>
      <c r="F34" s="263">
        <f>'Exh. No. BGM 4 4'!F34</f>
        <v>0</v>
      </c>
      <c r="G34" s="263">
        <f>'Exh. No. BGM 4 4'!G34</f>
        <v>0</v>
      </c>
      <c r="H34" s="263">
        <f>'Exh. No. BGM 4 4'!H34</f>
        <v>0</v>
      </c>
      <c r="I34" s="263">
        <f>'Exh. No. BGM 4 4'!I34</f>
        <v>0</v>
      </c>
      <c r="J34" s="263">
        <f>'Exh. No. BGM 4 4'!J34</f>
        <v>0</v>
      </c>
      <c r="K34" s="263">
        <f>'Exh. No. BGM 4 4'!K34</f>
        <v>0</v>
      </c>
      <c r="L34" s="263">
        <f>'Exh. No. BGM 4 4'!L34</f>
        <v>0</v>
      </c>
      <c r="M34" s="263">
        <f>'Exh. No. BGM 4 4'!M34</f>
        <v>0</v>
      </c>
      <c r="N34" s="263">
        <f>'Exh. No. BGM 4 4'!N34</f>
        <v>0</v>
      </c>
      <c r="O34" s="263">
        <f>'Exh. No. BGM 4 4'!O34</f>
        <v>0</v>
      </c>
      <c r="P34" s="263">
        <f>'Exh. No. BGM 4 4'!P34</f>
        <v>0</v>
      </c>
      <c r="Q34" s="263">
        <f>'Exh. No. BGM 4 4'!Q34</f>
        <v>0</v>
      </c>
      <c r="R34" s="263">
        <f>'Exh. No. BGM 4 4'!R34</f>
        <v>0</v>
      </c>
      <c r="S34" s="263">
        <f>'Exh. No. BGM 4 4'!S34</f>
        <v>0</v>
      </c>
      <c r="T34" s="263">
        <f>'Exh. No. BGM 4 4'!T34</f>
        <v>1</v>
      </c>
      <c r="U34" s="263">
        <f>'Exh. No. BGM 4 4'!U34</f>
        <v>0</v>
      </c>
      <c r="V34" s="263">
        <f>'Exh. No. BGM 4 4'!V34</f>
        <v>0</v>
      </c>
      <c r="W34" s="263">
        <f>'Exh. No. BGM 4 4'!W34</f>
        <v>0</v>
      </c>
      <c r="X34" s="263">
        <f>'Exh. No. BGM 4 4'!Y34</f>
        <v>348</v>
      </c>
      <c r="Y34" s="263">
        <f>'Exh. No. BGM 4 4'!Z34</f>
        <v>201.62</v>
      </c>
      <c r="Z34" s="263">
        <f>'Exh. No. BGM 4 4'!AA34</f>
        <v>0</v>
      </c>
      <c r="AA34" s="263">
        <f>'Exh. No. BGM 4 4'!AB34</f>
        <v>-76</v>
      </c>
      <c r="AB34" s="263">
        <f>'Exh. No. BGM 4 4'!AC34</f>
        <v>0</v>
      </c>
      <c r="AC34" s="263">
        <f>'Exh. No. BGM 4 4'!AD34</f>
        <v>0</v>
      </c>
      <c r="AD34" s="263">
        <f>'Exh. No. BGM 4 4'!AE34</f>
        <v>0</v>
      </c>
      <c r="AE34" s="263">
        <f>'Exh. No. BGM 4 4'!AF34</f>
        <v>0</v>
      </c>
      <c r="AF34" s="263">
        <f>'Exh. No. BGM 4 4'!AG34</f>
        <v>0</v>
      </c>
      <c r="AG34" s="263">
        <f>'Exh. No. BGM 4 4'!AH34</f>
        <v>0</v>
      </c>
      <c r="AH34" s="263">
        <f>'Exh. No. BGM 4 4'!AI34</f>
        <v>0</v>
      </c>
      <c r="AI34" s="263">
        <f>'Exh. No. BGM 4 4'!AJ34</f>
        <v>0</v>
      </c>
      <c r="AJ34" s="263">
        <f>'Exh. No. BGM 4 4'!AK34</f>
        <v>0</v>
      </c>
    </row>
    <row r="35" spans="1:36">
      <c r="A35" s="239">
        <v>14</v>
      </c>
      <c r="C35" s="241" t="s">
        <v>219</v>
      </c>
      <c r="D35" s="241"/>
      <c r="E35" s="265">
        <f>'Exh. No. BGM 4 4'!E35</f>
        <v>9866</v>
      </c>
      <c r="F35" s="265">
        <f>'Exh. No. BGM 4 4'!F35</f>
        <v>0</v>
      </c>
      <c r="G35" s="265">
        <f>'Exh. No. BGM 4 4'!G35</f>
        <v>0</v>
      </c>
      <c r="H35" s="265">
        <f>'Exh. No. BGM 4 4'!H35</f>
        <v>0</v>
      </c>
      <c r="I35" s="265">
        <f>'Exh. No. BGM 4 4'!I35</f>
        <v>0</v>
      </c>
      <c r="J35" s="265">
        <f>'Exh. No. BGM 4 4'!J35</f>
        <v>0</v>
      </c>
      <c r="K35" s="265">
        <f>'Exh. No. BGM 4 4'!K35</f>
        <v>0</v>
      </c>
      <c r="L35" s="265">
        <f>'Exh. No. BGM 4 4'!L35</f>
        <v>0</v>
      </c>
      <c r="M35" s="265">
        <f>'Exh. No. BGM 4 4'!M35</f>
        <v>0</v>
      </c>
      <c r="N35" s="265">
        <f>'Exh. No. BGM 4 4'!N35</f>
        <v>0</v>
      </c>
      <c r="O35" s="265">
        <f>'Exh. No. BGM 4 4'!O35</f>
        <v>0</v>
      </c>
      <c r="P35" s="265">
        <f>'Exh. No. BGM 4 4'!P35</f>
        <v>0</v>
      </c>
      <c r="Q35" s="265">
        <f>'Exh. No. BGM 4 4'!Q35</f>
        <v>-13</v>
      </c>
      <c r="R35" s="265">
        <f>'Exh. No. BGM 4 4'!R35</f>
        <v>0</v>
      </c>
      <c r="S35" s="265">
        <f>'Exh. No. BGM 4 4'!S35</f>
        <v>0</v>
      </c>
      <c r="T35" s="265">
        <f>'Exh. No. BGM 4 4'!T35</f>
        <v>0</v>
      </c>
      <c r="U35" s="265">
        <f>'Exh. No. BGM 4 4'!U35</f>
        <v>0</v>
      </c>
      <c r="V35" s="265">
        <f>'Exh. No. BGM 4 4'!V35</f>
        <v>0</v>
      </c>
      <c r="W35" s="265">
        <f>'Exh. No. BGM 4 4'!W35</f>
        <v>0</v>
      </c>
      <c r="X35" s="265">
        <f>'Exh. No. BGM 4 4'!Y35</f>
        <v>0</v>
      </c>
      <c r="Y35" s="265">
        <f>'Exh. No. BGM 4 4'!Z35</f>
        <v>0</v>
      </c>
      <c r="Z35" s="265">
        <f>'Exh. No. BGM 4 4'!AA35</f>
        <v>0</v>
      </c>
      <c r="AA35" s="265">
        <f>'Exh. No. BGM 4 4'!AB35</f>
        <v>0</v>
      </c>
      <c r="AB35" s="265">
        <f>'Exh. No. BGM 4 4'!AC35</f>
        <v>0</v>
      </c>
      <c r="AC35" s="265">
        <f>'Exh. No. BGM 4 4'!AD35</f>
        <v>0</v>
      </c>
      <c r="AD35" s="265">
        <f>'Exh. No. BGM 4 4'!AE35</f>
        <v>0</v>
      </c>
      <c r="AE35" s="265">
        <f>'Exh. No. BGM 4 4'!AF35</f>
        <v>0</v>
      </c>
      <c r="AF35" s="265">
        <f>'Exh. No. BGM 4 4'!AG35</f>
        <v>0</v>
      </c>
      <c r="AG35" s="265">
        <f>'Exh. No. BGM 4 4'!AH35</f>
        <v>366</v>
      </c>
      <c r="AH35" s="265">
        <f>'Exh. No. BGM 4 4'!AI35</f>
        <v>0</v>
      </c>
      <c r="AI35" s="265">
        <f>'Exh. No. BGM 4 4'!AJ35</f>
        <v>0</v>
      </c>
      <c r="AJ35" s="265">
        <f>'Exh. No. BGM 4 4'!AK35</f>
        <v>0</v>
      </c>
    </row>
    <row r="36" spans="1:36">
      <c r="A36" s="239">
        <v>15</v>
      </c>
      <c r="C36" s="241" t="s">
        <v>21</v>
      </c>
      <c r="D36" s="241"/>
      <c r="E36" s="264">
        <f>'Exh. No. BGM 4 4'!E36</f>
        <v>12807</v>
      </c>
      <c r="F36" s="264">
        <f>'Exh. No. BGM 4 4'!F36</f>
        <v>0</v>
      </c>
      <c r="G36" s="264">
        <f>'Exh. No. BGM 4 4'!G36</f>
        <v>0</v>
      </c>
      <c r="H36" s="264">
        <f>'Exh. No. BGM 4 4'!H36</f>
        <v>0</v>
      </c>
      <c r="I36" s="264">
        <f>'Exh. No. BGM 4 4'!I36</f>
        <v>-5183</v>
      </c>
      <c r="J36" s="264">
        <f>'Exh. No. BGM 4 4'!J36</f>
        <v>375</v>
      </c>
      <c r="K36" s="264">
        <f>'Exh. No. BGM 4 4'!K36</f>
        <v>0</v>
      </c>
      <c r="L36" s="264">
        <f>'Exh. No. BGM 4 4'!L36</f>
        <v>0</v>
      </c>
      <c r="M36" s="264">
        <f>'Exh. No. BGM 4 4'!M36</f>
        <v>0</v>
      </c>
      <c r="N36" s="264">
        <f>'Exh. No. BGM 4 4'!N36</f>
        <v>0</v>
      </c>
      <c r="O36" s="264">
        <f>'Exh. No. BGM 4 4'!O36</f>
        <v>0</v>
      </c>
      <c r="P36" s="264">
        <f>'Exh. No. BGM 4 4'!P36</f>
        <v>2</v>
      </c>
      <c r="Q36" s="264">
        <f>'Exh. No. BGM 4 4'!Q36</f>
        <v>0</v>
      </c>
      <c r="R36" s="264">
        <f>'Exh. No. BGM 4 4'!R36</f>
        <v>430</v>
      </c>
      <c r="S36" s="264">
        <f>'Exh. No. BGM 4 4'!S36</f>
        <v>-48</v>
      </c>
      <c r="T36" s="264">
        <f>'Exh. No. BGM 4 4'!T36</f>
        <v>0</v>
      </c>
      <c r="U36" s="264">
        <f>'Exh. No. BGM 4 4'!U36</f>
        <v>0</v>
      </c>
      <c r="V36" s="264">
        <f>'Exh. No. BGM 4 4'!V36</f>
        <v>0</v>
      </c>
      <c r="W36" s="264">
        <f>'Exh. No. BGM 4 4'!W36</f>
        <v>0</v>
      </c>
      <c r="X36" s="264">
        <f>'Exh. No. BGM 4 4'!Y36</f>
        <v>0</v>
      </c>
      <c r="Y36" s="264">
        <f>'Exh. No. BGM 4 4'!Z36</f>
        <v>0</v>
      </c>
      <c r="Z36" s="264">
        <f>'Exh. No. BGM 4 4'!AA36</f>
        <v>0</v>
      </c>
      <c r="AA36" s="264">
        <f>'Exh. No. BGM 4 4'!AB36</f>
        <v>0</v>
      </c>
      <c r="AB36" s="264">
        <f>'Exh. No. BGM 4 4'!AC36</f>
        <v>0</v>
      </c>
      <c r="AC36" s="264">
        <f>'Exh. No. BGM 4 4'!AD36</f>
        <v>439</v>
      </c>
      <c r="AD36" s="264">
        <f>'Exh. No. BGM 4 4'!AE36</f>
        <v>0</v>
      </c>
      <c r="AE36" s="264">
        <f>'Exh. No. BGM 4 4'!AF36</f>
        <v>-2554</v>
      </c>
      <c r="AF36" s="264">
        <f>'Exh. No. BGM 4 4'!AG36</f>
        <v>0</v>
      </c>
      <c r="AG36" s="264">
        <f>'Exh. No. BGM 4 4'!AH36</f>
        <v>0</v>
      </c>
      <c r="AH36" s="264">
        <f>'Exh. No. BGM 4 4'!AI36</f>
        <v>0</v>
      </c>
      <c r="AI36" s="264">
        <f>'Exh. No. BGM 4 4'!AJ36</f>
        <v>0</v>
      </c>
      <c r="AJ36" s="264">
        <f>'Exh. No. BGM 4 4'!AK36</f>
        <v>0</v>
      </c>
    </row>
    <row r="37" spans="1:36" ht="12.95" customHeight="1">
      <c r="A37" s="239">
        <v>16</v>
      </c>
      <c r="B37" s="241" t="s">
        <v>48</v>
      </c>
      <c r="C37" s="241"/>
      <c r="E37" s="263">
        <f t="shared" ref="E37" si="28">SUM(E34:E36)</f>
        <v>34722</v>
      </c>
      <c r="F37" s="263">
        <f t="shared" ref="F37:AC37" si="29">SUM(F34:F36)</f>
        <v>0</v>
      </c>
      <c r="G37" s="263">
        <f t="shared" si="29"/>
        <v>0</v>
      </c>
      <c r="H37" s="263">
        <f t="shared" si="29"/>
        <v>0</v>
      </c>
      <c r="I37" s="263">
        <f t="shared" si="29"/>
        <v>-5183</v>
      </c>
      <c r="J37" s="263">
        <f t="shared" si="29"/>
        <v>375</v>
      </c>
      <c r="K37" s="263">
        <f t="shared" si="29"/>
        <v>0</v>
      </c>
      <c r="L37" s="263">
        <f t="shared" si="29"/>
        <v>0</v>
      </c>
      <c r="M37" s="263">
        <f t="shared" si="29"/>
        <v>0</v>
      </c>
      <c r="N37" s="263">
        <f t="shared" si="29"/>
        <v>0</v>
      </c>
      <c r="O37" s="263">
        <f t="shared" si="29"/>
        <v>0</v>
      </c>
      <c r="P37" s="263">
        <f t="shared" si="29"/>
        <v>2</v>
      </c>
      <c r="Q37" s="263">
        <f t="shared" si="29"/>
        <v>-13</v>
      </c>
      <c r="R37" s="263">
        <f t="shared" si="29"/>
        <v>430</v>
      </c>
      <c r="S37" s="263">
        <f t="shared" ref="S37:T37" si="30">SUM(S34:S36)</f>
        <v>-48</v>
      </c>
      <c r="T37" s="263">
        <f t="shared" si="30"/>
        <v>1</v>
      </c>
      <c r="U37" s="263">
        <f t="shared" ref="U37:V37" si="31">SUM(U34:U36)</f>
        <v>0</v>
      </c>
      <c r="V37" s="263">
        <f t="shared" si="31"/>
        <v>0</v>
      </c>
      <c r="W37" s="263">
        <f>SUM(W34:W36)</f>
        <v>0</v>
      </c>
      <c r="X37" s="263">
        <f>SUM(X34:X36)</f>
        <v>348</v>
      </c>
      <c r="Y37" s="263">
        <f t="shared" si="29"/>
        <v>201.62</v>
      </c>
      <c r="Z37" s="263">
        <f t="shared" ref="Z37" si="32">SUM(Z34:Z36)</f>
        <v>0</v>
      </c>
      <c r="AA37" s="263">
        <f t="shared" si="29"/>
        <v>-76</v>
      </c>
      <c r="AB37" s="263">
        <f t="shared" ref="AB37" si="33">SUM(AB34:AB36)</f>
        <v>0</v>
      </c>
      <c r="AC37" s="263">
        <f t="shared" si="29"/>
        <v>439</v>
      </c>
      <c r="AD37" s="263">
        <f t="shared" ref="AD37" si="34">SUM(AD34:AD36)</f>
        <v>0</v>
      </c>
      <c r="AE37" s="263">
        <f t="shared" ref="AE37:AH37" si="35">SUM(AE34:AE36)</f>
        <v>-2554</v>
      </c>
      <c r="AF37" s="263">
        <f t="shared" si="35"/>
        <v>0</v>
      </c>
      <c r="AG37" s="263">
        <f t="shared" si="35"/>
        <v>366</v>
      </c>
      <c r="AH37" s="263">
        <f t="shared" si="35"/>
        <v>0</v>
      </c>
      <c r="AI37" s="263">
        <f t="shared" ref="AI37" si="36">SUM(AI34:AI36)</f>
        <v>0</v>
      </c>
      <c r="AJ37" s="263">
        <f t="shared" ref="AJ37" si="37">SUM(AJ34:AJ36)</f>
        <v>0</v>
      </c>
    </row>
    <row r="38" spans="1:36" ht="12.95" customHeight="1">
      <c r="C38" s="241"/>
      <c r="D38" s="241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</row>
    <row r="39" spans="1:36" ht="12.95" customHeight="1">
      <c r="A39" s="239">
        <v>17</v>
      </c>
      <c r="B39" s="215" t="s">
        <v>49</v>
      </c>
      <c r="C39" s="241"/>
      <c r="D39" s="241"/>
      <c r="E39" s="263">
        <f>'Exh. No. BGM 4 4'!E39</f>
        <v>7352</v>
      </c>
      <c r="F39" s="263">
        <f>'Exh. No. BGM 4 4'!F39</f>
        <v>0</v>
      </c>
      <c r="G39" s="263">
        <f>'Exh. No. BGM 4 4'!G39</f>
        <v>2</v>
      </c>
      <c r="H39" s="263">
        <f>'Exh. No. BGM 4 4'!H39</f>
        <v>0</v>
      </c>
      <c r="I39" s="263">
        <f>'Exh. No. BGM 4 4'!I39</f>
        <v>0</v>
      </c>
      <c r="J39" s="263">
        <f>'Exh. No. BGM 4 4'!J39</f>
        <v>0</v>
      </c>
      <c r="K39" s="263">
        <f>'Exh. No. BGM 4 4'!K39</f>
        <v>-590</v>
      </c>
      <c r="L39" s="263">
        <f>'Exh. No. BGM 4 4'!L39</f>
        <v>0</v>
      </c>
      <c r="M39" s="263">
        <f>'Exh. No. BGM 4 4'!M39</f>
        <v>0</v>
      </c>
      <c r="N39" s="263">
        <f>'Exh. No. BGM 4 4'!N39</f>
        <v>0</v>
      </c>
      <c r="O39" s="263">
        <f>'Exh. No. BGM 4 4'!O39</f>
        <v>0</v>
      </c>
      <c r="P39" s="263">
        <f>'Exh. No. BGM 4 4'!P39</f>
        <v>0</v>
      </c>
      <c r="Q39" s="263">
        <f>'Exh. No. BGM 4 4'!Q39</f>
        <v>0</v>
      </c>
      <c r="R39" s="263">
        <f>'Exh. No. BGM 4 4'!R39</f>
        <v>54</v>
      </c>
      <c r="S39" s="263">
        <f>'Exh. No. BGM 4 4'!S39</f>
        <v>-6</v>
      </c>
      <c r="T39" s="263">
        <f>'Exh. No. BGM 4 4'!T39</f>
        <v>0</v>
      </c>
      <c r="U39" s="263">
        <f>'Exh. No. BGM 4 4'!U39</f>
        <v>0</v>
      </c>
      <c r="V39" s="263">
        <f>'Exh. No. BGM 4 4'!V39</f>
        <v>0</v>
      </c>
      <c r="W39" s="263">
        <f>'Exh. No. BGM 4 4'!W39</f>
        <v>0</v>
      </c>
      <c r="X39" s="263">
        <f>'Exh. No. BGM 4 4'!Y39</f>
        <v>0</v>
      </c>
      <c r="Y39" s="263">
        <f>'Exh. No. BGM 4 4'!Z39</f>
        <v>108.883</v>
      </c>
      <c r="Z39" s="263">
        <f>'Exh. No. BGM 4 4'!AA39</f>
        <v>0</v>
      </c>
      <c r="AA39" s="263">
        <f>'Exh. No. BGM 4 4'!AB39</f>
        <v>-41</v>
      </c>
      <c r="AB39" s="263">
        <f>'Exh. No. BGM 4 4'!AC39</f>
        <v>0</v>
      </c>
      <c r="AC39" s="263">
        <f>'Exh. No. BGM 4 4'!AD39</f>
        <v>0</v>
      </c>
      <c r="AD39" s="263">
        <f>'Exh. No. BGM 4 4'!AE39</f>
        <v>0</v>
      </c>
      <c r="AE39" s="263">
        <f>'Exh. No. BGM 4 4'!AF39</f>
        <v>-322</v>
      </c>
      <c r="AF39" s="263">
        <f>'Exh. No. BGM 4 4'!AG39</f>
        <v>0</v>
      </c>
      <c r="AG39" s="263">
        <f>'Exh. No. BGM 4 4'!AH39</f>
        <v>0</v>
      </c>
      <c r="AH39" s="263">
        <f>'Exh. No. BGM 4 4'!AI39</f>
        <v>0</v>
      </c>
      <c r="AI39" s="263">
        <f>'Exh. No. BGM 4 4'!AJ39</f>
        <v>0</v>
      </c>
      <c r="AJ39" s="263">
        <f>'Exh. No. BGM 4 4'!AK39</f>
        <v>0</v>
      </c>
    </row>
    <row r="40" spans="1:36">
      <c r="A40" s="239">
        <v>18</v>
      </c>
      <c r="B40" s="215" t="s">
        <v>50</v>
      </c>
      <c r="C40" s="241"/>
      <c r="D40" s="241"/>
      <c r="E40" s="263">
        <f>'Exh. No. BGM 4 4'!E40</f>
        <v>7595</v>
      </c>
      <c r="F40" s="263">
        <f>'Exh. No. BGM 4 4'!F40</f>
        <v>0</v>
      </c>
      <c r="G40" s="263">
        <f>'Exh. No. BGM 4 4'!G40</f>
        <v>0</v>
      </c>
      <c r="H40" s="263">
        <f>'Exh. No. BGM 4 4'!H40</f>
        <v>0</v>
      </c>
      <c r="I40" s="263">
        <f>'Exh. No. BGM 4 4'!I40</f>
        <v>0</v>
      </c>
      <c r="J40" s="263">
        <f>'Exh. No. BGM 4 4'!J40</f>
        <v>0</v>
      </c>
      <c r="K40" s="263">
        <f>'Exh. No. BGM 4 4'!K40</f>
        <v>0</v>
      </c>
      <c r="L40" s="263">
        <f>'Exh. No. BGM 4 4'!L40</f>
        <v>0</v>
      </c>
      <c r="M40" s="263">
        <f>'Exh. No. BGM 4 4'!M40</f>
        <v>0</v>
      </c>
      <c r="N40" s="263">
        <f>'Exh. No. BGM 4 4'!N40</f>
        <v>0</v>
      </c>
      <c r="O40" s="263">
        <f>'Exh. No. BGM 4 4'!O40</f>
        <v>0</v>
      </c>
      <c r="P40" s="263">
        <f>'Exh. No. BGM 4 4'!P40</f>
        <v>0</v>
      </c>
      <c r="Q40" s="263">
        <f>'Exh. No. BGM 4 4'!Q40</f>
        <v>0</v>
      </c>
      <c r="R40" s="263">
        <f>'Exh. No. BGM 4 4'!R40</f>
        <v>0</v>
      </c>
      <c r="S40" s="263">
        <f>'Exh. No. BGM 4 4'!S40</f>
        <v>-6632</v>
      </c>
      <c r="T40" s="263">
        <f>'Exh. No. BGM 4 4'!T40</f>
        <v>0</v>
      </c>
      <c r="U40" s="263">
        <f>'Exh. No. BGM 4 4'!U40</f>
        <v>0</v>
      </c>
      <c r="V40" s="263">
        <f>'Exh. No. BGM 4 4'!V40</f>
        <v>0</v>
      </c>
      <c r="W40" s="263">
        <f>'Exh. No. BGM 4 4'!W40</f>
        <v>0</v>
      </c>
      <c r="X40" s="263">
        <f>'Exh. No. BGM 4 4'!Y40</f>
        <v>0</v>
      </c>
      <c r="Y40" s="263">
        <f>'Exh. No. BGM 4 4'!Z40</f>
        <v>9.4719999999999995</v>
      </c>
      <c r="Z40" s="263">
        <f>'Exh. No. BGM 4 4'!AA40</f>
        <v>0</v>
      </c>
      <c r="AA40" s="263">
        <f>'Exh. No. BGM 4 4'!AB40</f>
        <v>-4</v>
      </c>
      <c r="AB40" s="263">
        <f>'Exh. No. BGM 4 4'!AC40</f>
        <v>0</v>
      </c>
      <c r="AC40" s="263">
        <f>'Exh. No. BGM 4 4'!AD40</f>
        <v>0</v>
      </c>
      <c r="AD40" s="263">
        <f>'Exh. No. BGM 4 4'!AE40</f>
        <v>0</v>
      </c>
      <c r="AE40" s="263">
        <f>'Exh. No. BGM 4 4'!AF40</f>
        <v>0</v>
      </c>
      <c r="AF40" s="263">
        <f>'Exh. No. BGM 4 4'!AG40</f>
        <v>0</v>
      </c>
      <c r="AG40" s="263">
        <f>'Exh. No. BGM 4 4'!AH40</f>
        <v>0</v>
      </c>
      <c r="AH40" s="263">
        <f>'Exh. No. BGM 4 4'!AI40</f>
        <v>0</v>
      </c>
      <c r="AI40" s="263">
        <f>'Exh. No. BGM 4 4'!AJ40</f>
        <v>0</v>
      </c>
      <c r="AJ40" s="263">
        <f>'Exh. No. BGM 4 4'!AK40</f>
        <v>0</v>
      </c>
    </row>
    <row r="41" spans="1:36">
      <c r="A41" s="239">
        <v>19</v>
      </c>
      <c r="B41" s="215" t="s">
        <v>51</v>
      </c>
      <c r="C41" s="241"/>
      <c r="D41" s="241"/>
      <c r="E41" s="263">
        <f>'Exh. No. BGM 4 4'!E41</f>
        <v>0</v>
      </c>
      <c r="F41" s="263">
        <f>'Exh. No. BGM 4 4'!F41</f>
        <v>0</v>
      </c>
      <c r="G41" s="263">
        <f>'Exh. No. BGM 4 4'!G41</f>
        <v>0</v>
      </c>
      <c r="H41" s="263">
        <f>'Exh. No. BGM 4 4'!H41</f>
        <v>0</v>
      </c>
      <c r="I41" s="263">
        <f>'Exh. No. BGM 4 4'!I41</f>
        <v>0</v>
      </c>
      <c r="J41" s="263">
        <f>'Exh. No. BGM 4 4'!J41</f>
        <v>0</v>
      </c>
      <c r="K41" s="263">
        <f>'Exh. No. BGM 4 4'!K41</f>
        <v>0</v>
      </c>
      <c r="L41" s="263">
        <f>'Exh. No. BGM 4 4'!L41</f>
        <v>0</v>
      </c>
      <c r="M41" s="263">
        <f>'Exh. No. BGM 4 4'!M41</f>
        <v>0</v>
      </c>
      <c r="N41" s="263">
        <f>'Exh. No. BGM 4 4'!N41</f>
        <v>0</v>
      </c>
      <c r="O41" s="263">
        <f>'Exh. No. BGM 4 4'!O41</f>
        <v>0</v>
      </c>
      <c r="P41" s="263">
        <f>'Exh. No. BGM 4 4'!P41</f>
        <v>0</v>
      </c>
      <c r="Q41" s="263">
        <f>'Exh. No. BGM 4 4'!Q41</f>
        <v>0</v>
      </c>
      <c r="R41" s="263">
        <f>'Exh. No. BGM 4 4'!R41</f>
        <v>0</v>
      </c>
      <c r="S41" s="263">
        <f>'Exh. No. BGM 4 4'!S41</f>
        <v>0</v>
      </c>
      <c r="T41" s="263">
        <f>'Exh. No. BGM 4 4'!T41</f>
        <v>0</v>
      </c>
      <c r="U41" s="263">
        <f>'Exh. No. BGM 4 4'!U41</f>
        <v>0</v>
      </c>
      <c r="V41" s="263">
        <f>'Exh. No. BGM 4 4'!V41</f>
        <v>0</v>
      </c>
      <c r="W41" s="263">
        <f>'Exh. No. BGM 4 4'!W41</f>
        <v>0</v>
      </c>
      <c r="X41" s="263">
        <f>'Exh. No. BGM 4 4'!Y41</f>
        <v>0</v>
      </c>
      <c r="Y41" s="263">
        <f>'Exh. No. BGM 4 4'!Z41</f>
        <v>0</v>
      </c>
      <c r="Z41" s="263">
        <f>'Exh. No. BGM 4 4'!AA41</f>
        <v>0</v>
      </c>
      <c r="AA41" s="263">
        <f>'Exh. No. BGM 4 4'!AB41</f>
        <v>0</v>
      </c>
      <c r="AB41" s="263">
        <f>'Exh. No. BGM 4 4'!AC41</f>
        <v>0</v>
      </c>
      <c r="AC41" s="263">
        <f>'Exh. No. BGM 4 4'!AD41</f>
        <v>0</v>
      </c>
      <c r="AD41" s="263">
        <f>'Exh. No. BGM 4 4'!AE41</f>
        <v>0</v>
      </c>
      <c r="AE41" s="263">
        <f>'Exh. No. BGM 4 4'!AF41</f>
        <v>0</v>
      </c>
      <c r="AF41" s="263">
        <f>'Exh. No. BGM 4 4'!AG41</f>
        <v>0</v>
      </c>
      <c r="AG41" s="263">
        <f>'Exh. No. BGM 4 4'!AH41</f>
        <v>0</v>
      </c>
      <c r="AH41" s="263">
        <f>'Exh. No. BGM 4 4'!AI41</f>
        <v>0</v>
      </c>
      <c r="AI41" s="263">
        <f>'Exh. No. BGM 4 4'!AJ41</f>
        <v>0</v>
      </c>
      <c r="AJ41" s="263">
        <f>'Exh. No. BGM 4 4'!AK41</f>
        <v>0</v>
      </c>
    </row>
    <row r="42" spans="1:36">
      <c r="C42" s="241"/>
      <c r="D42" s="241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</row>
    <row r="43" spans="1:36">
      <c r="B43" s="215" t="s">
        <v>52</v>
      </c>
      <c r="C43" s="241"/>
      <c r="D43" s="241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</row>
    <row r="44" spans="1:36">
      <c r="A44" s="239">
        <v>20</v>
      </c>
      <c r="C44" s="241" t="s">
        <v>44</v>
      </c>
      <c r="D44" s="241"/>
      <c r="E44" s="263">
        <f>'Exh. No. BGM 4 4'!E44</f>
        <v>13763</v>
      </c>
      <c r="F44" s="263">
        <f>'Exh. No. BGM 4 4'!F44</f>
        <v>0</v>
      </c>
      <c r="G44" s="263">
        <f>'Exh. No. BGM 4 4'!G44</f>
        <v>0</v>
      </c>
      <c r="H44" s="263">
        <f>'Exh. No. BGM 4 4'!H44</f>
        <v>0</v>
      </c>
      <c r="I44" s="263">
        <f>'Exh. No. BGM 4 4'!I44</f>
        <v>0</v>
      </c>
      <c r="J44" s="263">
        <f>'Exh. No. BGM 4 4'!J44</f>
        <v>0</v>
      </c>
      <c r="K44" s="263">
        <f>'Exh. No. BGM 4 4'!K44</f>
        <v>0</v>
      </c>
      <c r="L44" s="263">
        <f>'Exh. No. BGM 4 4'!L44</f>
        <v>-3</v>
      </c>
      <c r="M44" s="263">
        <f>'Exh. No. BGM 4 4'!M44</f>
        <v>76</v>
      </c>
      <c r="N44" s="263">
        <f>'Exh. No. BGM 4 4'!N44</f>
        <v>0</v>
      </c>
      <c r="O44" s="263">
        <f>'Exh. No. BGM 4 4'!O44</f>
        <v>-9</v>
      </c>
      <c r="P44" s="263">
        <f>'Exh. No. BGM 4 4'!P44</f>
        <v>0</v>
      </c>
      <c r="Q44" s="263">
        <f>'Exh. No. BGM 4 4'!Q44</f>
        <v>0</v>
      </c>
      <c r="R44" s="263">
        <f>'Exh. No. BGM 4 4'!R44</f>
        <v>22</v>
      </c>
      <c r="S44" s="263">
        <f>'Exh. No. BGM 4 4'!S44</f>
        <v>-2</v>
      </c>
      <c r="T44" s="263">
        <f>'Exh. No. BGM 4 4'!T44</f>
        <v>-316</v>
      </c>
      <c r="U44" s="263">
        <f>'Exh. No. BGM 4 4'!U44</f>
        <v>0</v>
      </c>
      <c r="V44" s="263">
        <f>'Exh. No. BGM 4 4'!V44</f>
        <v>-181</v>
      </c>
      <c r="W44" s="263">
        <f>'Exh. No. BGM 4 4'!W44</f>
        <v>0</v>
      </c>
      <c r="X44" s="263">
        <f>'Exh. No. BGM 4 4'!Y44</f>
        <v>0</v>
      </c>
      <c r="Y44" s="263">
        <f>'Exh. No. BGM 4 4'!Z44</f>
        <v>132.86699999999999</v>
      </c>
      <c r="Z44" s="263">
        <f>'Exh. No. BGM 4 4'!AA44</f>
        <v>-10</v>
      </c>
      <c r="AA44" s="263">
        <f>'Exh. No. BGM 4 4'!AB44</f>
        <v>-49</v>
      </c>
      <c r="AB44" s="263">
        <f>'Exh. No. BGM 4 4'!AC44</f>
        <v>34</v>
      </c>
      <c r="AC44" s="263">
        <f>'Exh. No. BGM 4 4'!AD44</f>
        <v>0</v>
      </c>
      <c r="AD44" s="263">
        <f>'Exh. No. BGM 4 4'!AE44</f>
        <v>201</v>
      </c>
      <c r="AE44" s="263">
        <f>'Exh. No. BGM 4 4'!AF44</f>
        <v>-133</v>
      </c>
      <c r="AF44" s="263">
        <f>'Exh. No. BGM 4 4'!AG44</f>
        <v>0</v>
      </c>
      <c r="AG44" s="263">
        <f>'Exh. No. BGM 4 4'!AH44</f>
        <v>0</v>
      </c>
      <c r="AH44" s="263">
        <f>'Exh. No. BGM 4 4'!AI44</f>
        <v>-32</v>
      </c>
      <c r="AI44" s="263">
        <f>'Exh. No. BGM 4 4'!AJ44</f>
        <v>0</v>
      </c>
      <c r="AJ44" s="263">
        <f>'Exh. No. BGM 4 4'!AK44</f>
        <v>0</v>
      </c>
    </row>
    <row r="45" spans="1:36">
      <c r="A45" s="239">
        <v>21</v>
      </c>
      <c r="C45" s="241" t="s">
        <v>219</v>
      </c>
      <c r="D45" s="241"/>
      <c r="E45" s="263">
        <f>'Exh. No. BGM 4 4'!E45</f>
        <v>6260</v>
      </c>
      <c r="F45" s="263">
        <f>'Exh. No. BGM 4 4'!F45</f>
        <v>0</v>
      </c>
      <c r="G45" s="263">
        <f>'Exh. No. BGM 4 4'!G45</f>
        <v>0</v>
      </c>
      <c r="H45" s="263">
        <f>'Exh. No. BGM 4 4'!H45</f>
        <v>0</v>
      </c>
      <c r="I45" s="263">
        <f>'Exh. No. BGM 4 4'!I45</f>
        <v>0</v>
      </c>
      <c r="J45" s="263">
        <f>'Exh. No. BGM 4 4'!J45</f>
        <v>0</v>
      </c>
      <c r="K45" s="263">
        <f>'Exh. No. BGM 4 4'!K45</f>
        <v>0</v>
      </c>
      <c r="L45" s="263">
        <f>'Exh. No. BGM 4 4'!L45</f>
        <v>0</v>
      </c>
      <c r="M45" s="263">
        <f>'Exh. No. BGM 4 4'!M45</f>
        <v>0</v>
      </c>
      <c r="N45" s="263">
        <f>'Exh. No. BGM 4 4'!N45</f>
        <v>0</v>
      </c>
      <c r="O45" s="263">
        <f>'Exh. No. BGM 4 4'!O45</f>
        <v>0</v>
      </c>
      <c r="P45" s="263">
        <f>'Exh. No. BGM 4 4'!P45</f>
        <v>0</v>
      </c>
      <c r="Q45" s="263">
        <f>'Exh. No. BGM 4 4'!Q45</f>
        <v>0</v>
      </c>
      <c r="R45" s="263">
        <f>'Exh. No. BGM 4 4'!R45</f>
        <v>0</v>
      </c>
      <c r="S45" s="263">
        <f>'Exh. No. BGM 4 4'!S45</f>
        <v>0</v>
      </c>
      <c r="T45" s="263">
        <f>'Exh. No. BGM 4 4'!T45</f>
        <v>0</v>
      </c>
      <c r="U45" s="263">
        <f>'Exh. No. BGM 4 4'!U45</f>
        <v>0</v>
      </c>
      <c r="V45" s="263">
        <f>'Exh. No. BGM 4 4'!V45</f>
        <v>0</v>
      </c>
      <c r="W45" s="263">
        <f>'Exh. No. BGM 4 4'!W45</f>
        <v>0</v>
      </c>
      <c r="X45" s="263">
        <f>'Exh. No. BGM 4 4'!Y45</f>
        <v>0</v>
      </c>
      <c r="Y45" s="263">
        <f>'Exh. No. BGM 4 4'!Z45</f>
        <v>0</v>
      </c>
      <c r="Z45" s="263">
        <f>'Exh. No. BGM 4 4'!AA45</f>
        <v>0</v>
      </c>
      <c r="AA45" s="263">
        <f>'Exh. No. BGM 4 4'!AB45</f>
        <v>0</v>
      </c>
      <c r="AB45" s="263">
        <f>'Exh. No. BGM 4 4'!AC45</f>
        <v>0</v>
      </c>
      <c r="AC45" s="263">
        <f>'Exh. No. BGM 4 4'!AD45</f>
        <v>0</v>
      </c>
      <c r="AD45" s="263">
        <f>'Exh. No. BGM 4 4'!AE45</f>
        <v>0</v>
      </c>
      <c r="AE45" s="263">
        <f>'Exh. No. BGM 4 4'!AF45</f>
        <v>0</v>
      </c>
      <c r="AF45" s="263">
        <f>'Exh. No. BGM 4 4'!AG45</f>
        <v>0</v>
      </c>
      <c r="AG45" s="263">
        <f>'Exh. No. BGM 4 4'!AH45</f>
        <v>0</v>
      </c>
      <c r="AH45" s="263">
        <f>'Exh. No. BGM 4 4'!AI45</f>
        <v>0</v>
      </c>
      <c r="AI45" s="263">
        <f>'Exh. No. BGM 4 4'!AJ45</f>
        <v>0</v>
      </c>
      <c r="AJ45" s="263">
        <f>'Exh. No. BGM 4 4'!AK45</f>
        <v>0</v>
      </c>
    </row>
    <row r="46" spans="1:36">
      <c r="A46" s="239">
        <v>22</v>
      </c>
      <c r="C46" s="9" t="s">
        <v>433</v>
      </c>
      <c r="D46" s="241"/>
      <c r="E46" s="263">
        <f>'Exh. No. BGM 4 4'!E46</f>
        <v>0</v>
      </c>
      <c r="F46" s="263">
        <f>'Exh. No. BGM 4 4'!F46</f>
        <v>0</v>
      </c>
      <c r="G46" s="263">
        <f>'Exh. No. BGM 4 4'!G46</f>
        <v>0</v>
      </c>
      <c r="H46" s="263">
        <f>'Exh. No. BGM 4 4'!H46</f>
        <v>0</v>
      </c>
      <c r="I46" s="263">
        <f>'Exh. No. BGM 4 4'!I46</f>
        <v>0</v>
      </c>
      <c r="J46" s="263">
        <f>'Exh. No. BGM 4 4'!J46</f>
        <v>0</v>
      </c>
      <c r="K46" s="263">
        <f>'Exh. No. BGM 4 4'!K46</f>
        <v>0</v>
      </c>
      <c r="L46" s="263">
        <f>'Exh. No. BGM 4 4'!L46</f>
        <v>0</v>
      </c>
      <c r="M46" s="263">
        <f>'Exh. No. BGM 4 4'!M46</f>
        <v>0</v>
      </c>
      <c r="N46" s="263">
        <f>'Exh. No. BGM 4 4'!N46</f>
        <v>0</v>
      </c>
      <c r="O46" s="263">
        <f>'Exh. No. BGM 4 4'!O46</f>
        <v>0</v>
      </c>
      <c r="P46" s="263">
        <f>'Exh. No. BGM 4 4'!P46</f>
        <v>0</v>
      </c>
      <c r="Q46" s="263">
        <f>'Exh. No. BGM 4 4'!Q46</f>
        <v>0</v>
      </c>
      <c r="R46" s="263">
        <f>'Exh. No. BGM 4 4'!R46</f>
        <v>0</v>
      </c>
      <c r="S46" s="263">
        <f>'Exh. No. BGM 4 4'!S46</f>
        <v>0</v>
      </c>
      <c r="T46" s="263">
        <f>'Exh. No. BGM 4 4'!T46</f>
        <v>0</v>
      </c>
      <c r="U46" s="263">
        <f>'Exh. No. BGM 4 4'!U46</f>
        <v>1079</v>
      </c>
      <c r="V46" s="263">
        <f>'Exh. No. BGM 4 4'!V46</f>
        <v>0</v>
      </c>
      <c r="W46" s="263">
        <f>'Exh. No. BGM 4 4'!W46</f>
        <v>0</v>
      </c>
      <c r="X46" s="263">
        <f>'Exh. No. BGM 4 4'!Y46</f>
        <v>0</v>
      </c>
      <c r="Y46" s="263">
        <f>'Exh. No. BGM 4 4'!Z46</f>
        <v>0</v>
      </c>
      <c r="Z46" s="263">
        <f>'Exh. No. BGM 4 4'!AA46</f>
        <v>0</v>
      </c>
      <c r="AA46" s="263">
        <f>'Exh. No. BGM 4 4'!AB46</f>
        <v>0</v>
      </c>
      <c r="AB46" s="263">
        <f>'Exh. No. BGM 4 4'!AC46</f>
        <v>0</v>
      </c>
      <c r="AC46" s="263">
        <f>'Exh. No. BGM 4 4'!AD46</f>
        <v>0</v>
      </c>
      <c r="AD46" s="263">
        <f>'Exh. No. BGM 4 4'!AE46</f>
        <v>0</v>
      </c>
      <c r="AE46" s="263">
        <f>'Exh. No. BGM 4 4'!AF46</f>
        <v>0</v>
      </c>
      <c r="AF46" s="263">
        <f>'Exh. No. BGM 4 4'!AG46</f>
        <v>-1079</v>
      </c>
      <c r="AG46" s="263">
        <f>'Exh. No. BGM 4 4'!AH46</f>
        <v>0</v>
      </c>
      <c r="AH46" s="263">
        <f>'Exh. No. BGM 4 4'!AI46</f>
        <v>0</v>
      </c>
      <c r="AI46" s="263">
        <f>'Exh. No. BGM 4 4'!AJ46</f>
        <v>0</v>
      </c>
      <c r="AJ46" s="263">
        <f>'Exh. No. BGM 4 4'!AK46</f>
        <v>584</v>
      </c>
    </row>
    <row r="47" spans="1:36">
      <c r="A47" s="239">
        <v>23</v>
      </c>
      <c r="C47" s="241" t="s">
        <v>21</v>
      </c>
      <c r="D47" s="241"/>
      <c r="E47" s="264">
        <f>'Exh. No. BGM 4 4'!E47</f>
        <v>0</v>
      </c>
      <c r="F47" s="264">
        <f>'Exh. No. BGM 4 4'!F47</f>
        <v>0</v>
      </c>
      <c r="G47" s="264">
        <f>'Exh. No. BGM 4 4'!G47</f>
        <v>0</v>
      </c>
      <c r="H47" s="264">
        <f>'Exh. No. BGM 4 4'!H47</f>
        <v>0</v>
      </c>
      <c r="I47" s="264">
        <f>'Exh. No. BGM 4 4'!I47</f>
        <v>0</v>
      </c>
      <c r="J47" s="264">
        <f>'Exh. No. BGM 4 4'!J47</f>
        <v>0</v>
      </c>
      <c r="K47" s="264">
        <f>'Exh. No. BGM 4 4'!K47</f>
        <v>0</v>
      </c>
      <c r="L47" s="264">
        <f>'Exh. No. BGM 4 4'!L47</f>
        <v>0</v>
      </c>
      <c r="M47" s="264">
        <f>'Exh. No. BGM 4 4'!M47</f>
        <v>0</v>
      </c>
      <c r="N47" s="264">
        <f>'Exh. No. BGM 4 4'!N47</f>
        <v>0</v>
      </c>
      <c r="O47" s="264">
        <f>'Exh. No. BGM 4 4'!O47</f>
        <v>0</v>
      </c>
      <c r="P47" s="264">
        <f>'Exh. No. BGM 4 4'!P47</f>
        <v>0</v>
      </c>
      <c r="Q47" s="264">
        <f>'Exh. No. BGM 4 4'!Q47</f>
        <v>0</v>
      </c>
      <c r="R47" s="264">
        <f>'Exh. No. BGM 4 4'!R47</f>
        <v>0</v>
      </c>
      <c r="S47" s="264">
        <f>'Exh. No. BGM 4 4'!S47</f>
        <v>0</v>
      </c>
      <c r="T47" s="264">
        <f>'Exh. No. BGM 4 4'!T47</f>
        <v>0</v>
      </c>
      <c r="U47" s="264">
        <f>'Exh. No. BGM 4 4'!U47</f>
        <v>0</v>
      </c>
      <c r="V47" s="264">
        <f>'Exh. No. BGM 4 4'!V47</f>
        <v>0</v>
      </c>
      <c r="W47" s="264">
        <f>'Exh. No. BGM 4 4'!W47</f>
        <v>0</v>
      </c>
      <c r="X47" s="264">
        <f>'Exh. No. BGM 4 4'!Y47</f>
        <v>0</v>
      </c>
      <c r="Y47" s="264">
        <f>'Exh. No. BGM 4 4'!Z47</f>
        <v>0</v>
      </c>
      <c r="Z47" s="264">
        <f>'Exh. No. BGM 4 4'!AA47</f>
        <v>0</v>
      </c>
      <c r="AA47" s="264">
        <f>'Exh. No. BGM 4 4'!AB47</f>
        <v>0</v>
      </c>
      <c r="AB47" s="264">
        <f>'Exh. No. BGM 4 4'!AC47</f>
        <v>0</v>
      </c>
      <c r="AC47" s="264">
        <f>'Exh. No. BGM 4 4'!AD47</f>
        <v>0</v>
      </c>
      <c r="AD47" s="264">
        <f>'Exh. No. BGM 4 4'!AE47</f>
        <v>0</v>
      </c>
      <c r="AE47" s="264">
        <f>'Exh. No. BGM 4 4'!AF47</f>
        <v>0</v>
      </c>
      <c r="AF47" s="264">
        <f>'Exh. No. BGM 4 4'!AG47</f>
        <v>0</v>
      </c>
      <c r="AG47" s="264">
        <f>'Exh. No. BGM 4 4'!AH47</f>
        <v>0</v>
      </c>
      <c r="AH47" s="264">
        <f>'Exh. No. BGM 4 4'!AI47</f>
        <v>0</v>
      </c>
      <c r="AI47" s="264">
        <f>'Exh. No. BGM 4 4'!AJ47</f>
        <v>0</v>
      </c>
      <c r="AJ47" s="264">
        <f>'Exh. No. BGM 4 4'!AK47</f>
        <v>0</v>
      </c>
    </row>
    <row r="48" spans="1:36">
      <c r="A48" s="239">
        <v>24</v>
      </c>
      <c r="B48" s="241" t="s">
        <v>53</v>
      </c>
      <c r="C48" s="241"/>
      <c r="E48" s="264">
        <f>SUM(E44:E47)</f>
        <v>20023</v>
      </c>
      <c r="F48" s="264">
        <f t="shared" ref="F48:AC48" si="38">SUM(F44:F47)</f>
        <v>0</v>
      </c>
      <c r="G48" s="264">
        <f t="shared" si="38"/>
        <v>0</v>
      </c>
      <c r="H48" s="264">
        <f t="shared" si="38"/>
        <v>0</v>
      </c>
      <c r="I48" s="264">
        <f t="shared" si="38"/>
        <v>0</v>
      </c>
      <c r="J48" s="264">
        <f t="shared" si="38"/>
        <v>0</v>
      </c>
      <c r="K48" s="264">
        <f t="shared" si="38"/>
        <v>0</v>
      </c>
      <c r="L48" s="264">
        <f t="shared" si="38"/>
        <v>-3</v>
      </c>
      <c r="M48" s="264">
        <f t="shared" si="38"/>
        <v>76</v>
      </c>
      <c r="N48" s="264">
        <f t="shared" si="38"/>
        <v>0</v>
      </c>
      <c r="O48" s="264">
        <f t="shared" si="38"/>
        <v>-9</v>
      </c>
      <c r="P48" s="264">
        <f t="shared" si="38"/>
        <v>0</v>
      </c>
      <c r="Q48" s="264">
        <f t="shared" si="38"/>
        <v>0</v>
      </c>
      <c r="R48" s="264">
        <f t="shared" si="38"/>
        <v>22</v>
      </c>
      <c r="S48" s="264">
        <f t="shared" ref="S48:T48" si="39">SUM(S44:S47)</f>
        <v>-2</v>
      </c>
      <c r="T48" s="264">
        <f t="shared" si="39"/>
        <v>-316</v>
      </c>
      <c r="U48" s="264">
        <f t="shared" ref="U48:V48" si="40">SUM(U44:U47)</f>
        <v>1079</v>
      </c>
      <c r="V48" s="264">
        <f t="shared" si="40"/>
        <v>-181</v>
      </c>
      <c r="W48" s="264">
        <f>SUM(W44:W47)</f>
        <v>0</v>
      </c>
      <c r="X48" s="264">
        <f>SUM(X44:X47)</f>
        <v>0</v>
      </c>
      <c r="Y48" s="264">
        <f t="shared" si="38"/>
        <v>132.86699999999999</v>
      </c>
      <c r="Z48" s="264">
        <f t="shared" ref="Z48" si="41">SUM(Z44:Z47)</f>
        <v>-10</v>
      </c>
      <c r="AA48" s="264">
        <f t="shared" si="38"/>
        <v>-49</v>
      </c>
      <c r="AB48" s="264">
        <f t="shared" ref="AB48" si="42">SUM(AB44:AB47)</f>
        <v>34</v>
      </c>
      <c r="AC48" s="264">
        <f t="shared" si="38"/>
        <v>0</v>
      </c>
      <c r="AD48" s="264">
        <f t="shared" ref="AD48" si="43">SUM(AD44:AD47)</f>
        <v>201</v>
      </c>
      <c r="AE48" s="264">
        <f t="shared" ref="AE48:AH48" si="44">SUM(AE44:AE47)</f>
        <v>-133</v>
      </c>
      <c r="AF48" s="264">
        <f t="shared" si="44"/>
        <v>-1079</v>
      </c>
      <c r="AG48" s="264">
        <f t="shared" si="44"/>
        <v>0</v>
      </c>
      <c r="AH48" s="264">
        <f t="shared" si="44"/>
        <v>-32</v>
      </c>
      <c r="AI48" s="264">
        <f t="shared" ref="AI48" si="45">SUM(AI44:AI47)</f>
        <v>0</v>
      </c>
      <c r="AJ48" s="264">
        <f t="shared" ref="AJ48" si="46">SUM(AJ44:AJ47)</f>
        <v>584</v>
      </c>
    </row>
    <row r="49" spans="1:36" ht="19.5" customHeight="1">
      <c r="A49" s="239">
        <v>25</v>
      </c>
      <c r="B49" s="215" t="s">
        <v>54</v>
      </c>
      <c r="C49" s="241"/>
      <c r="D49" s="241"/>
      <c r="E49" s="264">
        <f t="shared" ref="E49" si="47">E21+E25+E31+E37+E39+E40+E41+E48</f>
        <v>187893</v>
      </c>
      <c r="F49" s="264">
        <f t="shared" ref="F49:AC49" si="48">F21+F25+F31+F37+F39+F40+F41+F48</f>
        <v>0</v>
      </c>
      <c r="G49" s="264">
        <f t="shared" si="48"/>
        <v>2</v>
      </c>
      <c r="H49" s="264">
        <f t="shared" si="48"/>
        <v>0</v>
      </c>
      <c r="I49" s="264">
        <f t="shared" si="48"/>
        <v>-5183</v>
      </c>
      <c r="J49" s="264">
        <f t="shared" si="48"/>
        <v>375</v>
      </c>
      <c r="K49" s="264">
        <f t="shared" si="48"/>
        <v>-590</v>
      </c>
      <c r="L49" s="264">
        <f t="shared" si="48"/>
        <v>-3</v>
      </c>
      <c r="M49" s="264">
        <f t="shared" si="48"/>
        <v>76</v>
      </c>
      <c r="N49" s="264">
        <f t="shared" si="48"/>
        <v>0</v>
      </c>
      <c r="O49" s="264">
        <f t="shared" si="48"/>
        <v>-9</v>
      </c>
      <c r="P49" s="264">
        <f t="shared" si="48"/>
        <v>2</v>
      </c>
      <c r="Q49" s="264">
        <f t="shared" si="48"/>
        <v>-13</v>
      </c>
      <c r="R49" s="264">
        <f t="shared" si="48"/>
        <v>5786</v>
      </c>
      <c r="S49" s="264">
        <f t="shared" ref="S49:T49" si="49">S21+S25+S31+S37+S39+S40+S41+S48</f>
        <v>-64039</v>
      </c>
      <c r="T49" s="264">
        <f t="shared" si="49"/>
        <v>-315</v>
      </c>
      <c r="U49" s="264">
        <f t="shared" ref="U49:V49" si="50">U21+U25+U31+U37+U39+U40+U41+U48</f>
        <v>1079</v>
      </c>
      <c r="V49" s="264">
        <f t="shared" si="50"/>
        <v>-181</v>
      </c>
      <c r="W49" s="264">
        <f>W21+W25+W31+W37+W39+W40+W41+W48</f>
        <v>0</v>
      </c>
      <c r="X49" s="264">
        <f>X21+X25+X31+X37+X39+X40+X41+X48</f>
        <v>348</v>
      </c>
      <c r="Y49" s="264">
        <f t="shared" si="48"/>
        <v>469.04099999999994</v>
      </c>
      <c r="Z49" s="264">
        <f t="shared" ref="Z49" si="51">Z21+Z25+Z31+Z37+Z39+Z40+Z41+Z48</f>
        <v>-10</v>
      </c>
      <c r="AA49" s="264">
        <f t="shared" si="48"/>
        <v>-176</v>
      </c>
      <c r="AB49" s="264">
        <f t="shared" ref="AB49" si="52">AB21+AB25+AB31+AB37+AB39+AB40+AB41+AB48</f>
        <v>34</v>
      </c>
      <c r="AC49" s="264">
        <f t="shared" si="48"/>
        <v>476</v>
      </c>
      <c r="AD49" s="264">
        <f t="shared" ref="AD49" si="53">AD21+AD25+AD31+AD37+AD39+AD40+AD41+AD48</f>
        <v>201</v>
      </c>
      <c r="AE49" s="264">
        <f t="shared" ref="AE49:AH49" si="54">AE21+AE25+AE31+AE37+AE39+AE40+AE41+AE48</f>
        <v>-66469</v>
      </c>
      <c r="AF49" s="264">
        <f t="shared" si="54"/>
        <v>-1079</v>
      </c>
      <c r="AG49" s="264">
        <f t="shared" si="54"/>
        <v>366</v>
      </c>
      <c r="AH49" s="264">
        <f t="shared" si="54"/>
        <v>-32</v>
      </c>
      <c r="AI49" s="264">
        <f t="shared" ref="AI49" si="55">AI21+AI25+AI31+AI37+AI39+AI40+AI41+AI48</f>
        <v>0</v>
      </c>
      <c r="AJ49" s="264">
        <f t="shared" ref="AJ49" si="56">AJ21+AJ25+AJ31+AJ37+AJ39+AJ40+AJ41+AJ48</f>
        <v>584</v>
      </c>
    </row>
    <row r="50" spans="1:36">
      <c r="C50" s="241"/>
      <c r="D50" s="241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</row>
    <row r="51" spans="1:36" ht="12.95" customHeight="1">
      <c r="A51" s="239">
        <v>26</v>
      </c>
      <c r="B51" s="215" t="s">
        <v>55</v>
      </c>
      <c r="C51" s="241"/>
      <c r="D51" s="241"/>
      <c r="E51" s="263">
        <f>E18-E49</f>
        <v>32523</v>
      </c>
      <c r="F51" s="263">
        <f t="shared" ref="F51:AC51" si="57">F18-F49</f>
        <v>0</v>
      </c>
      <c r="G51" s="263">
        <f t="shared" si="57"/>
        <v>-2</v>
      </c>
      <c r="H51" s="263">
        <f t="shared" si="57"/>
        <v>0</v>
      </c>
      <c r="I51" s="263">
        <f t="shared" si="57"/>
        <v>-32</v>
      </c>
      <c r="J51" s="263">
        <f t="shared" si="57"/>
        <v>-375</v>
      </c>
      <c r="K51" s="263">
        <f t="shared" si="57"/>
        <v>590</v>
      </c>
      <c r="L51" s="263">
        <f t="shared" si="57"/>
        <v>3</v>
      </c>
      <c r="M51" s="263">
        <f t="shared" si="57"/>
        <v>-76</v>
      </c>
      <c r="N51" s="263">
        <f t="shared" si="57"/>
        <v>0</v>
      </c>
      <c r="O51" s="263">
        <f t="shared" si="57"/>
        <v>9</v>
      </c>
      <c r="P51" s="263">
        <f t="shared" si="57"/>
        <v>-2</v>
      </c>
      <c r="Q51" s="263">
        <f t="shared" si="57"/>
        <v>13</v>
      </c>
      <c r="R51" s="263">
        <f t="shared" si="57"/>
        <v>-4</v>
      </c>
      <c r="S51" s="263">
        <f t="shared" ref="S51:T51" si="58">S18-S49</f>
        <v>-477</v>
      </c>
      <c r="T51" s="263">
        <f t="shared" si="58"/>
        <v>315</v>
      </c>
      <c r="U51" s="263">
        <f t="shared" ref="U51:V51" si="59">U18-U49</f>
        <v>-1079</v>
      </c>
      <c r="V51" s="263">
        <f t="shared" si="59"/>
        <v>181</v>
      </c>
      <c r="W51" s="263">
        <f>W18-W49</f>
        <v>0</v>
      </c>
      <c r="X51" s="263">
        <f>X18-X49</f>
        <v>-348</v>
      </c>
      <c r="Y51" s="263">
        <f t="shared" si="57"/>
        <v>-469.04099999999994</v>
      </c>
      <c r="Z51" s="263">
        <f t="shared" ref="Z51" si="60">Z18-Z49</f>
        <v>10</v>
      </c>
      <c r="AA51" s="263">
        <f t="shared" si="57"/>
        <v>176</v>
      </c>
      <c r="AB51" s="263">
        <f t="shared" ref="AB51" si="61">AB18-AB49</f>
        <v>-34</v>
      </c>
      <c r="AC51" s="263">
        <f t="shared" si="57"/>
        <v>-476</v>
      </c>
      <c r="AD51" s="263">
        <f t="shared" ref="AD51" si="62">AD18-AD49</f>
        <v>-201</v>
      </c>
      <c r="AE51" s="263">
        <f t="shared" ref="AE51:AH51" si="63">AE18-AE49</f>
        <v>-922</v>
      </c>
      <c r="AF51" s="263">
        <f t="shared" si="63"/>
        <v>1079</v>
      </c>
      <c r="AG51" s="263">
        <f t="shared" si="63"/>
        <v>-366</v>
      </c>
      <c r="AH51" s="263">
        <f t="shared" si="63"/>
        <v>32</v>
      </c>
      <c r="AI51" s="263">
        <f t="shared" ref="AI51" si="64">AI18-AI49</f>
        <v>0</v>
      </c>
      <c r="AJ51" s="263">
        <f t="shared" ref="AJ51" si="65">AJ18-AJ49</f>
        <v>-584</v>
      </c>
    </row>
    <row r="52" spans="1:36" ht="12.95" customHeight="1">
      <c r="C52" s="241"/>
      <c r="D52" s="241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</row>
    <row r="53" spans="1:36" ht="12.95" customHeight="1">
      <c r="B53" s="215" t="s">
        <v>56</v>
      </c>
      <c r="C53" s="241"/>
      <c r="D53" s="241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</row>
    <row r="54" spans="1:36">
      <c r="A54" s="239">
        <v>27</v>
      </c>
      <c r="B54" s="241" t="s">
        <v>57</v>
      </c>
      <c r="D54" s="241"/>
      <c r="E54" s="263">
        <f>'Exh. No. BGM 4 4'!E54</f>
        <v>-841</v>
      </c>
      <c r="F54" s="263">
        <f>'Exh. No. BGM 4 4'!F54</f>
        <v>0</v>
      </c>
      <c r="G54" s="263">
        <f>'Exh. No. BGM 4 4'!G54</f>
        <v>-0.7</v>
      </c>
      <c r="H54" s="263">
        <f>'Exh. No. BGM 4 4'!H54</f>
        <v>0</v>
      </c>
      <c r="I54" s="263">
        <f>'Exh. No. BGM 4 4'!I54</f>
        <v>-11.2</v>
      </c>
      <c r="J54" s="263">
        <f>'Exh. No. BGM 4 4'!J54</f>
        <v>-131.25</v>
      </c>
      <c r="K54" s="263">
        <f>'Exh. No. BGM 4 4'!K54</f>
        <v>206.5</v>
      </c>
      <c r="L54" s="263">
        <f>'Exh. No. BGM 4 4'!L54</f>
        <v>1.0499999999999998</v>
      </c>
      <c r="M54" s="263">
        <f>'Exh. No. BGM 4 4'!M54</f>
        <v>-26.599999999999998</v>
      </c>
      <c r="N54" s="263">
        <f>'Exh. No. BGM 4 4'!N54</f>
        <v>0</v>
      </c>
      <c r="O54" s="263">
        <f>'Exh. No. BGM 4 4'!O54</f>
        <v>3.15</v>
      </c>
      <c r="P54" s="263">
        <f>'Exh. No. BGM 4 4'!P54</f>
        <v>-0.7</v>
      </c>
      <c r="Q54" s="263">
        <f>'Exh. No. BGM 4 4'!Q54</f>
        <v>4.55</v>
      </c>
      <c r="R54" s="263">
        <f>'Exh. No. BGM 4 4'!R54</f>
        <v>-1.4</v>
      </c>
      <c r="S54" s="263">
        <f>'Exh. No. BGM 4 4'!S54</f>
        <v>-166.95</v>
      </c>
      <c r="T54" s="263">
        <f>'Exh. No. BGM 4 4'!T54</f>
        <v>110.25</v>
      </c>
      <c r="U54" s="263">
        <f>'Exh. No. BGM 4 4'!U54</f>
        <v>-377.65</v>
      </c>
      <c r="V54" s="263">
        <f>'Exh. No. BGM 4 4'!V54</f>
        <v>63.349999999999994</v>
      </c>
      <c r="W54" s="263">
        <f>'Exh. No. BGM 4 4'!W54</f>
        <v>40</v>
      </c>
      <c r="X54" s="263">
        <f>'Exh. No. BGM 4 4'!Y54</f>
        <v>-121.8</v>
      </c>
      <c r="Y54" s="263">
        <f>'Exh. No. BGM 4 4'!Z54</f>
        <v>-164.16434999999996</v>
      </c>
      <c r="Z54" s="263">
        <f>'Exh. No. BGM 4 4'!AA54</f>
        <v>3.5</v>
      </c>
      <c r="AA54" s="263">
        <f>'Exh. No. BGM 4 4'!AB54</f>
        <v>61.599999999999994</v>
      </c>
      <c r="AB54" s="263">
        <f>'Exh. No. BGM 4 4'!AC54</f>
        <v>-11.899999999999999</v>
      </c>
      <c r="AC54" s="263">
        <f>'Exh. No. BGM 4 4'!AD54</f>
        <v>-166.6</v>
      </c>
      <c r="AD54" s="263">
        <f>'Exh. No. BGM 4 4'!AE54</f>
        <v>-70.349999999999994</v>
      </c>
      <c r="AE54" s="263">
        <f>'Exh. No. BGM 4 4'!AF54</f>
        <v>-322.7</v>
      </c>
      <c r="AF54" s="263">
        <f>'Exh. No. BGM 4 4'!AG54</f>
        <v>377.65</v>
      </c>
      <c r="AG54" s="263">
        <f>'Exh. No. BGM 4 4'!AH54</f>
        <v>-128.1</v>
      </c>
      <c r="AH54" s="263">
        <f>'Exh. No. BGM 4 4'!AI54</f>
        <v>11.2</v>
      </c>
      <c r="AI54" s="263">
        <f>'Exh. No. BGM 4 4'!AJ54</f>
        <v>0</v>
      </c>
      <c r="AJ54" s="263">
        <f>'Exh. No. BGM 4 4'!AK54</f>
        <v>-204.39999999999998</v>
      </c>
    </row>
    <row r="55" spans="1:36">
      <c r="A55" s="239">
        <v>28</v>
      </c>
      <c r="B55" s="241" t="s">
        <v>200</v>
      </c>
      <c r="D55" s="241"/>
      <c r="E55" s="263">
        <f>'Exh. No. BGM 4 4'!E55</f>
        <v>0</v>
      </c>
      <c r="F55" s="263">
        <f>'Exh. No. BGM 4 4'!F55</f>
        <v>3.0485000000000002</v>
      </c>
      <c r="G55" s="263">
        <f>'Exh. No. BGM 4 4'!G55</f>
        <v>0</v>
      </c>
      <c r="H55" s="263">
        <f>'Exh. No. BGM 4 4'!H55</f>
        <v>8.1043199999999995</v>
      </c>
      <c r="I55" s="263">
        <f>'Exh. No. BGM 4 4'!I55</f>
        <v>0</v>
      </c>
      <c r="J55" s="263">
        <f>'Exh. No. BGM 4 4'!J55</f>
        <v>0</v>
      </c>
      <c r="K55" s="263">
        <f>'Exh. No. BGM 4 4'!K55</f>
        <v>0</v>
      </c>
      <c r="L55" s="263">
        <f>'Exh. No. BGM 4 4'!L55</f>
        <v>0</v>
      </c>
      <c r="M55" s="263">
        <f>'Exh. No. BGM 4 4'!M55</f>
        <v>0</v>
      </c>
      <c r="N55" s="263">
        <f>'Exh. No. BGM 4 4'!N55</f>
        <v>0</v>
      </c>
      <c r="O55" s="263">
        <f>'Exh. No. BGM 4 4'!O55</f>
        <v>0</v>
      </c>
      <c r="P55" s="263">
        <f>'Exh. No. BGM 4 4'!P55</f>
        <v>0</v>
      </c>
      <c r="Q55" s="263">
        <f>'Exh. No. BGM 4 4'!Q55</f>
        <v>0</v>
      </c>
      <c r="R55" s="263">
        <f>'Exh. No. BGM 4 4'!R55</f>
        <v>0</v>
      </c>
      <c r="S55" s="263">
        <f>'Exh. No. BGM 4 4'!S55</f>
        <v>0</v>
      </c>
      <c r="T55" s="263">
        <f>'Exh. No. BGM 4 4'!T55</f>
        <v>0</v>
      </c>
      <c r="U55" s="263">
        <f>'Exh. No. BGM 4 4'!U55</f>
        <v>0</v>
      </c>
      <c r="V55" s="263">
        <f>'Exh. No. BGM 4 4'!V55</f>
        <v>0</v>
      </c>
      <c r="W55" s="263">
        <f>'Exh. No. BGM 4 4'!W55</f>
        <v>0</v>
      </c>
      <c r="X55" s="263">
        <f>'Exh. No. BGM 4 4'!Y55</f>
        <v>0</v>
      </c>
      <c r="Y55" s="263">
        <f>'Exh. No. BGM 4 4'!Z55</f>
        <v>0</v>
      </c>
      <c r="Z55" s="263">
        <f>'Exh. No. BGM 4 4'!AA55</f>
        <v>0</v>
      </c>
      <c r="AA55" s="263">
        <f>'Exh. No. BGM 4 4'!AB55</f>
        <v>0</v>
      </c>
      <c r="AB55" s="263">
        <f>'Exh. No. BGM 4 4'!AC55</f>
        <v>0</v>
      </c>
      <c r="AC55" s="263">
        <f>'Exh. No. BGM 4 4'!AD55</f>
        <v>0</v>
      </c>
      <c r="AD55" s="263">
        <f>'Exh. No. BGM 4 4'!AE55</f>
        <v>0</v>
      </c>
      <c r="AE55" s="263">
        <f>'Exh. No. BGM 4 4'!AF55</f>
        <v>0</v>
      </c>
      <c r="AF55" s="263">
        <f>'Exh. No. BGM 4 4'!AG55</f>
        <v>0</v>
      </c>
      <c r="AG55" s="263">
        <f>'Exh. No. BGM 4 4'!AH55</f>
        <v>-110.1681</v>
      </c>
      <c r="AH55" s="263">
        <f>'Exh. No. BGM 4 4'!AI55</f>
        <v>0</v>
      </c>
      <c r="AI55" s="263">
        <f>'Exh. No. BGM 4 4'!AJ55</f>
        <v>0</v>
      </c>
      <c r="AJ55" s="263">
        <f>'Exh. No. BGM 4 4'!AK55</f>
        <v>-13.82612</v>
      </c>
    </row>
    <row r="56" spans="1:36">
      <c r="A56" s="239">
        <v>29</v>
      </c>
      <c r="B56" s="241" t="s">
        <v>58</v>
      </c>
      <c r="D56" s="241"/>
      <c r="E56" s="263">
        <f>'Exh. No. BGM 4 4'!E56</f>
        <v>9923</v>
      </c>
      <c r="F56" s="263">
        <f>'Exh. No. BGM 4 4'!F56</f>
        <v>0</v>
      </c>
      <c r="G56" s="263">
        <f>'Exh. No. BGM 4 4'!G56</f>
        <v>0</v>
      </c>
      <c r="H56" s="263">
        <f>'Exh. No. BGM 4 4'!H56</f>
        <v>0</v>
      </c>
      <c r="I56" s="263">
        <f>'Exh. No. BGM 4 4'!I56</f>
        <v>0</v>
      </c>
      <c r="J56" s="263">
        <f>'Exh. No. BGM 4 4'!J56</f>
        <v>0</v>
      </c>
      <c r="K56" s="263">
        <f>'Exh. No. BGM 4 4'!K56</f>
        <v>0</v>
      </c>
      <c r="L56" s="263">
        <f>'Exh. No. BGM 4 4'!L56</f>
        <v>0</v>
      </c>
      <c r="M56" s="263">
        <f>'Exh. No. BGM 4 4'!M56</f>
        <v>0</v>
      </c>
      <c r="N56" s="263">
        <f>'Exh. No. BGM 4 4'!N56</f>
        <v>0</v>
      </c>
      <c r="O56" s="263">
        <f>'Exh. No. BGM 4 4'!O56</f>
        <v>0</v>
      </c>
      <c r="P56" s="263">
        <f>'Exh. No. BGM 4 4'!P56</f>
        <v>0</v>
      </c>
      <c r="Q56" s="263">
        <f>'Exh. No. BGM 4 4'!Q56</f>
        <v>0</v>
      </c>
      <c r="R56" s="263">
        <f>'Exh. No. BGM 4 4'!R56</f>
        <v>0</v>
      </c>
      <c r="S56" s="263">
        <f>'Exh. No. BGM 4 4'!S56</f>
        <v>0</v>
      </c>
      <c r="T56" s="263">
        <f>'Exh. No. BGM 4 4'!T56</f>
        <v>0</v>
      </c>
      <c r="U56" s="263">
        <f>'Exh. No. BGM 4 4'!U56</f>
        <v>0</v>
      </c>
      <c r="V56" s="263">
        <f>'Exh. No. BGM 4 4'!V56</f>
        <v>0</v>
      </c>
      <c r="W56" s="263">
        <f>'Exh. No. BGM 4 4'!W56</f>
        <v>0</v>
      </c>
      <c r="X56" s="263">
        <f>'Exh. No. BGM 4 4'!Y56</f>
        <v>0</v>
      </c>
      <c r="Y56" s="263">
        <f>'Exh. No. BGM 4 4'!Z56</f>
        <v>0</v>
      </c>
      <c r="Z56" s="263">
        <f>'Exh. No. BGM 4 4'!AA56</f>
        <v>0</v>
      </c>
      <c r="AA56" s="263">
        <f>'Exh. No. BGM 4 4'!AB56</f>
        <v>0</v>
      </c>
      <c r="AB56" s="263">
        <f>'Exh. No. BGM 4 4'!AC56</f>
        <v>0</v>
      </c>
      <c r="AC56" s="263">
        <f>'Exh. No. BGM 4 4'!AD56</f>
        <v>0</v>
      </c>
      <c r="AD56" s="263">
        <f>'Exh. No. BGM 4 4'!AE56</f>
        <v>0</v>
      </c>
      <c r="AE56" s="263">
        <f>'Exh. No. BGM 4 4'!AF56</f>
        <v>0</v>
      </c>
      <c r="AF56" s="263">
        <f>'Exh. No. BGM 4 4'!AG56</f>
        <v>0</v>
      </c>
      <c r="AG56" s="263">
        <f>'Exh. No. BGM 4 4'!AH56</f>
        <v>0</v>
      </c>
      <c r="AH56" s="263">
        <f>'Exh. No. BGM 4 4'!AI56</f>
        <v>0</v>
      </c>
      <c r="AI56" s="263">
        <f>'Exh. No. BGM 4 4'!AJ56</f>
        <v>0</v>
      </c>
      <c r="AJ56" s="263">
        <f>'Exh. No. BGM 4 4'!AK56</f>
        <v>0</v>
      </c>
    </row>
    <row r="57" spans="1:36">
      <c r="A57" s="239">
        <v>30</v>
      </c>
      <c r="B57" s="241" t="s">
        <v>59</v>
      </c>
      <c r="D57" s="241"/>
      <c r="E57" s="264">
        <f>'Exh. No. BGM 4 4'!E57</f>
        <v>-17</v>
      </c>
      <c r="F57" s="264">
        <f>'Exh. No. BGM 4 4'!F57</f>
        <v>0</v>
      </c>
      <c r="G57" s="264">
        <f>'Exh. No. BGM 4 4'!G57</f>
        <v>0</v>
      </c>
      <c r="H57" s="264">
        <f>'Exh. No. BGM 4 4'!H57</f>
        <v>0</v>
      </c>
      <c r="I57" s="264">
        <f>'Exh. No. BGM 4 4'!I57</f>
        <v>0</v>
      </c>
      <c r="J57" s="264">
        <f>'Exh. No. BGM 4 4'!J57</f>
        <v>0</v>
      </c>
      <c r="K57" s="264">
        <f>'Exh. No. BGM 4 4'!K57</f>
        <v>0</v>
      </c>
      <c r="L57" s="264">
        <f>'Exh. No. BGM 4 4'!L57</f>
        <v>0</v>
      </c>
      <c r="M57" s="264">
        <f>'Exh. No. BGM 4 4'!M57</f>
        <v>0</v>
      </c>
      <c r="N57" s="264">
        <f>'Exh. No. BGM 4 4'!N57</f>
        <v>0</v>
      </c>
      <c r="O57" s="264">
        <f>'Exh. No. BGM 4 4'!O57</f>
        <v>0</v>
      </c>
      <c r="P57" s="264">
        <f>'Exh. No. BGM 4 4'!P57</f>
        <v>0</v>
      </c>
      <c r="Q57" s="264">
        <f>'Exh. No. BGM 4 4'!Q57</f>
        <v>0</v>
      </c>
      <c r="R57" s="264">
        <f>'Exh. No. BGM 4 4'!R57</f>
        <v>0</v>
      </c>
      <c r="S57" s="264">
        <f>'Exh. No. BGM 4 4'!S57</f>
        <v>0</v>
      </c>
      <c r="T57" s="264">
        <f>'Exh. No. BGM 4 4'!T57</f>
        <v>0</v>
      </c>
      <c r="U57" s="264">
        <f>'Exh. No. BGM 4 4'!U57</f>
        <v>0</v>
      </c>
      <c r="V57" s="264">
        <f>'Exh. No. BGM 4 4'!V57</f>
        <v>0</v>
      </c>
      <c r="W57" s="264">
        <f>'Exh. No. BGM 4 4'!W57</f>
        <v>0</v>
      </c>
      <c r="X57" s="264">
        <f>'Exh. No. BGM 4 4'!Y57</f>
        <v>0</v>
      </c>
      <c r="Y57" s="264">
        <f>'Exh. No. BGM 4 4'!Z57</f>
        <v>0</v>
      </c>
      <c r="Z57" s="264">
        <f>'Exh. No. BGM 4 4'!AA57</f>
        <v>0</v>
      </c>
      <c r="AA57" s="264">
        <f>'Exh. No. BGM 4 4'!AB57</f>
        <v>0</v>
      </c>
      <c r="AB57" s="264">
        <f>'Exh. No. BGM 4 4'!AC57</f>
        <v>0</v>
      </c>
      <c r="AC57" s="264">
        <f>'Exh. No. BGM 4 4'!AD57</f>
        <v>0</v>
      </c>
      <c r="AD57" s="264">
        <f>'Exh. No. BGM 4 4'!AE57</f>
        <v>0</v>
      </c>
      <c r="AE57" s="264">
        <f>'Exh. No. BGM 4 4'!AF57</f>
        <v>0</v>
      </c>
      <c r="AF57" s="264">
        <f>'Exh. No. BGM 4 4'!AG57</f>
        <v>0</v>
      </c>
      <c r="AG57" s="264">
        <f>'Exh. No. BGM 4 4'!AH57</f>
        <v>0</v>
      </c>
      <c r="AH57" s="264">
        <f>'Exh. No. BGM 4 4'!AI57</f>
        <v>0</v>
      </c>
      <c r="AI57" s="264">
        <f>'Exh. No. BGM 4 4'!AJ57</f>
        <v>0</v>
      </c>
      <c r="AJ57" s="264">
        <f>'Exh. No. BGM 4 4'!AK57</f>
        <v>0</v>
      </c>
    </row>
    <row r="58" spans="1:36"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</row>
    <row r="59" spans="1:36" s="240" customFormat="1" ht="12.75" thickBot="1">
      <c r="A59" s="239">
        <v>31</v>
      </c>
      <c r="B59" s="240" t="s">
        <v>60</v>
      </c>
      <c r="E59" s="385">
        <f>E51-SUM(E54:E57)</f>
        <v>23458</v>
      </c>
      <c r="F59" s="385">
        <f t="shared" ref="F59:AC59" si="66">F51-SUM(F54:F57)</f>
        <v>-3.0485000000000002</v>
      </c>
      <c r="G59" s="385">
        <f t="shared" si="66"/>
        <v>-1.3</v>
      </c>
      <c r="H59" s="385">
        <f t="shared" si="66"/>
        <v>-8.1043199999999995</v>
      </c>
      <c r="I59" s="385">
        <f t="shared" si="66"/>
        <v>-20.8</v>
      </c>
      <c r="J59" s="385">
        <f t="shared" si="66"/>
        <v>-243.75</v>
      </c>
      <c r="K59" s="385">
        <f t="shared" si="66"/>
        <v>383.5</v>
      </c>
      <c r="L59" s="385">
        <f t="shared" si="66"/>
        <v>1.9500000000000002</v>
      </c>
      <c r="M59" s="385">
        <f t="shared" si="66"/>
        <v>-49.400000000000006</v>
      </c>
      <c r="N59" s="385">
        <f t="shared" si="66"/>
        <v>0</v>
      </c>
      <c r="O59" s="385">
        <f t="shared" si="66"/>
        <v>5.85</v>
      </c>
      <c r="P59" s="385">
        <f t="shared" si="66"/>
        <v>-1.3</v>
      </c>
      <c r="Q59" s="385">
        <f t="shared" si="66"/>
        <v>8.4499999999999993</v>
      </c>
      <c r="R59" s="385">
        <f t="shared" si="66"/>
        <v>-2.6</v>
      </c>
      <c r="S59" s="385">
        <f t="shared" ref="S59:T59" si="67">S51-SUM(S54:S57)</f>
        <v>-310.05</v>
      </c>
      <c r="T59" s="385">
        <f t="shared" si="67"/>
        <v>204.75</v>
      </c>
      <c r="U59" s="385">
        <f t="shared" ref="U59:V59" si="68">U51-SUM(U54:U57)</f>
        <v>-701.35</v>
      </c>
      <c r="V59" s="385">
        <f t="shared" si="68"/>
        <v>117.65</v>
      </c>
      <c r="W59" s="385">
        <f>W51-SUM(W54:W57)</f>
        <v>-40</v>
      </c>
      <c r="X59" s="385">
        <f>X51-SUM(X54:X57)</f>
        <v>-226.2</v>
      </c>
      <c r="Y59" s="385">
        <f t="shared" si="66"/>
        <v>-304.87664999999998</v>
      </c>
      <c r="Z59" s="385">
        <f t="shared" ref="Z59" si="69">Z51-SUM(Z54:Z57)</f>
        <v>6.5</v>
      </c>
      <c r="AA59" s="385">
        <f t="shared" si="66"/>
        <v>114.4</v>
      </c>
      <c r="AB59" s="385">
        <f t="shared" ref="AB59" si="70">AB51-SUM(AB54:AB57)</f>
        <v>-22.1</v>
      </c>
      <c r="AC59" s="385">
        <f t="shared" si="66"/>
        <v>-309.39999999999998</v>
      </c>
      <c r="AD59" s="385">
        <f t="shared" ref="AD59" si="71">AD51-SUM(AD54:AD57)</f>
        <v>-130.65</v>
      </c>
      <c r="AE59" s="385">
        <f t="shared" ref="AE59:AH59" si="72">AE51-SUM(AE54:AE57)</f>
        <v>-599.29999999999995</v>
      </c>
      <c r="AF59" s="385">
        <f t="shared" si="72"/>
        <v>701.35</v>
      </c>
      <c r="AG59" s="385">
        <f t="shared" si="72"/>
        <v>-127.7319</v>
      </c>
      <c r="AH59" s="385">
        <f t="shared" si="72"/>
        <v>20.8</v>
      </c>
      <c r="AI59" s="385">
        <f t="shared" ref="AI59" si="73">AI51-SUM(AI54:AI57)</f>
        <v>0</v>
      </c>
      <c r="AJ59" s="385">
        <f t="shared" ref="AJ59" si="74">AJ51-SUM(AJ54:AJ57)</f>
        <v>-365.77388000000002</v>
      </c>
    </row>
    <row r="60" spans="1:36" ht="12.75" thickTop="1"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</row>
    <row r="61" spans="1:36">
      <c r="B61" s="215" t="s">
        <v>107</v>
      </c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</row>
    <row r="62" spans="1:36">
      <c r="B62" s="215" t="s">
        <v>108</v>
      </c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</row>
    <row r="63" spans="1:36">
      <c r="A63" s="239">
        <v>32</v>
      </c>
      <c r="B63" s="241"/>
      <c r="C63" s="241" t="s">
        <v>43</v>
      </c>
      <c r="D63" s="241"/>
      <c r="E63" s="341">
        <f>'Exh. No. BGM 4 4'!E63</f>
        <v>26868</v>
      </c>
      <c r="F63" s="341">
        <f>'Exh. No. BGM 4 4'!F63</f>
        <v>0</v>
      </c>
      <c r="G63" s="341">
        <f>'Exh. No. BGM 4 4'!G63</f>
        <v>0</v>
      </c>
      <c r="H63" s="341">
        <f>'Exh. No. BGM 4 4'!H63</f>
        <v>0</v>
      </c>
      <c r="I63" s="341">
        <f>'Exh. No. BGM 4 4'!I63</f>
        <v>0</v>
      </c>
      <c r="J63" s="341">
        <f>'Exh. No. BGM 4 4'!J63</f>
        <v>0</v>
      </c>
      <c r="K63" s="341">
        <f>'Exh. No. BGM 4 4'!K63</f>
        <v>0</v>
      </c>
      <c r="L63" s="341">
        <f>'Exh. No. BGM 4 4'!L63</f>
        <v>0</v>
      </c>
      <c r="M63" s="341">
        <f>'Exh. No. BGM 4 4'!M63</f>
        <v>0</v>
      </c>
      <c r="N63" s="341">
        <f>'Exh. No. BGM 4 4'!N63</f>
        <v>0</v>
      </c>
      <c r="O63" s="341">
        <f>'Exh. No. BGM 4 4'!O63</f>
        <v>0</v>
      </c>
      <c r="P63" s="341">
        <f>'Exh. No. BGM 4 4'!P63</f>
        <v>0</v>
      </c>
      <c r="Q63" s="341">
        <f>'Exh. No. BGM 4 4'!Q63</f>
        <v>0</v>
      </c>
      <c r="R63" s="341">
        <f>'Exh. No. BGM 4 4'!R63</f>
        <v>0</v>
      </c>
      <c r="S63" s="341">
        <f>'Exh. No. BGM 4 4'!S63</f>
        <v>0</v>
      </c>
      <c r="T63" s="341">
        <f>'Exh. No. BGM 4 4'!T63</f>
        <v>0</v>
      </c>
      <c r="U63" s="341">
        <f>'Exh. No. BGM 4 4'!U63</f>
        <v>0</v>
      </c>
      <c r="V63" s="341">
        <f>'Exh. No. BGM 4 4'!V63</f>
        <v>0</v>
      </c>
      <c r="W63" s="341">
        <f>'Exh. No. BGM 4 4'!W63</f>
        <v>0</v>
      </c>
      <c r="X63" s="341">
        <f>'Exh. No. BGM 4 4'!Y63</f>
        <v>0</v>
      </c>
      <c r="Y63" s="341">
        <f>'Exh. No. BGM 4 4'!Z63</f>
        <v>0</v>
      </c>
      <c r="Z63" s="341">
        <f>'Exh. No. BGM 4 4'!AA63</f>
        <v>0</v>
      </c>
      <c r="AA63" s="341">
        <f>'Exh. No. BGM 4 4'!AB63</f>
        <v>0</v>
      </c>
      <c r="AB63" s="341">
        <f>'Exh. No. BGM 4 4'!AC63</f>
        <v>0</v>
      </c>
      <c r="AC63" s="341">
        <f>'Exh. No. BGM 4 4'!AD63</f>
        <v>0</v>
      </c>
      <c r="AD63" s="341">
        <f>'Exh. No. BGM 4 4'!AE63</f>
        <v>0</v>
      </c>
      <c r="AE63" s="341">
        <f>'Exh. No. BGM 4 4'!AF63</f>
        <v>0</v>
      </c>
      <c r="AF63" s="341">
        <f>'Exh. No. BGM 4 4'!AG63</f>
        <v>0</v>
      </c>
      <c r="AG63" s="341">
        <f>'Exh. No. BGM 4 4'!AH63</f>
        <v>0</v>
      </c>
      <c r="AH63" s="341">
        <f>'Exh. No. BGM 4 4'!AI63</f>
        <v>0</v>
      </c>
      <c r="AI63" s="341">
        <f>'Exh. No. BGM 4 4'!AJ63</f>
        <v>0</v>
      </c>
      <c r="AJ63" s="341">
        <f>'Exh. No. BGM 4 4'!AK63</f>
        <v>0</v>
      </c>
    </row>
    <row r="64" spans="1:36">
      <c r="A64" s="239">
        <v>33</v>
      </c>
      <c r="B64" s="241"/>
      <c r="C64" s="241" t="s">
        <v>62</v>
      </c>
      <c r="D64" s="241"/>
      <c r="E64" s="263">
        <f>'Exh. No. BGM 4 4'!E64</f>
        <v>390508</v>
      </c>
      <c r="F64" s="263">
        <f>'Exh. No. BGM 4 4'!F64</f>
        <v>0</v>
      </c>
      <c r="G64" s="263">
        <f>'Exh. No. BGM 4 4'!G64</f>
        <v>0</v>
      </c>
      <c r="H64" s="263">
        <f>'Exh. No. BGM 4 4'!H64</f>
        <v>0</v>
      </c>
      <c r="I64" s="263">
        <f>'Exh. No. BGM 4 4'!I64</f>
        <v>0</v>
      </c>
      <c r="J64" s="263">
        <f>'Exh. No. BGM 4 4'!J64</f>
        <v>0</v>
      </c>
      <c r="K64" s="263">
        <f>'Exh. No. BGM 4 4'!K64</f>
        <v>0</v>
      </c>
      <c r="L64" s="263">
        <f>'Exh. No. BGM 4 4'!L64</f>
        <v>0</v>
      </c>
      <c r="M64" s="263">
        <f>'Exh. No. BGM 4 4'!M64</f>
        <v>0</v>
      </c>
      <c r="N64" s="263">
        <f>'Exh. No. BGM 4 4'!N64</f>
        <v>0</v>
      </c>
      <c r="O64" s="263">
        <f>'Exh. No. BGM 4 4'!O64</f>
        <v>0</v>
      </c>
      <c r="P64" s="263">
        <f>'Exh. No. BGM 4 4'!P64</f>
        <v>0</v>
      </c>
      <c r="Q64" s="263">
        <f>'Exh. No. BGM 4 4'!Q64</f>
        <v>0</v>
      </c>
      <c r="R64" s="263">
        <f>'Exh. No. BGM 4 4'!R64</f>
        <v>0</v>
      </c>
      <c r="S64" s="263">
        <f>'Exh. No. BGM 4 4'!S64</f>
        <v>0</v>
      </c>
      <c r="T64" s="263">
        <f>'Exh. No. BGM 4 4'!T64</f>
        <v>0</v>
      </c>
      <c r="U64" s="263">
        <f>'Exh. No. BGM 4 4'!U64</f>
        <v>0</v>
      </c>
      <c r="V64" s="263">
        <f>'Exh. No. BGM 4 4'!V64</f>
        <v>0</v>
      </c>
      <c r="W64" s="263">
        <f>'Exh. No. BGM 4 4'!W64</f>
        <v>0</v>
      </c>
      <c r="X64" s="263">
        <f>'Exh. No. BGM 4 4'!Y64</f>
        <v>0</v>
      </c>
      <c r="Y64" s="263">
        <f>'Exh. No. BGM 4 4'!Z64</f>
        <v>0</v>
      </c>
      <c r="Z64" s="263">
        <f>'Exh. No. BGM 4 4'!AA64</f>
        <v>0</v>
      </c>
      <c r="AA64" s="263">
        <f>'Exh. No. BGM 4 4'!AB64</f>
        <v>0</v>
      </c>
      <c r="AB64" s="263">
        <f>'Exh. No. BGM 4 4'!AC64</f>
        <v>0</v>
      </c>
      <c r="AC64" s="263">
        <f>'Exh. No. BGM 4 4'!AD64</f>
        <v>0</v>
      </c>
      <c r="AD64" s="263">
        <f>'Exh. No. BGM 4 4'!AE64</f>
        <v>0</v>
      </c>
      <c r="AE64" s="263">
        <f>'Exh. No. BGM 4 4'!AF64</f>
        <v>0</v>
      </c>
      <c r="AF64" s="263">
        <f>'Exh. No. BGM 4 4'!AG64</f>
        <v>0</v>
      </c>
      <c r="AG64" s="263">
        <f>'Exh. No. BGM 4 4'!AH64</f>
        <v>14510</v>
      </c>
      <c r="AH64" s="263">
        <f>'Exh. No. BGM 4 4'!AI64</f>
        <v>0</v>
      </c>
      <c r="AI64" s="263">
        <f>'Exh. No. BGM 4 4'!AJ64</f>
        <v>0</v>
      </c>
      <c r="AJ64" s="263">
        <f>'Exh. No. BGM 4 4'!AK64</f>
        <v>0</v>
      </c>
    </row>
    <row r="65" spans="1:36">
      <c r="A65" s="239">
        <v>34</v>
      </c>
      <c r="B65" s="241"/>
      <c r="C65" s="241" t="s">
        <v>63</v>
      </c>
      <c r="D65" s="241"/>
      <c r="E65" s="264">
        <f>'Exh. No. BGM 4 4'!E65</f>
        <v>82624</v>
      </c>
      <c r="F65" s="264">
        <f>'Exh. No. BGM 4 4'!F65</f>
        <v>0</v>
      </c>
      <c r="G65" s="264">
        <f>'Exh. No. BGM 4 4'!G65</f>
        <v>0</v>
      </c>
      <c r="H65" s="264">
        <f>'Exh. No. BGM 4 4'!H65</f>
        <v>0</v>
      </c>
      <c r="I65" s="264">
        <f>'Exh. No. BGM 4 4'!I65</f>
        <v>0</v>
      </c>
      <c r="J65" s="264">
        <f>'Exh. No. BGM 4 4'!J65</f>
        <v>0</v>
      </c>
      <c r="K65" s="264">
        <f>'Exh. No. BGM 4 4'!K65</f>
        <v>0</v>
      </c>
      <c r="L65" s="264">
        <f>'Exh. No. BGM 4 4'!L65</f>
        <v>0</v>
      </c>
      <c r="M65" s="264">
        <f>'Exh. No. BGM 4 4'!M65</f>
        <v>0</v>
      </c>
      <c r="N65" s="264">
        <f>'Exh. No. BGM 4 4'!N65</f>
        <v>0</v>
      </c>
      <c r="O65" s="264">
        <f>'Exh. No. BGM 4 4'!O65</f>
        <v>0</v>
      </c>
      <c r="P65" s="264">
        <f>'Exh. No. BGM 4 4'!P65</f>
        <v>0</v>
      </c>
      <c r="Q65" s="264">
        <f>'Exh. No. BGM 4 4'!Q65</f>
        <v>0</v>
      </c>
      <c r="R65" s="264">
        <f>'Exh. No. BGM 4 4'!R65</f>
        <v>0</v>
      </c>
      <c r="S65" s="264">
        <f>'Exh. No. BGM 4 4'!S65</f>
        <v>0</v>
      </c>
      <c r="T65" s="264">
        <f>'Exh. No. BGM 4 4'!T65</f>
        <v>0</v>
      </c>
      <c r="U65" s="264">
        <f>'Exh. No. BGM 4 4'!U65</f>
        <v>0</v>
      </c>
      <c r="V65" s="264">
        <f>'Exh. No. BGM 4 4'!V65</f>
        <v>0</v>
      </c>
      <c r="W65" s="264">
        <f>'Exh. No. BGM 4 4'!W65</f>
        <v>0</v>
      </c>
      <c r="X65" s="264">
        <f>'Exh. No. BGM 4 4'!Y65</f>
        <v>0</v>
      </c>
      <c r="Y65" s="264">
        <f>'Exh. No. BGM 4 4'!Z65</f>
        <v>0</v>
      </c>
      <c r="Z65" s="264">
        <f>'Exh. No. BGM 4 4'!AA65</f>
        <v>0</v>
      </c>
      <c r="AA65" s="264">
        <f>'Exh. No. BGM 4 4'!AB65</f>
        <v>0</v>
      </c>
      <c r="AB65" s="264">
        <f>'Exh. No. BGM 4 4'!AC65</f>
        <v>0</v>
      </c>
      <c r="AC65" s="264">
        <f>'Exh. No. BGM 4 4'!AD65</f>
        <v>0</v>
      </c>
      <c r="AD65" s="264">
        <f>'Exh. No. BGM 4 4'!AE65</f>
        <v>0</v>
      </c>
      <c r="AE65" s="264">
        <f>'Exh. No. BGM 4 4'!AF65</f>
        <v>0</v>
      </c>
      <c r="AF65" s="264">
        <f>'Exh. No. BGM 4 4'!AG65</f>
        <v>0</v>
      </c>
      <c r="AG65" s="264">
        <f>'Exh. No. BGM 4 4'!AH65</f>
        <v>0</v>
      </c>
      <c r="AH65" s="264">
        <f>'Exh. No. BGM 4 4'!AI65</f>
        <v>0</v>
      </c>
      <c r="AI65" s="264">
        <f>'Exh. No. BGM 4 4'!AJ65</f>
        <v>0</v>
      </c>
      <c r="AJ65" s="264">
        <f>'Exh. No. BGM 4 4'!AK65</f>
        <v>0</v>
      </c>
    </row>
    <row r="66" spans="1:36" ht="18" customHeight="1">
      <c r="A66" s="239">
        <v>35</v>
      </c>
      <c r="B66" s="241" t="s">
        <v>64</v>
      </c>
      <c r="C66" s="241"/>
      <c r="E66" s="263">
        <f>SUM(E63:E65)</f>
        <v>500000</v>
      </c>
      <c r="F66" s="263">
        <f t="shared" ref="F66:AC66" si="75">SUM(F63:F65)</f>
        <v>0</v>
      </c>
      <c r="G66" s="263">
        <f t="shared" si="75"/>
        <v>0</v>
      </c>
      <c r="H66" s="263">
        <f t="shared" si="75"/>
        <v>0</v>
      </c>
      <c r="I66" s="263">
        <f t="shared" si="75"/>
        <v>0</v>
      </c>
      <c r="J66" s="263">
        <f t="shared" si="75"/>
        <v>0</v>
      </c>
      <c r="K66" s="263">
        <f t="shared" si="75"/>
        <v>0</v>
      </c>
      <c r="L66" s="263">
        <f t="shared" si="75"/>
        <v>0</v>
      </c>
      <c r="M66" s="263">
        <f t="shared" si="75"/>
        <v>0</v>
      </c>
      <c r="N66" s="263">
        <f t="shared" si="75"/>
        <v>0</v>
      </c>
      <c r="O66" s="263">
        <f t="shared" si="75"/>
        <v>0</v>
      </c>
      <c r="P66" s="263">
        <f t="shared" si="75"/>
        <v>0</v>
      </c>
      <c r="Q66" s="263">
        <f t="shared" si="75"/>
        <v>0</v>
      </c>
      <c r="R66" s="263">
        <f t="shared" si="75"/>
        <v>0</v>
      </c>
      <c r="S66" s="263">
        <f t="shared" ref="S66:T66" si="76">SUM(S63:S65)</f>
        <v>0</v>
      </c>
      <c r="T66" s="263">
        <f t="shared" si="76"/>
        <v>0</v>
      </c>
      <c r="U66" s="263">
        <f t="shared" ref="U66:V66" si="77">SUM(U63:U65)</f>
        <v>0</v>
      </c>
      <c r="V66" s="263">
        <f t="shared" si="77"/>
        <v>0</v>
      </c>
      <c r="W66" s="263">
        <f>SUM(W63:W65)</f>
        <v>0</v>
      </c>
      <c r="X66" s="263">
        <f>SUM(X63:X65)</f>
        <v>0</v>
      </c>
      <c r="Y66" s="263">
        <f t="shared" si="75"/>
        <v>0</v>
      </c>
      <c r="Z66" s="263">
        <f t="shared" ref="Z66" si="78">SUM(Z63:Z65)</f>
        <v>0</v>
      </c>
      <c r="AA66" s="263">
        <f t="shared" si="75"/>
        <v>0</v>
      </c>
      <c r="AB66" s="263">
        <f t="shared" ref="AB66" si="79">SUM(AB63:AB65)</f>
        <v>0</v>
      </c>
      <c r="AC66" s="263">
        <f t="shared" si="75"/>
        <v>0</v>
      </c>
      <c r="AD66" s="263">
        <f t="shared" ref="AD66" si="80">SUM(AD63:AD65)</f>
        <v>0</v>
      </c>
      <c r="AE66" s="263">
        <f t="shared" ref="AE66:AH66" si="81">SUM(AE63:AE65)</f>
        <v>0</v>
      </c>
      <c r="AF66" s="263">
        <f t="shared" si="81"/>
        <v>0</v>
      </c>
      <c r="AG66" s="263">
        <f t="shared" si="81"/>
        <v>14510</v>
      </c>
      <c r="AH66" s="263">
        <f t="shared" si="81"/>
        <v>0</v>
      </c>
      <c r="AI66" s="263">
        <f t="shared" ref="AI66" si="82">SUM(AI63:AI65)</f>
        <v>0</v>
      </c>
      <c r="AJ66" s="263">
        <f t="shared" ref="AJ66" si="83">SUM(AJ63:AJ65)</f>
        <v>0</v>
      </c>
    </row>
    <row r="67" spans="1:36" ht="12.75" customHeight="1">
      <c r="B67" s="241"/>
      <c r="C67" s="241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G67" s="263"/>
      <c r="AH67" s="263"/>
      <c r="AI67" s="263"/>
      <c r="AJ67" s="263"/>
    </row>
    <row r="68" spans="1:36">
      <c r="B68" s="241" t="s">
        <v>221</v>
      </c>
      <c r="C68" s="241"/>
      <c r="D68" s="241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  <c r="AA68" s="263"/>
      <c r="AB68" s="263"/>
      <c r="AC68" s="263"/>
      <c r="AD68" s="263"/>
      <c r="AE68" s="263"/>
      <c r="AF68" s="263"/>
      <c r="AG68" s="263"/>
      <c r="AH68" s="263"/>
      <c r="AI68" s="263"/>
      <c r="AJ68" s="263"/>
    </row>
    <row r="69" spans="1:36">
      <c r="A69" s="239">
        <v>36</v>
      </c>
      <c r="B69" s="241"/>
      <c r="C69" s="241" t="s">
        <v>43</v>
      </c>
      <c r="D69" s="241"/>
      <c r="E69" s="263">
        <f>'Exh. No. BGM 4 4'!E69</f>
        <v>-10317</v>
      </c>
      <c r="F69" s="263">
        <f>'Exh. No. BGM 4 4'!F69</f>
        <v>0</v>
      </c>
      <c r="G69" s="263">
        <f>'Exh. No. BGM 4 4'!G69</f>
        <v>0</v>
      </c>
      <c r="H69" s="263">
        <f>'Exh. No. BGM 4 4'!H69</f>
        <v>0</v>
      </c>
      <c r="I69" s="263">
        <f>'Exh. No. BGM 4 4'!I69</f>
        <v>0</v>
      </c>
      <c r="J69" s="263">
        <f>'Exh. No. BGM 4 4'!J69</f>
        <v>0</v>
      </c>
      <c r="K69" s="263">
        <f>'Exh. No. BGM 4 4'!K69</f>
        <v>0</v>
      </c>
      <c r="L69" s="263">
        <f>'Exh. No. BGM 4 4'!L69</f>
        <v>0</v>
      </c>
      <c r="M69" s="263">
        <f>'Exh. No. BGM 4 4'!M69</f>
        <v>0</v>
      </c>
      <c r="N69" s="263">
        <f>'Exh. No. BGM 4 4'!N69</f>
        <v>0</v>
      </c>
      <c r="O69" s="263">
        <f>'Exh. No. BGM 4 4'!O69</f>
        <v>0</v>
      </c>
      <c r="P69" s="263">
        <f>'Exh. No. BGM 4 4'!P69</f>
        <v>0</v>
      </c>
      <c r="Q69" s="263">
        <f>'Exh. No. BGM 4 4'!Q69</f>
        <v>0</v>
      </c>
      <c r="R69" s="263">
        <f>'Exh. No. BGM 4 4'!R69</f>
        <v>0</v>
      </c>
      <c r="S69" s="263">
        <f>'Exh. No. BGM 4 4'!S69</f>
        <v>0</v>
      </c>
      <c r="T69" s="263">
        <f>'Exh. No. BGM 4 4'!T69</f>
        <v>0</v>
      </c>
      <c r="U69" s="263">
        <f>'Exh. No. BGM 4 4'!U69</f>
        <v>0</v>
      </c>
      <c r="V69" s="263">
        <f>'Exh. No. BGM 4 4'!V69</f>
        <v>0</v>
      </c>
      <c r="W69" s="263">
        <f>'Exh. No. BGM 4 4'!W69</f>
        <v>0</v>
      </c>
      <c r="X69" s="263">
        <f>'Exh. No. BGM 4 4'!Y69</f>
        <v>0</v>
      </c>
      <c r="Y69" s="263">
        <f>'Exh. No. BGM 4 4'!Z69</f>
        <v>0</v>
      </c>
      <c r="Z69" s="263">
        <f>'Exh. No. BGM 4 4'!AA69</f>
        <v>0</v>
      </c>
      <c r="AA69" s="263">
        <f>'Exh. No. BGM 4 4'!AB69</f>
        <v>0</v>
      </c>
      <c r="AB69" s="263">
        <f>'Exh. No. BGM 4 4'!AC69</f>
        <v>0</v>
      </c>
      <c r="AC69" s="263">
        <f>'Exh. No. BGM 4 4'!AD69</f>
        <v>0</v>
      </c>
      <c r="AD69" s="263">
        <f>'Exh. No. BGM 4 4'!AE69</f>
        <v>0</v>
      </c>
      <c r="AE69" s="263">
        <f>'Exh. No. BGM 4 4'!AF69</f>
        <v>0</v>
      </c>
      <c r="AF69" s="263">
        <f>'Exh. No. BGM 4 4'!AG69</f>
        <v>0</v>
      </c>
      <c r="AG69" s="263">
        <f>'Exh. No. BGM 4 4'!AH69</f>
        <v>0</v>
      </c>
      <c r="AH69" s="263">
        <f>'Exh. No. BGM 4 4'!AI69</f>
        <v>0</v>
      </c>
      <c r="AI69" s="263">
        <f>'Exh. No. BGM 4 4'!AJ69</f>
        <v>0</v>
      </c>
      <c r="AJ69" s="263">
        <f>'Exh. No. BGM 4 4'!AK69</f>
        <v>0</v>
      </c>
    </row>
    <row r="70" spans="1:36">
      <c r="A70" s="239">
        <v>37</v>
      </c>
      <c r="B70" s="241"/>
      <c r="C70" s="241" t="s">
        <v>62</v>
      </c>
      <c r="D70" s="241"/>
      <c r="E70" s="263">
        <f>'Exh. No. BGM 4 4'!E70</f>
        <v>-129098</v>
      </c>
      <c r="F70" s="263">
        <f>'Exh. No. BGM 4 4'!F70</f>
        <v>0</v>
      </c>
      <c r="G70" s="263">
        <f>'Exh. No. BGM 4 4'!G70</f>
        <v>0</v>
      </c>
      <c r="H70" s="263">
        <f>'Exh. No. BGM 4 4'!H70</f>
        <v>0</v>
      </c>
      <c r="I70" s="263">
        <f>'Exh. No. BGM 4 4'!I70</f>
        <v>0</v>
      </c>
      <c r="J70" s="263">
        <f>'Exh. No. BGM 4 4'!J70</f>
        <v>0</v>
      </c>
      <c r="K70" s="263">
        <f>'Exh. No. BGM 4 4'!K70</f>
        <v>0</v>
      </c>
      <c r="L70" s="263">
        <f>'Exh. No. BGM 4 4'!L70</f>
        <v>0</v>
      </c>
      <c r="M70" s="263">
        <f>'Exh. No. BGM 4 4'!M70</f>
        <v>0</v>
      </c>
      <c r="N70" s="263">
        <f>'Exh. No. BGM 4 4'!N70</f>
        <v>0</v>
      </c>
      <c r="O70" s="263">
        <f>'Exh. No. BGM 4 4'!O70</f>
        <v>0</v>
      </c>
      <c r="P70" s="263">
        <f>'Exh. No. BGM 4 4'!P70</f>
        <v>0</v>
      </c>
      <c r="Q70" s="263">
        <f>'Exh. No. BGM 4 4'!Q70</f>
        <v>0</v>
      </c>
      <c r="R70" s="263">
        <f>'Exh. No. BGM 4 4'!R70</f>
        <v>0</v>
      </c>
      <c r="S70" s="263">
        <f>'Exh. No. BGM 4 4'!S70</f>
        <v>0</v>
      </c>
      <c r="T70" s="263">
        <f>'Exh. No. BGM 4 4'!T70</f>
        <v>0</v>
      </c>
      <c r="U70" s="263">
        <f>'Exh. No. BGM 4 4'!U70</f>
        <v>0</v>
      </c>
      <c r="V70" s="263">
        <f>'Exh. No. BGM 4 4'!V70</f>
        <v>0</v>
      </c>
      <c r="W70" s="263">
        <f>'Exh. No. BGM 4 4'!W70</f>
        <v>0</v>
      </c>
      <c r="X70" s="263">
        <f>'Exh. No. BGM 4 4'!Y70</f>
        <v>0</v>
      </c>
      <c r="Y70" s="263">
        <f>'Exh. No. BGM 4 4'!Z70</f>
        <v>0</v>
      </c>
      <c r="Z70" s="263">
        <f>'Exh. No. BGM 4 4'!AA70</f>
        <v>0</v>
      </c>
      <c r="AA70" s="263">
        <f>'Exh. No. BGM 4 4'!AB70</f>
        <v>0</v>
      </c>
      <c r="AB70" s="263">
        <f>'Exh. No. BGM 4 4'!AC70</f>
        <v>0</v>
      </c>
      <c r="AC70" s="263">
        <f>'Exh. No. BGM 4 4'!AD70</f>
        <v>0</v>
      </c>
      <c r="AD70" s="263">
        <f>'Exh. No. BGM 4 4'!AE70</f>
        <v>0</v>
      </c>
      <c r="AE70" s="263">
        <f>'Exh. No. BGM 4 4'!AF70</f>
        <v>0</v>
      </c>
      <c r="AF70" s="263">
        <f>'Exh. No. BGM 4 4'!AG70</f>
        <v>0</v>
      </c>
      <c r="AG70" s="263">
        <f>'Exh. No. BGM 4 4'!AH70</f>
        <v>-163</v>
      </c>
      <c r="AH70" s="263">
        <f>'Exh. No. BGM 4 4'!AI70</f>
        <v>0</v>
      </c>
      <c r="AI70" s="263">
        <f>'Exh. No. BGM 4 4'!AJ70</f>
        <v>0</v>
      </c>
      <c r="AJ70" s="263">
        <f>'Exh. No. BGM 4 4'!AK70</f>
        <v>0</v>
      </c>
    </row>
    <row r="71" spans="1:36">
      <c r="A71" s="239">
        <v>38</v>
      </c>
      <c r="B71" s="241"/>
      <c r="C71" s="241" t="s">
        <v>63</v>
      </c>
      <c r="D71" s="241"/>
      <c r="E71" s="264">
        <f>'Exh. No. BGM 4 4'!E71</f>
        <v>-23473</v>
      </c>
      <c r="F71" s="264">
        <f>'Exh. No. BGM 4 4'!F71</f>
        <v>0</v>
      </c>
      <c r="G71" s="264">
        <f>'Exh. No. BGM 4 4'!G71</f>
        <v>0</v>
      </c>
      <c r="H71" s="264">
        <f>'Exh. No. BGM 4 4'!H71</f>
        <v>0</v>
      </c>
      <c r="I71" s="264">
        <f>'Exh. No. BGM 4 4'!I71</f>
        <v>0</v>
      </c>
      <c r="J71" s="264">
        <f>'Exh. No. BGM 4 4'!J71</f>
        <v>0</v>
      </c>
      <c r="K71" s="264">
        <f>'Exh. No. BGM 4 4'!K71</f>
        <v>0</v>
      </c>
      <c r="L71" s="264">
        <f>'Exh. No. BGM 4 4'!L71</f>
        <v>0</v>
      </c>
      <c r="M71" s="264">
        <f>'Exh. No. BGM 4 4'!M71</f>
        <v>0</v>
      </c>
      <c r="N71" s="264">
        <f>'Exh. No. BGM 4 4'!N71</f>
        <v>0</v>
      </c>
      <c r="O71" s="264">
        <f>'Exh. No. BGM 4 4'!O71</f>
        <v>0</v>
      </c>
      <c r="P71" s="264">
        <f>'Exh. No. BGM 4 4'!P71</f>
        <v>0</v>
      </c>
      <c r="Q71" s="264">
        <f>'Exh. No. BGM 4 4'!Q71</f>
        <v>0</v>
      </c>
      <c r="R71" s="264">
        <f>'Exh. No. BGM 4 4'!R71</f>
        <v>0</v>
      </c>
      <c r="S71" s="264">
        <f>'Exh. No. BGM 4 4'!S71</f>
        <v>0</v>
      </c>
      <c r="T71" s="264">
        <f>'Exh. No. BGM 4 4'!T71</f>
        <v>0</v>
      </c>
      <c r="U71" s="264">
        <f>'Exh. No. BGM 4 4'!U71</f>
        <v>0</v>
      </c>
      <c r="V71" s="264">
        <f>'Exh. No. BGM 4 4'!V71</f>
        <v>0</v>
      </c>
      <c r="W71" s="264">
        <f>'Exh. No. BGM 4 4'!W71</f>
        <v>0</v>
      </c>
      <c r="X71" s="264">
        <f>'Exh. No. BGM 4 4'!Y71</f>
        <v>0</v>
      </c>
      <c r="Y71" s="264">
        <f>'Exh. No. BGM 4 4'!Z71</f>
        <v>0</v>
      </c>
      <c r="Z71" s="264">
        <f>'Exh. No. BGM 4 4'!AA71</f>
        <v>0</v>
      </c>
      <c r="AA71" s="264">
        <f>'Exh. No. BGM 4 4'!AB71</f>
        <v>0</v>
      </c>
      <c r="AB71" s="264">
        <f>'Exh. No. BGM 4 4'!AC71</f>
        <v>0</v>
      </c>
      <c r="AC71" s="264">
        <f>'Exh. No. BGM 4 4'!AD71</f>
        <v>0</v>
      </c>
      <c r="AD71" s="264">
        <f>'Exh. No. BGM 4 4'!AE71</f>
        <v>0</v>
      </c>
      <c r="AE71" s="264">
        <f>'Exh. No. BGM 4 4'!AF71</f>
        <v>0</v>
      </c>
      <c r="AF71" s="264">
        <f>'Exh. No. BGM 4 4'!AG71</f>
        <v>0</v>
      </c>
      <c r="AG71" s="264">
        <f>'Exh. No. BGM 4 4'!AH71</f>
        <v>0</v>
      </c>
      <c r="AH71" s="264">
        <f>'Exh. No. BGM 4 4'!AI71</f>
        <v>0</v>
      </c>
      <c r="AI71" s="264">
        <f>'Exh. No. BGM 4 4'!AJ71</f>
        <v>0</v>
      </c>
      <c r="AJ71" s="264">
        <f>'Exh. No. BGM 4 4'!AK71</f>
        <v>0</v>
      </c>
    </row>
    <row r="72" spans="1:36">
      <c r="A72" s="239">
        <v>39</v>
      </c>
      <c r="B72" s="241" t="s">
        <v>437</v>
      </c>
      <c r="C72" s="241"/>
      <c r="E72" s="266">
        <f>SUM(E69:E71)</f>
        <v>-162888</v>
      </c>
      <c r="F72" s="266">
        <f t="shared" ref="F72:AC72" si="84">SUM(F69:F71)</f>
        <v>0</v>
      </c>
      <c r="G72" s="266">
        <f t="shared" si="84"/>
        <v>0</v>
      </c>
      <c r="H72" s="266">
        <f t="shared" si="84"/>
        <v>0</v>
      </c>
      <c r="I72" s="266">
        <f t="shared" si="84"/>
        <v>0</v>
      </c>
      <c r="J72" s="266">
        <f t="shared" si="84"/>
        <v>0</v>
      </c>
      <c r="K72" s="266">
        <f t="shared" si="84"/>
        <v>0</v>
      </c>
      <c r="L72" s="266">
        <f t="shared" si="84"/>
        <v>0</v>
      </c>
      <c r="M72" s="266">
        <f t="shared" si="84"/>
        <v>0</v>
      </c>
      <c r="N72" s="266">
        <f t="shared" si="84"/>
        <v>0</v>
      </c>
      <c r="O72" s="266">
        <f t="shared" si="84"/>
        <v>0</v>
      </c>
      <c r="P72" s="266">
        <f t="shared" si="84"/>
        <v>0</v>
      </c>
      <c r="Q72" s="266">
        <f t="shared" si="84"/>
        <v>0</v>
      </c>
      <c r="R72" s="266">
        <f t="shared" si="84"/>
        <v>0</v>
      </c>
      <c r="S72" s="266">
        <f t="shared" ref="S72:T72" si="85">SUM(S69:S71)</f>
        <v>0</v>
      </c>
      <c r="T72" s="266">
        <f t="shared" si="85"/>
        <v>0</v>
      </c>
      <c r="U72" s="266">
        <f t="shared" ref="U72:V72" si="86">SUM(U69:U71)</f>
        <v>0</v>
      </c>
      <c r="V72" s="266">
        <f t="shared" si="86"/>
        <v>0</v>
      </c>
      <c r="W72" s="266">
        <f>SUM(W69:W71)</f>
        <v>0</v>
      </c>
      <c r="X72" s="266">
        <f>SUM(X69:X71)</f>
        <v>0</v>
      </c>
      <c r="Y72" s="266">
        <f t="shared" si="84"/>
        <v>0</v>
      </c>
      <c r="Z72" s="266">
        <f t="shared" ref="Z72" si="87">SUM(Z69:Z71)</f>
        <v>0</v>
      </c>
      <c r="AA72" s="266">
        <f t="shared" si="84"/>
        <v>0</v>
      </c>
      <c r="AB72" s="266">
        <f t="shared" ref="AB72" si="88">SUM(AB69:AB71)</f>
        <v>0</v>
      </c>
      <c r="AC72" s="266">
        <f t="shared" si="84"/>
        <v>0</v>
      </c>
      <c r="AD72" s="266">
        <f t="shared" ref="AD72" si="89">SUM(AD69:AD71)</f>
        <v>0</v>
      </c>
      <c r="AE72" s="266">
        <f t="shared" ref="AE72:AH72" si="90">SUM(AE69:AE71)</f>
        <v>0</v>
      </c>
      <c r="AF72" s="266">
        <f t="shared" si="90"/>
        <v>0</v>
      </c>
      <c r="AG72" s="266">
        <f t="shared" si="90"/>
        <v>-163</v>
      </c>
      <c r="AH72" s="266">
        <f t="shared" si="90"/>
        <v>0</v>
      </c>
      <c r="AI72" s="266">
        <f t="shared" ref="AI72" si="91">SUM(AI69:AI71)</f>
        <v>0</v>
      </c>
      <c r="AJ72" s="266">
        <f t="shared" ref="AJ72" si="92">SUM(AJ69:AJ71)</f>
        <v>0</v>
      </c>
    </row>
    <row r="73" spans="1:36">
      <c r="A73" s="239">
        <v>40</v>
      </c>
      <c r="B73" s="241" t="s">
        <v>189</v>
      </c>
      <c r="C73" s="241"/>
      <c r="D73" s="241"/>
      <c r="E73" s="267">
        <f>E66+E72</f>
        <v>337112</v>
      </c>
      <c r="F73" s="267">
        <f t="shared" ref="F73:AC73" si="93">F66+F72</f>
        <v>0</v>
      </c>
      <c r="G73" s="267">
        <f t="shared" si="93"/>
        <v>0</v>
      </c>
      <c r="H73" s="267">
        <f t="shared" si="93"/>
        <v>0</v>
      </c>
      <c r="I73" s="267">
        <f t="shared" si="93"/>
        <v>0</v>
      </c>
      <c r="J73" s="267">
        <f t="shared" si="93"/>
        <v>0</v>
      </c>
      <c r="K73" s="267">
        <f t="shared" si="93"/>
        <v>0</v>
      </c>
      <c r="L73" s="267">
        <f t="shared" si="93"/>
        <v>0</v>
      </c>
      <c r="M73" s="267">
        <f t="shared" si="93"/>
        <v>0</v>
      </c>
      <c r="N73" s="267">
        <f t="shared" si="93"/>
        <v>0</v>
      </c>
      <c r="O73" s="267">
        <f t="shared" si="93"/>
        <v>0</v>
      </c>
      <c r="P73" s="267">
        <f t="shared" si="93"/>
        <v>0</v>
      </c>
      <c r="Q73" s="267">
        <f t="shared" si="93"/>
        <v>0</v>
      </c>
      <c r="R73" s="267">
        <f t="shared" si="93"/>
        <v>0</v>
      </c>
      <c r="S73" s="267">
        <f t="shared" ref="S73:T73" si="94">S66+S72</f>
        <v>0</v>
      </c>
      <c r="T73" s="267">
        <f t="shared" si="94"/>
        <v>0</v>
      </c>
      <c r="U73" s="267">
        <f t="shared" ref="U73:V73" si="95">U66+U72</f>
        <v>0</v>
      </c>
      <c r="V73" s="267">
        <f t="shared" si="95"/>
        <v>0</v>
      </c>
      <c r="W73" s="267">
        <f>W66+W72</f>
        <v>0</v>
      </c>
      <c r="X73" s="267">
        <f>X66+X72</f>
        <v>0</v>
      </c>
      <c r="Y73" s="267">
        <f t="shared" si="93"/>
        <v>0</v>
      </c>
      <c r="Z73" s="267">
        <f t="shared" ref="Z73" si="96">Z66+Z72</f>
        <v>0</v>
      </c>
      <c r="AA73" s="267">
        <f t="shared" si="93"/>
        <v>0</v>
      </c>
      <c r="AB73" s="267">
        <f t="shared" ref="AB73" si="97">AB66+AB72</f>
        <v>0</v>
      </c>
      <c r="AC73" s="267">
        <f t="shared" si="93"/>
        <v>0</v>
      </c>
      <c r="AD73" s="267">
        <f t="shared" ref="AD73" si="98">AD66+AD72</f>
        <v>0</v>
      </c>
      <c r="AE73" s="267">
        <f t="shared" ref="AE73:AH73" si="99">AE66+AE72</f>
        <v>0</v>
      </c>
      <c r="AF73" s="267">
        <f t="shared" si="99"/>
        <v>0</v>
      </c>
      <c r="AG73" s="267">
        <f t="shared" si="99"/>
        <v>14347</v>
      </c>
      <c r="AH73" s="267">
        <f t="shared" si="99"/>
        <v>0</v>
      </c>
      <c r="AI73" s="267">
        <f t="shared" ref="AI73" si="100">AI66+AI72</f>
        <v>0</v>
      </c>
      <c r="AJ73" s="267">
        <f t="shared" ref="AJ73" si="101">AJ66+AJ72</f>
        <v>0</v>
      </c>
    </row>
    <row r="74" spans="1:36" s="244" customFormat="1" ht="18.95" customHeight="1">
      <c r="A74" s="242">
        <v>41</v>
      </c>
      <c r="B74" s="243" t="s">
        <v>224</v>
      </c>
      <c r="C74" s="243"/>
      <c r="D74" s="243"/>
      <c r="E74" s="264">
        <f>'Exh. No. BGM 4 4'!E74</f>
        <v>-73856</v>
      </c>
      <c r="F74" s="264">
        <f>'Exh. No. BGM 4 4'!F74</f>
        <v>-325</v>
      </c>
      <c r="G74" s="264">
        <f>'Exh. No. BGM 4 4'!G74</f>
        <v>0</v>
      </c>
      <c r="H74" s="264">
        <f>'Exh. No. BGM 4 4'!H74</f>
        <v>0</v>
      </c>
      <c r="I74" s="264">
        <f>'Exh. No. BGM 4 4'!I74</f>
        <v>0</v>
      </c>
      <c r="J74" s="264">
        <f>'Exh. No. BGM 4 4'!J74</f>
        <v>0</v>
      </c>
      <c r="K74" s="264">
        <f>'Exh. No. BGM 4 4'!K74</f>
        <v>0</v>
      </c>
      <c r="L74" s="264">
        <f>'Exh. No. BGM 4 4'!L74</f>
        <v>0</v>
      </c>
      <c r="M74" s="264">
        <f>'Exh. No. BGM 4 4'!M74</f>
        <v>0</v>
      </c>
      <c r="N74" s="264">
        <f>'Exh. No. BGM 4 4'!N74</f>
        <v>0</v>
      </c>
      <c r="O74" s="264">
        <f>'Exh. No. BGM 4 4'!O74</f>
        <v>0</v>
      </c>
      <c r="P74" s="264">
        <f>'Exh. No. BGM 4 4'!P74</f>
        <v>0</v>
      </c>
      <c r="Q74" s="264">
        <f>'Exh. No. BGM 4 4'!Q74</f>
        <v>0</v>
      </c>
      <c r="R74" s="264">
        <f>'Exh. No. BGM 4 4'!R74</f>
        <v>0</v>
      </c>
      <c r="S74" s="264">
        <f>'Exh. No. BGM 4 4'!S74</f>
        <v>0</v>
      </c>
      <c r="T74" s="264">
        <f>'Exh. No. BGM 4 4'!T74</f>
        <v>0</v>
      </c>
      <c r="U74" s="264">
        <f>'Exh. No. BGM 4 4'!U74</f>
        <v>0</v>
      </c>
      <c r="V74" s="264">
        <f>'Exh. No. BGM 4 4'!V74</f>
        <v>0</v>
      </c>
      <c r="W74" s="264">
        <f>'Exh. No. BGM 4 4'!W74</f>
        <v>0</v>
      </c>
      <c r="X74" s="264">
        <f>'Exh. No. BGM 4 4'!Y74</f>
        <v>0</v>
      </c>
      <c r="Y74" s="264">
        <f>'Exh. No. BGM 4 4'!Z74</f>
        <v>0</v>
      </c>
      <c r="Z74" s="264">
        <f>'Exh. No. BGM 4 4'!AA74</f>
        <v>0</v>
      </c>
      <c r="AA74" s="264">
        <f>'Exh. No. BGM 4 4'!AB74</f>
        <v>0</v>
      </c>
      <c r="AB74" s="264">
        <f>'Exh. No. BGM 4 4'!AC74</f>
        <v>0</v>
      </c>
      <c r="AC74" s="264">
        <f>'Exh. No. BGM 4 4'!AD74</f>
        <v>0</v>
      </c>
      <c r="AD74" s="264">
        <f>'Exh. No. BGM 4 4'!AE74</f>
        <v>0</v>
      </c>
      <c r="AE74" s="264">
        <f>'Exh. No. BGM 4 4'!AF74</f>
        <v>0</v>
      </c>
      <c r="AF74" s="264">
        <f>'Exh. No. BGM 4 4'!AG74</f>
        <v>0</v>
      </c>
      <c r="AG74" s="264">
        <f>'Exh. No. BGM 4 4'!AH74</f>
        <v>-2602</v>
      </c>
      <c r="AH74" s="264">
        <f>'Exh. No. BGM 4 4'!AI74</f>
        <v>0</v>
      </c>
      <c r="AI74" s="264">
        <f>'Exh. No. BGM 4 4'!AJ74</f>
        <v>0</v>
      </c>
      <c r="AJ74" s="264">
        <f>'Exh. No. BGM 4 4'!AK74</f>
        <v>0</v>
      </c>
    </row>
    <row r="75" spans="1:36" s="244" customFormat="1" ht="18.95" customHeight="1">
      <c r="A75" s="242">
        <v>42</v>
      </c>
      <c r="B75" s="243" t="s">
        <v>222</v>
      </c>
      <c r="C75" s="243"/>
      <c r="D75" s="243"/>
      <c r="E75" s="267">
        <f>E73+E74</f>
        <v>263256</v>
      </c>
      <c r="F75" s="267">
        <f t="shared" ref="F75:AC75" si="102">F73+F74</f>
        <v>-325</v>
      </c>
      <c r="G75" s="267">
        <f t="shared" si="102"/>
        <v>0</v>
      </c>
      <c r="H75" s="267">
        <f t="shared" si="102"/>
        <v>0</v>
      </c>
      <c r="I75" s="267">
        <f t="shared" si="102"/>
        <v>0</v>
      </c>
      <c r="J75" s="267">
        <f t="shared" si="102"/>
        <v>0</v>
      </c>
      <c r="K75" s="267">
        <f t="shared" si="102"/>
        <v>0</v>
      </c>
      <c r="L75" s="267">
        <f t="shared" si="102"/>
        <v>0</v>
      </c>
      <c r="M75" s="267">
        <f t="shared" si="102"/>
        <v>0</v>
      </c>
      <c r="N75" s="267">
        <f t="shared" si="102"/>
        <v>0</v>
      </c>
      <c r="O75" s="267">
        <f t="shared" si="102"/>
        <v>0</v>
      </c>
      <c r="P75" s="267">
        <f t="shared" si="102"/>
        <v>0</v>
      </c>
      <c r="Q75" s="267">
        <f t="shared" si="102"/>
        <v>0</v>
      </c>
      <c r="R75" s="267">
        <f t="shared" si="102"/>
        <v>0</v>
      </c>
      <c r="S75" s="267">
        <f t="shared" ref="S75:T75" si="103">S73+S74</f>
        <v>0</v>
      </c>
      <c r="T75" s="267">
        <f t="shared" si="103"/>
        <v>0</v>
      </c>
      <c r="U75" s="267">
        <f t="shared" ref="U75:V75" si="104">U73+U74</f>
        <v>0</v>
      </c>
      <c r="V75" s="267">
        <f t="shared" si="104"/>
        <v>0</v>
      </c>
      <c r="W75" s="267">
        <f>W73+W74</f>
        <v>0</v>
      </c>
      <c r="X75" s="267">
        <f>X73+X74</f>
        <v>0</v>
      </c>
      <c r="Y75" s="267">
        <f t="shared" si="102"/>
        <v>0</v>
      </c>
      <c r="Z75" s="267">
        <f t="shared" ref="Z75" si="105">Z73+Z74</f>
        <v>0</v>
      </c>
      <c r="AA75" s="267">
        <f t="shared" si="102"/>
        <v>0</v>
      </c>
      <c r="AB75" s="267">
        <f t="shared" ref="AB75" si="106">AB73+AB74</f>
        <v>0</v>
      </c>
      <c r="AC75" s="267">
        <f t="shared" si="102"/>
        <v>0</v>
      </c>
      <c r="AD75" s="267">
        <f t="shared" ref="AD75" si="107">AD73+AD74</f>
        <v>0</v>
      </c>
      <c r="AE75" s="267">
        <f t="shared" ref="AE75:AH75" si="108">AE73+AE74</f>
        <v>0</v>
      </c>
      <c r="AF75" s="267">
        <f t="shared" si="108"/>
        <v>0</v>
      </c>
      <c r="AG75" s="267">
        <f t="shared" si="108"/>
        <v>11745</v>
      </c>
      <c r="AH75" s="267">
        <f t="shared" si="108"/>
        <v>0</v>
      </c>
      <c r="AI75" s="267">
        <f t="shared" ref="AI75" si="109">AI73+AI74</f>
        <v>0</v>
      </c>
      <c r="AJ75" s="267">
        <f t="shared" ref="AJ75" si="110">AJ73+AJ74</f>
        <v>0</v>
      </c>
    </row>
    <row r="76" spans="1:36">
      <c r="A76" s="239">
        <v>43</v>
      </c>
      <c r="B76" s="241" t="s">
        <v>67</v>
      </c>
      <c r="C76" s="241"/>
      <c r="D76" s="241"/>
      <c r="E76" s="263">
        <f>'Exh. No. BGM 4 4'!E76</f>
        <v>9116</v>
      </c>
      <c r="F76" s="263">
        <f>'Exh. No. BGM 4 4'!F76</f>
        <v>0</v>
      </c>
      <c r="G76" s="263">
        <f>'Exh. No. BGM 4 4'!G76</f>
        <v>0</v>
      </c>
      <c r="H76" s="263">
        <f>'Exh. No. BGM 4 4'!H76</f>
        <v>0</v>
      </c>
      <c r="I76" s="263">
        <f>'Exh. No. BGM 4 4'!I76</f>
        <v>0</v>
      </c>
      <c r="J76" s="263">
        <f>'Exh. No. BGM 4 4'!J76</f>
        <v>0</v>
      </c>
      <c r="K76" s="263">
        <f>'Exh. No. BGM 4 4'!K76</f>
        <v>0</v>
      </c>
      <c r="L76" s="263">
        <f>'Exh. No. BGM 4 4'!L76</f>
        <v>0</v>
      </c>
      <c r="M76" s="263">
        <f>'Exh. No. BGM 4 4'!M76</f>
        <v>0</v>
      </c>
      <c r="N76" s="263">
        <f>'Exh. No. BGM 4 4'!N76</f>
        <v>0</v>
      </c>
      <c r="O76" s="263">
        <f>'Exh. No. BGM 4 4'!O76</f>
        <v>0</v>
      </c>
      <c r="P76" s="263">
        <f>'Exh. No. BGM 4 4'!P76</f>
        <v>0</v>
      </c>
      <c r="Q76" s="263">
        <f>'Exh. No. BGM 4 4'!Q76</f>
        <v>0</v>
      </c>
      <c r="R76" s="263">
        <f>'Exh. No. BGM 4 4'!R76</f>
        <v>0</v>
      </c>
      <c r="S76" s="263">
        <f>'Exh. No. BGM 4 4'!S76</f>
        <v>0</v>
      </c>
      <c r="T76" s="263">
        <f>'Exh. No. BGM 4 4'!T76</f>
        <v>0</v>
      </c>
      <c r="U76" s="263">
        <f>'Exh. No. BGM 4 4'!U76</f>
        <v>0</v>
      </c>
      <c r="V76" s="263">
        <f>'Exh. No. BGM 4 4'!V76</f>
        <v>0</v>
      </c>
      <c r="W76" s="263">
        <f>'Exh. No. BGM 4 4'!W76</f>
        <v>0</v>
      </c>
      <c r="X76" s="263">
        <f>'Exh. No. BGM 4 4'!Y76</f>
        <v>0</v>
      </c>
      <c r="Y76" s="263">
        <f>'Exh. No. BGM 4 4'!Z76</f>
        <v>0</v>
      </c>
      <c r="Z76" s="263">
        <f>'Exh. No. BGM 4 4'!AA76</f>
        <v>0</v>
      </c>
      <c r="AA76" s="263">
        <f>'Exh. No. BGM 4 4'!AB76</f>
        <v>0</v>
      </c>
      <c r="AB76" s="263">
        <f>'Exh. No. BGM 4 4'!AC76</f>
        <v>0</v>
      </c>
      <c r="AC76" s="263">
        <f>'Exh. No. BGM 4 4'!AD76</f>
        <v>0</v>
      </c>
      <c r="AD76" s="263">
        <f>'Exh. No. BGM 4 4'!AE76</f>
        <v>0</v>
      </c>
      <c r="AE76" s="263">
        <f>'Exh. No. BGM 4 4'!AF76</f>
        <v>0</v>
      </c>
      <c r="AF76" s="263">
        <f>'Exh. No. BGM 4 4'!AG76</f>
        <v>0</v>
      </c>
      <c r="AG76" s="263">
        <f>'Exh. No. BGM 4 4'!AH76</f>
        <v>0</v>
      </c>
      <c r="AH76" s="263">
        <f>'Exh. No. BGM 4 4'!AI76</f>
        <v>0</v>
      </c>
      <c r="AI76" s="263">
        <f>'Exh. No. BGM 4 4'!AJ76</f>
        <v>0</v>
      </c>
      <c r="AJ76" s="263">
        <f>'Exh. No. BGM 4 4'!AK76</f>
        <v>0</v>
      </c>
    </row>
    <row r="77" spans="1:36" s="244" customFormat="1">
      <c r="A77" s="242">
        <v>44</v>
      </c>
      <c r="B77" s="243" t="s">
        <v>68</v>
      </c>
      <c r="C77" s="243"/>
      <c r="D77" s="243"/>
      <c r="E77" s="263">
        <f>'Exh. No. BGM 4 4'!E77</f>
        <v>0</v>
      </c>
      <c r="F77" s="263">
        <f>'Exh. No. BGM 4 4'!F77</f>
        <v>0</v>
      </c>
      <c r="G77" s="263">
        <f>'Exh. No. BGM 4 4'!G77</f>
        <v>0</v>
      </c>
      <c r="H77" s="263">
        <f>'Exh. No. BGM 4 4'!H77</f>
        <v>0</v>
      </c>
      <c r="I77" s="263">
        <f>'Exh. No. BGM 4 4'!I77</f>
        <v>0</v>
      </c>
      <c r="J77" s="263">
        <f>'Exh. No. BGM 4 4'!J77</f>
        <v>0</v>
      </c>
      <c r="K77" s="263">
        <f>'Exh. No. BGM 4 4'!K77</f>
        <v>0</v>
      </c>
      <c r="L77" s="263">
        <f>'Exh. No. BGM 4 4'!L77</f>
        <v>0</v>
      </c>
      <c r="M77" s="263">
        <f>'Exh. No. BGM 4 4'!M77</f>
        <v>0</v>
      </c>
      <c r="N77" s="263">
        <f>'Exh. No. BGM 4 4'!N77</f>
        <v>0</v>
      </c>
      <c r="O77" s="263">
        <f>'Exh. No. BGM 4 4'!O77</f>
        <v>0</v>
      </c>
      <c r="P77" s="263">
        <f>'Exh. No. BGM 4 4'!P77</f>
        <v>0</v>
      </c>
      <c r="Q77" s="263">
        <f>'Exh. No. BGM 4 4'!Q77</f>
        <v>0</v>
      </c>
      <c r="R77" s="263">
        <f>'Exh. No. BGM 4 4'!R77</f>
        <v>0</v>
      </c>
      <c r="S77" s="263">
        <f>'Exh. No. BGM 4 4'!S77</f>
        <v>0</v>
      </c>
      <c r="T77" s="263">
        <f>'Exh. No. BGM 4 4'!T77</f>
        <v>0</v>
      </c>
      <c r="U77" s="263">
        <f>'Exh. No. BGM 4 4'!U77</f>
        <v>0</v>
      </c>
      <c r="V77" s="263">
        <f>'Exh. No. BGM 4 4'!V77</f>
        <v>0</v>
      </c>
      <c r="W77" s="263">
        <f>'Exh. No. BGM 4 4'!W77</f>
        <v>0</v>
      </c>
      <c r="X77" s="263">
        <f>'Exh. No. BGM 4 4'!Y77</f>
        <v>0</v>
      </c>
      <c r="Y77" s="263">
        <f>'Exh. No. BGM 4 4'!Z77</f>
        <v>0</v>
      </c>
      <c r="Z77" s="263">
        <f>'Exh. No. BGM 4 4'!AA77</f>
        <v>0</v>
      </c>
      <c r="AA77" s="263">
        <f>'Exh. No. BGM 4 4'!AB77</f>
        <v>0</v>
      </c>
      <c r="AB77" s="263">
        <f>'Exh. No. BGM 4 4'!AC77</f>
        <v>0</v>
      </c>
      <c r="AC77" s="263">
        <f>'Exh. No. BGM 4 4'!AD77</f>
        <v>0</v>
      </c>
      <c r="AD77" s="263">
        <f>'Exh. No. BGM 4 4'!AE77</f>
        <v>0</v>
      </c>
      <c r="AE77" s="263">
        <f>'Exh. No. BGM 4 4'!AF77</f>
        <v>0</v>
      </c>
      <c r="AF77" s="263">
        <f>'Exh. No. BGM 4 4'!AG77</f>
        <v>0</v>
      </c>
      <c r="AG77" s="263">
        <f>'Exh. No. BGM 4 4'!AH77</f>
        <v>0</v>
      </c>
      <c r="AH77" s="263">
        <f>'Exh. No. BGM 4 4'!AI77</f>
        <v>0</v>
      </c>
      <c r="AI77" s="263">
        <f>'Exh. No. BGM 4 4'!AJ77</f>
        <v>0</v>
      </c>
      <c r="AJ77" s="263">
        <f>'Exh. No. BGM 4 4'!AK77</f>
        <v>0</v>
      </c>
    </row>
    <row r="78" spans="1:36" s="244" customFormat="1">
      <c r="A78" s="242">
        <v>45</v>
      </c>
      <c r="B78" s="243" t="s">
        <v>440</v>
      </c>
      <c r="C78" s="243"/>
      <c r="D78" s="243"/>
      <c r="E78" s="263">
        <f>'Exh. No. BGM 4 4'!E78</f>
        <v>-249</v>
      </c>
      <c r="F78" s="263">
        <f>'Exh. No. BGM 4 4'!F78</f>
        <v>0</v>
      </c>
      <c r="G78" s="263">
        <f>'Exh. No. BGM 4 4'!G78</f>
        <v>0</v>
      </c>
      <c r="H78" s="263">
        <f>'Exh. No. BGM 4 4'!H78</f>
        <v>0</v>
      </c>
      <c r="I78" s="263">
        <f>'Exh. No. BGM 4 4'!I78</f>
        <v>0</v>
      </c>
      <c r="J78" s="263">
        <f>'Exh. No. BGM 4 4'!J78</f>
        <v>0</v>
      </c>
      <c r="K78" s="263">
        <f>'Exh. No. BGM 4 4'!K78</f>
        <v>0</v>
      </c>
      <c r="L78" s="263">
        <f>'Exh. No. BGM 4 4'!L78</f>
        <v>0</v>
      </c>
      <c r="M78" s="263">
        <f>'Exh. No. BGM 4 4'!M78</f>
        <v>0</v>
      </c>
      <c r="N78" s="263">
        <f>'Exh. No. BGM 4 4'!N78</f>
        <v>0</v>
      </c>
      <c r="O78" s="263">
        <f>'Exh. No. BGM 4 4'!O78</f>
        <v>0</v>
      </c>
      <c r="P78" s="263">
        <f>'Exh. No. BGM 4 4'!P78</f>
        <v>0</v>
      </c>
      <c r="Q78" s="263">
        <f>'Exh. No. BGM 4 4'!Q78</f>
        <v>0</v>
      </c>
      <c r="R78" s="263">
        <f>'Exh. No. BGM 4 4'!R78</f>
        <v>0</v>
      </c>
      <c r="S78" s="263">
        <f>'Exh. No. BGM 4 4'!S78</f>
        <v>0</v>
      </c>
      <c r="T78" s="263">
        <f>'Exh. No. BGM 4 4'!T78</f>
        <v>0</v>
      </c>
      <c r="U78" s="263">
        <f>'Exh. No. BGM 4 4'!U78</f>
        <v>0</v>
      </c>
      <c r="V78" s="263">
        <f>'Exh. No. BGM 4 4'!V78</f>
        <v>0</v>
      </c>
      <c r="W78" s="263">
        <f>'Exh. No. BGM 4 4'!W78</f>
        <v>0</v>
      </c>
      <c r="X78" s="263">
        <f>'Exh. No. BGM 4 4'!Y78</f>
        <v>0</v>
      </c>
      <c r="Y78" s="263">
        <f>'Exh. No. BGM 4 4'!Z78</f>
        <v>0</v>
      </c>
      <c r="Z78" s="263">
        <f>'Exh. No. BGM 4 4'!AA78</f>
        <v>0</v>
      </c>
      <c r="AA78" s="263">
        <f>'Exh. No. BGM 4 4'!AB78</f>
        <v>0</v>
      </c>
      <c r="AB78" s="263">
        <f>'Exh. No. BGM 4 4'!AC78</f>
        <v>0</v>
      </c>
      <c r="AC78" s="263">
        <f>'Exh. No. BGM 4 4'!AD78</f>
        <v>0</v>
      </c>
      <c r="AD78" s="263">
        <f>'Exh. No. BGM 4 4'!AE78</f>
        <v>0</v>
      </c>
      <c r="AE78" s="263">
        <f>'Exh. No. BGM 4 4'!AF78</f>
        <v>0</v>
      </c>
      <c r="AF78" s="263">
        <f>'Exh. No. BGM 4 4'!AG78</f>
        <v>0</v>
      </c>
      <c r="AG78" s="263">
        <f>'Exh. No. BGM 4 4'!AH78</f>
        <v>0</v>
      </c>
      <c r="AH78" s="263">
        <f>'Exh. No. BGM 4 4'!AI78</f>
        <v>0</v>
      </c>
      <c r="AI78" s="263">
        <f>'Exh. No. BGM 4 4'!AJ78</f>
        <v>0</v>
      </c>
      <c r="AJ78" s="263">
        <f>'Exh. No. BGM 4 4'!AK78</f>
        <v>1474</v>
      </c>
    </row>
    <row r="79" spans="1:36">
      <c r="A79" s="239">
        <v>46</v>
      </c>
      <c r="B79" s="241" t="s">
        <v>192</v>
      </c>
      <c r="C79" s="241"/>
      <c r="D79" s="241"/>
      <c r="E79" s="264">
        <f>'Exh. No. BGM 4 4'!E79</f>
        <v>15664</v>
      </c>
      <c r="F79" s="264">
        <f>'Exh. No. BGM 4 4'!F79</f>
        <v>0</v>
      </c>
      <c r="G79" s="264">
        <f>'Exh. No. BGM 4 4'!G79</f>
        <v>0</v>
      </c>
      <c r="H79" s="264">
        <f>'Exh. No. BGM 4 4'!H79</f>
        <v>-864</v>
      </c>
      <c r="I79" s="264">
        <f>'Exh. No. BGM 4 4'!I79</f>
        <v>0</v>
      </c>
      <c r="J79" s="264">
        <f>'Exh. No. BGM 4 4'!J79</f>
        <v>0</v>
      </c>
      <c r="K79" s="264">
        <f>'Exh. No. BGM 4 4'!K79</f>
        <v>0</v>
      </c>
      <c r="L79" s="264">
        <f>'Exh. No. BGM 4 4'!L79</f>
        <v>0</v>
      </c>
      <c r="M79" s="264">
        <f>'Exh. No. BGM 4 4'!M79</f>
        <v>0</v>
      </c>
      <c r="N79" s="264">
        <f>'Exh. No. BGM 4 4'!N79</f>
        <v>0</v>
      </c>
      <c r="O79" s="264">
        <f>'Exh. No. BGM 4 4'!O79</f>
        <v>0</v>
      </c>
      <c r="P79" s="264">
        <f>'Exh. No. BGM 4 4'!P79</f>
        <v>0</v>
      </c>
      <c r="Q79" s="264">
        <f>'Exh. No. BGM 4 4'!Q79</f>
        <v>0</v>
      </c>
      <c r="R79" s="264">
        <f>'Exh. No. BGM 4 4'!R79</f>
        <v>0</v>
      </c>
      <c r="S79" s="264">
        <f>'Exh. No. BGM 4 4'!S79</f>
        <v>0</v>
      </c>
      <c r="T79" s="264">
        <f>'Exh. No. BGM 4 4'!T79</f>
        <v>0</v>
      </c>
      <c r="U79" s="264">
        <f>'Exh. No. BGM 4 4'!U79</f>
        <v>0</v>
      </c>
      <c r="V79" s="264">
        <f>'Exh. No. BGM 4 4'!V79</f>
        <v>0</v>
      </c>
      <c r="W79" s="264">
        <f>'Exh. No. BGM 4 4'!W79</f>
        <v>0</v>
      </c>
      <c r="X79" s="264">
        <f>'Exh. No. BGM 4 4'!Y79</f>
        <v>0</v>
      </c>
      <c r="Y79" s="264">
        <f>'Exh. No. BGM 4 4'!Z79</f>
        <v>0</v>
      </c>
      <c r="Z79" s="264">
        <f>'Exh. No. BGM 4 4'!AA79</f>
        <v>0</v>
      </c>
      <c r="AA79" s="264">
        <f>'Exh. No. BGM 4 4'!AB79</f>
        <v>0</v>
      </c>
      <c r="AB79" s="264">
        <f>'Exh. No. BGM 4 4'!AC79</f>
        <v>0</v>
      </c>
      <c r="AC79" s="264">
        <f>'Exh. No. BGM 4 4'!AD79</f>
        <v>0</v>
      </c>
      <c r="AD79" s="264">
        <f>'Exh. No. BGM 4 4'!AE79</f>
        <v>0</v>
      </c>
      <c r="AE79" s="264">
        <f>'Exh. No. BGM 4 4'!AF79</f>
        <v>0</v>
      </c>
      <c r="AF79" s="264">
        <f>'Exh. No. BGM 4 4'!AG79</f>
        <v>0</v>
      </c>
      <c r="AG79" s="264">
        <f>'Exh. No. BGM 4 4'!AH79</f>
        <v>0</v>
      </c>
      <c r="AH79" s="264">
        <f>'Exh. No. BGM 4 4'!AI79</f>
        <v>0</v>
      </c>
      <c r="AI79" s="264">
        <f>'Exh. No. BGM 4 4'!AJ79</f>
        <v>0</v>
      </c>
      <c r="AJ79" s="264">
        <f>'Exh. No. BGM 4 4'!AK79</f>
        <v>0</v>
      </c>
    </row>
    <row r="81" spans="1:36"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3"/>
      <c r="R81" s="263"/>
      <c r="S81" s="263"/>
      <c r="T81" s="263"/>
      <c r="U81" s="263"/>
      <c r="V81" s="263"/>
      <c r="W81" s="263"/>
      <c r="X81" s="263"/>
      <c r="Y81" s="263"/>
      <c r="Z81" s="263"/>
      <c r="AA81" s="263"/>
      <c r="AB81" s="263"/>
      <c r="AC81" s="263"/>
      <c r="AD81" s="263"/>
      <c r="AE81" s="263"/>
      <c r="AF81" s="263"/>
      <c r="AG81" s="263"/>
      <c r="AH81" s="263"/>
      <c r="AI81" s="263"/>
      <c r="AJ81" s="263"/>
    </row>
    <row r="82" spans="1:36" s="384" customFormat="1" ht="12.75" thickBot="1">
      <c r="A82" s="221">
        <v>47</v>
      </c>
      <c r="B82" s="384" t="s">
        <v>69</v>
      </c>
      <c r="E82" s="386">
        <f>E75+E76+E77+E79+E78</f>
        <v>287787</v>
      </c>
      <c r="F82" s="386">
        <f t="shared" ref="F82:AC82" si="111">F75+F76+F77+F79+F78</f>
        <v>-325</v>
      </c>
      <c r="G82" s="386">
        <f t="shared" si="111"/>
        <v>0</v>
      </c>
      <c r="H82" s="386">
        <f t="shared" si="111"/>
        <v>-864</v>
      </c>
      <c r="I82" s="386">
        <f t="shared" si="111"/>
        <v>0</v>
      </c>
      <c r="J82" s="386">
        <f t="shared" si="111"/>
        <v>0</v>
      </c>
      <c r="K82" s="386">
        <f t="shared" si="111"/>
        <v>0</v>
      </c>
      <c r="L82" s="386">
        <f t="shared" si="111"/>
        <v>0</v>
      </c>
      <c r="M82" s="386">
        <f t="shared" si="111"/>
        <v>0</v>
      </c>
      <c r="N82" s="386">
        <f t="shared" si="111"/>
        <v>0</v>
      </c>
      <c r="O82" s="386">
        <f t="shared" si="111"/>
        <v>0</v>
      </c>
      <c r="P82" s="386">
        <f t="shared" si="111"/>
        <v>0</v>
      </c>
      <c r="Q82" s="386">
        <f t="shared" si="111"/>
        <v>0</v>
      </c>
      <c r="R82" s="386">
        <f t="shared" si="111"/>
        <v>0</v>
      </c>
      <c r="S82" s="386">
        <f t="shared" ref="S82:T82" si="112">S75+S76+S77+S79+S78</f>
        <v>0</v>
      </c>
      <c r="T82" s="386">
        <f t="shared" si="112"/>
        <v>0</v>
      </c>
      <c r="U82" s="386">
        <f t="shared" ref="U82:V82" si="113">U75+U76+U77+U79+U78</f>
        <v>0</v>
      </c>
      <c r="V82" s="386">
        <f t="shared" si="113"/>
        <v>0</v>
      </c>
      <c r="W82" s="386">
        <f>W75+W76+W77+W79+W78</f>
        <v>0</v>
      </c>
      <c r="X82" s="386">
        <f>X75+X76+X77+X79+X78</f>
        <v>0</v>
      </c>
      <c r="Y82" s="386">
        <f t="shared" si="111"/>
        <v>0</v>
      </c>
      <c r="Z82" s="386">
        <f t="shared" ref="Z82" si="114">Z75+Z76+Z77+Z79+Z78</f>
        <v>0</v>
      </c>
      <c r="AA82" s="386">
        <f t="shared" si="111"/>
        <v>0</v>
      </c>
      <c r="AB82" s="386">
        <f t="shared" ref="AB82" si="115">AB75+AB76+AB77+AB79+AB78</f>
        <v>0</v>
      </c>
      <c r="AC82" s="386">
        <f t="shared" si="111"/>
        <v>0</v>
      </c>
      <c r="AD82" s="386">
        <f t="shared" ref="AD82" si="116">AD75+AD76+AD77+AD79+AD78</f>
        <v>0</v>
      </c>
      <c r="AE82" s="386">
        <f t="shared" ref="AE82:AH82" si="117">AE75+AE76+AE77+AE79+AE78</f>
        <v>0</v>
      </c>
      <c r="AF82" s="386">
        <f t="shared" si="117"/>
        <v>0</v>
      </c>
      <c r="AG82" s="386">
        <f t="shared" si="117"/>
        <v>11745</v>
      </c>
      <c r="AH82" s="386">
        <f t="shared" si="117"/>
        <v>0</v>
      </c>
      <c r="AI82" s="386">
        <f t="shared" ref="AI82" si="118">AI75+AI76+AI77+AI79+AI78</f>
        <v>0</v>
      </c>
      <c r="AJ82" s="386">
        <f t="shared" ref="AJ82" si="119">AJ75+AJ76+AJ77+AJ79+AJ78</f>
        <v>1474</v>
      </c>
    </row>
    <row r="83" spans="1:36" ht="18" customHeight="1" thickTop="1">
      <c r="E83" s="340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3"/>
      <c r="AE83" s="263"/>
      <c r="AF83" s="263"/>
      <c r="AG83" s="263"/>
      <c r="AH83" s="263"/>
      <c r="AI83" s="263"/>
      <c r="AJ83" s="263"/>
    </row>
    <row r="84" spans="1:36"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</row>
    <row r="85" spans="1:36"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</row>
    <row r="86" spans="1:36" s="246" customFormat="1">
      <c r="A86" s="245"/>
      <c r="D86" s="247"/>
      <c r="E86" s="393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I86" s="265"/>
      <c r="AJ86" s="265"/>
    </row>
    <row r="87" spans="1:36" s="246" customFormat="1">
      <c r="A87" s="249"/>
      <c r="D87" s="247"/>
      <c r="E87" s="392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</row>
    <row r="88" spans="1:36" s="246" customFormat="1">
      <c r="A88" s="249"/>
      <c r="D88" s="247"/>
      <c r="E88" s="268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I88" s="265"/>
      <c r="AJ88" s="265"/>
    </row>
    <row r="89" spans="1:36" s="246" customFormat="1">
      <c r="A89" s="249"/>
      <c r="D89" s="247"/>
      <c r="E89" s="268"/>
      <c r="F89" s="268"/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  <c r="X89" s="268"/>
      <c r="Y89" s="268"/>
      <c r="Z89" s="268"/>
      <c r="AA89" s="268"/>
      <c r="AB89" s="268"/>
      <c r="AC89" s="268"/>
      <c r="AD89" s="268"/>
      <c r="AE89" s="268"/>
      <c r="AF89" s="268"/>
      <c r="AG89" s="268"/>
      <c r="AH89" s="268"/>
      <c r="AI89" s="268"/>
      <c r="AJ89" s="268"/>
    </row>
    <row r="90" spans="1:36" s="246" customFormat="1">
      <c r="A90" s="249"/>
      <c r="D90" s="247"/>
      <c r="E90" s="268"/>
      <c r="F90" s="268"/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  <c r="X90" s="268"/>
      <c r="Y90" s="268"/>
      <c r="Z90" s="268"/>
      <c r="AA90" s="268"/>
      <c r="AB90" s="268"/>
      <c r="AC90" s="268"/>
      <c r="AD90" s="268"/>
      <c r="AE90" s="268"/>
      <c r="AF90" s="268"/>
      <c r="AG90" s="268"/>
      <c r="AH90" s="268"/>
      <c r="AI90" s="268"/>
      <c r="AJ90" s="268"/>
    </row>
    <row r="91" spans="1:36" s="246" customFormat="1">
      <c r="A91" s="249"/>
      <c r="D91" s="247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</row>
    <row r="92" spans="1:36" s="246" customFormat="1">
      <c r="A92" s="245"/>
      <c r="D92" s="247"/>
      <c r="E92" s="248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</row>
    <row r="93" spans="1:36" s="246" customFormat="1">
      <c r="A93" s="249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</row>
    <row r="94" spans="1:36" s="246" customFormat="1">
      <c r="A94" s="249"/>
      <c r="D94" s="247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</row>
    <row r="95" spans="1:36" s="246" customFormat="1">
      <c r="A95" s="249"/>
      <c r="D95" s="247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13"/>
    </row>
    <row r="96" spans="1:36" s="246" customFormat="1">
      <c r="A96" s="249"/>
      <c r="D96" s="250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I96" s="213"/>
      <c r="AJ96" s="213"/>
    </row>
    <row r="97" spans="1:36" s="246" customFormat="1">
      <c r="A97" s="249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12"/>
      <c r="AH97" s="212"/>
      <c r="AI97" s="212"/>
      <c r="AJ97" s="212"/>
    </row>
    <row r="98" spans="1:36" s="246" customFormat="1">
      <c r="A98" s="249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2"/>
      <c r="AH98" s="212"/>
      <c r="AI98" s="212"/>
      <c r="AJ98" s="212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1" manualBreakCount="31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49"/>
  <sheetViews>
    <sheetView view="pageBreakPreview" zoomScale="115" zoomScaleNormal="100" zoomScaleSheetLayoutView="115" workbookViewId="0">
      <selection sqref="A1:F1"/>
    </sheetView>
  </sheetViews>
  <sheetFormatPr defaultColWidth="11.42578125" defaultRowHeight="12.75"/>
  <cols>
    <col min="1" max="1" width="6.42578125" style="36" customWidth="1"/>
    <col min="2" max="2" width="12.5703125" style="328" customWidth="1"/>
    <col min="3" max="3" width="41.85546875" style="36" customWidth="1"/>
    <col min="4" max="5" width="11.42578125" style="36" customWidth="1"/>
    <col min="6" max="6" width="7.7109375" style="426" customWidth="1"/>
    <col min="7" max="7" width="7.28515625" style="425" hidden="1" customWidth="1"/>
    <col min="8" max="8" width="10.5703125" style="426" hidden="1" customWidth="1"/>
    <col min="9" max="9" width="7.28515625" style="606" customWidth="1"/>
    <col min="10" max="10" width="8.42578125" style="670" customWidth="1"/>
    <col min="11" max="11" width="9" style="36" customWidth="1"/>
    <col min="12" max="12" width="11.42578125" style="36" customWidth="1"/>
    <col min="13" max="16384" width="11.42578125" style="36"/>
  </cols>
  <sheetData>
    <row r="1" spans="1:15">
      <c r="A1" s="791">
        <f>'Exh. No. BGM 4 4'!A2</f>
        <v>0</v>
      </c>
      <c r="B1" s="791"/>
      <c r="C1" s="791"/>
      <c r="D1" s="791"/>
      <c r="E1" s="791"/>
      <c r="F1" s="791"/>
      <c r="G1" s="181"/>
      <c r="H1" s="36"/>
      <c r="I1" s="605"/>
      <c r="K1" s="167"/>
      <c r="L1" s="53"/>
    </row>
    <row r="2" spans="1:15">
      <c r="A2" s="803" t="s">
        <v>71</v>
      </c>
      <c r="B2" s="803"/>
      <c r="C2" s="803"/>
      <c r="D2" s="803"/>
      <c r="E2" s="803"/>
      <c r="F2" s="803"/>
      <c r="G2" s="181"/>
      <c r="H2" s="36"/>
      <c r="K2" s="167"/>
      <c r="L2" s="52"/>
    </row>
    <row r="3" spans="1:15" s="52" customFormat="1">
      <c r="A3" s="802" t="s">
        <v>155</v>
      </c>
      <c r="B3" s="802"/>
      <c r="C3" s="802"/>
      <c r="D3" s="802"/>
      <c r="E3" s="802"/>
      <c r="F3" s="802"/>
      <c r="G3" s="425"/>
      <c r="H3" s="426"/>
      <c r="I3" s="607"/>
      <c r="J3" s="671"/>
      <c r="K3" s="54"/>
      <c r="L3" s="55"/>
    </row>
    <row r="4" spans="1:15" s="52" customFormat="1">
      <c r="A4" s="802" t="str">
        <f>'not used PROP0SED RATES-2018'!A4</f>
        <v>TWELVE MONTHS ENDED DECEMBER 31, 2016</v>
      </c>
      <c r="B4" s="802"/>
      <c r="C4" s="802"/>
      <c r="D4" s="802"/>
      <c r="E4" s="802"/>
      <c r="F4" s="802"/>
      <c r="G4" s="425"/>
      <c r="H4" s="426"/>
      <c r="I4" s="607"/>
      <c r="J4" s="671"/>
      <c r="K4" s="54"/>
      <c r="L4" s="55"/>
    </row>
    <row r="5" spans="1:15" s="52" customFormat="1">
      <c r="A5" s="36"/>
      <c r="B5" s="328"/>
      <c r="C5" s="36"/>
      <c r="D5" s="428"/>
      <c r="E5" s="428" t="s">
        <v>71</v>
      </c>
      <c r="F5" s="426"/>
      <c r="G5" s="425"/>
      <c r="H5" s="426"/>
      <c r="I5" s="607"/>
      <c r="J5" s="671"/>
      <c r="K5" s="54"/>
      <c r="L5" s="57"/>
    </row>
    <row r="6" spans="1:15">
      <c r="A6" s="428" t="s">
        <v>72</v>
      </c>
      <c r="B6" s="428" t="s">
        <v>254</v>
      </c>
      <c r="C6" s="428" t="s">
        <v>73</v>
      </c>
      <c r="D6" s="428" t="s">
        <v>74</v>
      </c>
      <c r="E6" s="428" t="s">
        <v>19</v>
      </c>
      <c r="F6" s="67" t="s">
        <v>75</v>
      </c>
      <c r="G6" s="194" t="s">
        <v>125</v>
      </c>
      <c r="H6" s="428" t="s">
        <v>126</v>
      </c>
      <c r="I6" s="608" t="s">
        <v>197</v>
      </c>
      <c r="J6" s="672" t="s">
        <v>198</v>
      </c>
      <c r="K6" s="422" t="s">
        <v>441</v>
      </c>
      <c r="L6" s="427"/>
    </row>
    <row r="7" spans="1:15">
      <c r="A7" s="558" t="s">
        <v>493</v>
      </c>
      <c r="B7" s="427"/>
      <c r="C7" s="427"/>
      <c r="D7" s="427"/>
      <c r="E7" s="427"/>
      <c r="F7" s="427"/>
      <c r="G7" s="418"/>
      <c r="H7" s="427"/>
      <c r="I7" s="607"/>
      <c r="J7" s="671"/>
      <c r="K7" s="52"/>
      <c r="L7" s="427"/>
    </row>
    <row r="8" spans="1:15">
      <c r="A8" s="478">
        <f>'Exh. No. BGM 4 4'!E$11</f>
        <v>1</v>
      </c>
      <c r="B8" s="330" t="str">
        <f>'Exh. No. BGM 4 4'!E$12</f>
        <v>G-ROO</v>
      </c>
      <c r="C8" s="63" t="str">
        <f>TRIM(CONCATENATE('Exh. No. BGM 4 4'!E$8," ",'Exh. No. BGM 4 4'!E$9," ",'Exh. No. BGM 4 4'!E$10))</f>
        <v>Per Results Report</v>
      </c>
      <c r="D8" s="64">
        <f>'Exh. No. BGM 4 4'!E$59</f>
        <v>23458</v>
      </c>
      <c r="E8" s="64">
        <f>'Exh. No. BGM 4 4'!E$82</f>
        <v>287787</v>
      </c>
      <c r="G8" s="425" t="s">
        <v>188</v>
      </c>
      <c r="I8" s="606" t="s">
        <v>135</v>
      </c>
      <c r="K8" s="664" t="s">
        <v>127</v>
      </c>
      <c r="L8" s="143"/>
      <c r="M8" s="557"/>
      <c r="N8" s="557"/>
      <c r="O8" s="557"/>
    </row>
    <row r="9" spans="1:15">
      <c r="A9" s="478">
        <f>'Exh. No. BGM 4 4'!F$11</f>
        <v>1.01</v>
      </c>
      <c r="B9" s="330" t="str">
        <f>'Exh. No. BGM 4 4'!F$12</f>
        <v>G-DFIT</v>
      </c>
      <c r="C9" s="63" t="str">
        <f>TRIM(CONCATENATE('Exh. No. BGM 4 4'!F$8," ",'Exh. No. BGM 4 4'!F$9," ",'Exh. No. BGM 4 4'!F$10))</f>
        <v>Deferred FIT Rate Base</v>
      </c>
      <c r="D9" s="198">
        <f>'Exh. No. BGM 4 4'!F$59</f>
        <v>-3.0485000000000002</v>
      </c>
      <c r="E9" s="198">
        <f>'Exh. No. BGM 4 4'!F$82</f>
        <v>-325</v>
      </c>
      <c r="G9" s="425" t="s">
        <v>131</v>
      </c>
      <c r="H9" s="36"/>
      <c r="I9" s="606" t="s">
        <v>480</v>
      </c>
      <c r="K9" s="664" t="s">
        <v>127</v>
      </c>
      <c r="L9" s="143"/>
      <c r="M9" s="557"/>
      <c r="N9" s="557"/>
      <c r="O9" s="557"/>
    </row>
    <row r="10" spans="1:15">
      <c r="A10" s="478">
        <f>'Exh. No. BGM 4 4'!G$11</f>
        <v>1.02</v>
      </c>
      <c r="B10" s="330" t="str">
        <f>'Exh. No. BGM 4 4'!G$12</f>
        <v>G-DDC</v>
      </c>
      <c r="C10" s="63" t="str">
        <f>TRIM(CONCATENATE('Exh. No. BGM 4 4'!G$8," ",'Exh. No. BGM 4 4'!G$9," ",'Exh. No. BGM 4 4'!G$10))</f>
        <v>Deferred Debits and Credits</v>
      </c>
      <c r="D10" s="198">
        <f>'Exh. No. BGM 4 4'!G$59</f>
        <v>-1.3</v>
      </c>
      <c r="E10" s="198">
        <f>'Exh. No. BGM 4 4'!G$82</f>
        <v>0</v>
      </c>
      <c r="G10" s="425" t="s">
        <v>188</v>
      </c>
      <c r="I10" s="606" t="s">
        <v>518</v>
      </c>
      <c r="K10" s="664" t="s">
        <v>127</v>
      </c>
      <c r="L10" s="143"/>
      <c r="M10" s="557"/>
      <c r="N10" s="557"/>
      <c r="O10" s="557"/>
    </row>
    <row r="11" spans="1:15">
      <c r="A11" s="478">
        <f>'Exh. No. BGM 4 4'!H$11</f>
        <v>1.03</v>
      </c>
      <c r="B11" s="330" t="str">
        <f>'Exh. No. BGM 4 4'!H$12</f>
        <v>G-WC</v>
      </c>
      <c r="C11" s="63" t="str">
        <f>TRIM(CONCATENATE('Exh. No. BGM 4 4'!H$8," ",'Exh. No. BGM 4 4'!H$9," ",'Exh. No. BGM 4 4'!H$10))</f>
        <v>Working Capital</v>
      </c>
      <c r="D11" s="198">
        <f>'Exh. No. BGM 4 4'!H$59</f>
        <v>-8.1043199999999995</v>
      </c>
      <c r="E11" s="198">
        <f>'Exh. No. BGM 4 4'!H$82</f>
        <v>-864</v>
      </c>
      <c r="G11" s="425" t="s">
        <v>188</v>
      </c>
      <c r="I11" s="606" t="s">
        <v>135</v>
      </c>
      <c r="K11" s="664" t="s">
        <v>127</v>
      </c>
      <c r="L11" s="55"/>
    </row>
    <row r="12" spans="1:15">
      <c r="A12" s="478">
        <f>'Exh. No. BGM 4 4'!I$11</f>
        <v>2.0099999999999998</v>
      </c>
      <c r="B12" s="330" t="str">
        <f>'Exh. No. BGM 4 4'!I$12</f>
        <v>G-EBO</v>
      </c>
      <c r="C12" s="63" t="str">
        <f>TRIM(CONCATENATE('Exh. No. BGM 4 4'!I$8," ",'Exh. No. BGM 4 4'!I$9," ",'Exh. No. BGM 4 4'!I$10))</f>
        <v>Eliminate B &amp; O Taxes</v>
      </c>
      <c r="D12" s="198">
        <f>'Exh. No. BGM 4 4'!I$59</f>
        <v>-20.8</v>
      </c>
      <c r="E12" s="198">
        <f>'Exh. No. BGM 4 4'!I$82</f>
        <v>0</v>
      </c>
      <c r="G12" s="425" t="s">
        <v>188</v>
      </c>
      <c r="I12" s="606" t="s">
        <v>480</v>
      </c>
      <c r="K12" s="664" t="s">
        <v>127</v>
      </c>
      <c r="L12" s="55"/>
    </row>
    <row r="13" spans="1:15">
      <c r="A13" s="478">
        <f>'Exh. No. BGM 4 4'!J$11</f>
        <v>2.0199999999999996</v>
      </c>
      <c r="B13" s="330" t="str">
        <f>'Exh. No. BGM 4 4'!J$12</f>
        <v>G-RPT</v>
      </c>
      <c r="C13" s="63" t="str">
        <f>TRIM(CONCATENATE('Exh. No. BGM 4 4'!J$8," ",'Exh. No. BGM 4 4'!J$9," ",'Exh. No. BGM 4 4'!J$10))</f>
        <v>Restate Property Tax</v>
      </c>
      <c r="D13" s="198">
        <f>'Exh. No. BGM 4 4'!J$59</f>
        <v>-243.75</v>
      </c>
      <c r="E13" s="198">
        <f>'Exh. No. BGM 4 4'!J$82</f>
        <v>0</v>
      </c>
      <c r="G13" s="425" t="s">
        <v>188</v>
      </c>
      <c r="I13" s="606" t="s">
        <v>135</v>
      </c>
      <c r="K13" s="664" t="s">
        <v>127</v>
      </c>
      <c r="L13" s="55"/>
    </row>
    <row r="14" spans="1:15">
      <c r="A14" s="478">
        <f>'Exh. No. BGM 4 4'!K$11</f>
        <v>2.0299999999999994</v>
      </c>
      <c r="B14" s="330" t="str">
        <f>'Exh. No. BGM 4 4'!K$12</f>
        <v>G-UE</v>
      </c>
      <c r="C14" s="63" t="str">
        <f>TRIM(CONCATENATE('Exh. No. BGM 4 4'!K$8," ",'Exh. No. BGM 4 4'!K$9," ",'Exh. No. BGM 4 4'!K$10))</f>
        <v>Uncollectible Expense</v>
      </c>
      <c r="D14" s="198">
        <f>'Exh. No. BGM 4 4'!K$59</f>
        <v>383.5</v>
      </c>
      <c r="E14" s="198">
        <f>'Exh. No. BGM 4 4'!K$82</f>
        <v>0</v>
      </c>
      <c r="G14" s="425" t="s">
        <v>188</v>
      </c>
      <c r="I14" s="606" t="s">
        <v>460</v>
      </c>
      <c r="K14" s="664" t="s">
        <v>127</v>
      </c>
      <c r="L14" s="55"/>
    </row>
    <row r="15" spans="1:15">
      <c r="A15" s="478">
        <f>'Exh. No. BGM 4 4'!L$11</f>
        <v>2.0399999999999991</v>
      </c>
      <c r="B15" s="330" t="str">
        <f>'Exh. No. BGM 4 4'!L$12</f>
        <v>G-RE</v>
      </c>
      <c r="C15" s="63" t="str">
        <f>TRIM(CONCATENATE('Exh. No. BGM 4 4'!L$8," ",'Exh. No. BGM 4 4'!L$9," ",'Exh. No. BGM 4 4'!L$10))</f>
        <v>Regulatory Expense</v>
      </c>
      <c r="D15" s="198">
        <f>'Exh. No. BGM 4 4'!L$59</f>
        <v>1.9500000000000002</v>
      </c>
      <c r="E15" s="198">
        <f>'Exh. No. BGM 4 4'!L$82</f>
        <v>0</v>
      </c>
      <c r="G15" s="425" t="s">
        <v>172</v>
      </c>
      <c r="I15" s="606" t="s">
        <v>518</v>
      </c>
      <c r="K15" s="664" t="s">
        <v>127</v>
      </c>
      <c r="L15" s="55"/>
    </row>
    <row r="16" spans="1:15">
      <c r="A16" s="478">
        <f>'Exh. No. BGM 4 4'!M$11</f>
        <v>2.0499999999999989</v>
      </c>
      <c r="B16" s="330" t="str">
        <f>'Exh. No. BGM 4 4'!M$12</f>
        <v>G-ID</v>
      </c>
      <c r="C16" s="63" t="str">
        <f>TRIM(CONCATENATE('Exh. No. BGM 4 4'!M$8," ",'Exh. No. BGM 4 4'!M$9," ",'Exh. No. BGM 4 4'!M$10))</f>
        <v>Injuries &amp; Damages</v>
      </c>
      <c r="D16" s="198">
        <f>'Exh. No. BGM 4 4'!M$59</f>
        <v>-49.400000000000006</v>
      </c>
      <c r="E16" s="198">
        <f>'Exh. No. BGM 4 4'!M$82</f>
        <v>0</v>
      </c>
      <c r="G16" s="425" t="s">
        <v>172</v>
      </c>
      <c r="I16" s="606" t="s">
        <v>518</v>
      </c>
      <c r="K16" s="664" t="s">
        <v>127</v>
      </c>
      <c r="L16" s="55"/>
    </row>
    <row r="17" spans="1:13">
      <c r="A17" s="478">
        <f>'Exh. No. BGM 4 4'!N$11</f>
        <v>2.0599999999999987</v>
      </c>
      <c r="B17" s="330" t="str">
        <f>'Exh. No. BGM 4 4'!N$12</f>
        <v>G-FIT</v>
      </c>
      <c r="C17" s="63" t="str">
        <f>TRIM(CONCATENATE('Exh. No. BGM 4 4'!N$8," ",'Exh. No. BGM 4 4'!N$9," ",'Exh. No. BGM 4 4'!N$10))</f>
        <v>FIT / DFIT Expense</v>
      </c>
      <c r="D17" s="479">
        <f>'Exh. No. BGM 4 4'!N$59</f>
        <v>0</v>
      </c>
      <c r="E17" s="198">
        <f>'Exh. No. BGM 4 4'!N$82</f>
        <v>0</v>
      </c>
      <c r="G17" s="425" t="s">
        <v>131</v>
      </c>
      <c r="H17" s="36"/>
      <c r="I17" s="606" t="s">
        <v>480</v>
      </c>
      <c r="K17" s="664" t="s">
        <v>127</v>
      </c>
      <c r="L17" s="55"/>
    </row>
    <row r="18" spans="1:13">
      <c r="A18" s="478">
        <f>'Exh. No. BGM 4 4'!O$11</f>
        <v>2.0699999999999985</v>
      </c>
      <c r="B18" s="330" t="str">
        <f>'Exh. No. BGM 4 4'!O$12</f>
        <v>G-OSC</v>
      </c>
      <c r="C18" s="63" t="str">
        <f>TRIM(CONCATENATE('Exh. No. BGM 4 4'!O$8," ",'Exh. No. BGM 4 4'!O$9," ",'Exh. No. BGM 4 4'!O$10))</f>
        <v>Office Space Charges to Subs</v>
      </c>
      <c r="D18" s="198">
        <f>'Exh. No. BGM 4 4'!O$59</f>
        <v>5.85</v>
      </c>
      <c r="E18" s="198">
        <f>'Exh. No. BGM 4 4'!O$82</f>
        <v>0</v>
      </c>
      <c r="G18" s="425" t="s">
        <v>188</v>
      </c>
      <c r="H18" s="36"/>
      <c r="I18" s="606" t="s">
        <v>460</v>
      </c>
      <c r="K18" s="664" t="s">
        <v>127</v>
      </c>
      <c r="L18" s="55"/>
    </row>
    <row r="19" spans="1:13">
      <c r="A19" s="478">
        <f>'Exh. No. BGM 4 4'!P$11</f>
        <v>2.0799999999999983</v>
      </c>
      <c r="B19" s="330" t="str">
        <f>'Exh. No. BGM 4 4'!P$12</f>
        <v>G-RET</v>
      </c>
      <c r="C19" s="63" t="str">
        <f>TRIM(CONCATENATE('Exh. No. BGM 4 4'!P$8," ",'Exh. No. BGM 4 4'!P$9," ",'Exh. No. BGM 4 4'!P$10))</f>
        <v>Restate Excise Taxes</v>
      </c>
      <c r="D19" s="198">
        <f>'Exh. No. BGM 4 4'!P$59</f>
        <v>-1.3</v>
      </c>
      <c r="E19" s="198">
        <f>'Exh. No. BGM 4 4'!P$82</f>
        <v>0</v>
      </c>
      <c r="G19" s="425" t="s">
        <v>188</v>
      </c>
      <c r="H19" s="36"/>
      <c r="I19" s="606" t="s">
        <v>480</v>
      </c>
      <c r="K19" s="664" t="s">
        <v>127</v>
      </c>
      <c r="L19" s="55"/>
    </row>
    <row r="20" spans="1:13">
      <c r="A20" s="478">
        <f>'Exh. No. BGM 4 4'!Q$11</f>
        <v>2.0899999999999981</v>
      </c>
      <c r="B20" s="330" t="str">
        <f>'Exh. No. BGM 4 4'!Q$12</f>
        <v>G-NGL</v>
      </c>
      <c r="C20" s="63" t="str">
        <f>TRIM(CONCATENATE('Exh. No. BGM 4 4'!Q$8," ",'Exh. No. BGM 4 4'!Q$9," ",'Exh. No. BGM 4 4'!Q$10))</f>
        <v>Net Gains &amp; Losses</v>
      </c>
      <c r="D20" s="198">
        <f>'Exh. No. BGM 4 4'!Q$59</f>
        <v>8.4499999999999993</v>
      </c>
      <c r="E20" s="198">
        <f>'Exh. No. BGM 4 4'!Q$82</f>
        <v>0</v>
      </c>
      <c r="G20" s="425" t="s">
        <v>172</v>
      </c>
      <c r="I20" s="606" t="s">
        <v>518</v>
      </c>
      <c r="K20" s="664" t="s">
        <v>127</v>
      </c>
      <c r="L20" s="55"/>
    </row>
    <row r="21" spans="1:13">
      <c r="A21" s="478">
        <f>'Exh. No. BGM 4 4'!R$11</f>
        <v>2.0999999999999979</v>
      </c>
      <c r="B21" s="330" t="str">
        <f>'Exh. No. BGM 4 4'!R$12</f>
        <v>G-WNGC</v>
      </c>
      <c r="C21" s="63" t="str">
        <f>TRIM(CONCATENATE('Exh. No. BGM 4 4'!R$8," ",'Exh. No. BGM 4 4'!R$9," ",'Exh. No. BGM 4 4'!R$10))</f>
        <v>Weather Normalization / Gas Cost Adjust</v>
      </c>
      <c r="D21" s="198">
        <f>'Exh. No. BGM 4 4'!R$59</f>
        <v>-2.6</v>
      </c>
      <c r="E21" s="198">
        <f>'Exh. No. BGM 4 4'!R$82</f>
        <v>0</v>
      </c>
      <c r="G21" s="425" t="s">
        <v>191</v>
      </c>
      <c r="H21" s="36"/>
      <c r="I21" s="606" t="s">
        <v>480</v>
      </c>
      <c r="K21" s="664" t="s">
        <v>127</v>
      </c>
      <c r="L21" s="55"/>
    </row>
    <row r="22" spans="1:13" s="493" customFormat="1">
      <c r="A22" s="509">
        <f>'Exh. No. BGM 4 4'!S$11</f>
        <v>2.1099999999999977</v>
      </c>
      <c r="B22" s="510" t="str">
        <f>'Exh. No. BGM 4 4'!S$12</f>
        <v>G-EAS</v>
      </c>
      <c r="C22" s="499" t="str">
        <f>TRIM(CONCATENATE('Exh. No. BGM 4 4'!S$8," ",'Exh. No. BGM 4 4'!S$9," ",'Exh. No. BGM 4 4'!S$10))</f>
        <v>Eliminate Adder Schedules</v>
      </c>
      <c r="D22" s="500">
        <f>'Exh. No. BGM 4 4'!S$59</f>
        <v>-310.05</v>
      </c>
      <c r="E22" s="500">
        <f>'Exh. No. BGM 4 4'!S$82</f>
        <v>0</v>
      </c>
      <c r="F22" s="496"/>
      <c r="G22" s="494" t="s">
        <v>191</v>
      </c>
      <c r="I22" s="606" t="s">
        <v>518</v>
      </c>
      <c r="J22" s="673"/>
      <c r="K22" s="664" t="s">
        <v>127</v>
      </c>
      <c r="L22" s="498"/>
    </row>
    <row r="23" spans="1:13" s="144" customFormat="1">
      <c r="A23" s="478">
        <f>'Exh. No. BGM 4 4'!T$11</f>
        <v>2.1199999999999974</v>
      </c>
      <c r="B23" s="330" t="str">
        <f>'Exh. No. BGM 4 4'!T$12</f>
        <v>G-MR</v>
      </c>
      <c r="C23" s="480" t="str">
        <f>TRIM(CONCATENATE('Exh. No. BGM 4 4'!T$8," ",'Exh. No. BGM 4 4'!T$9," ",'Exh. No. BGM 4 4'!T$10))</f>
        <v>Misc. Restating Non-Util / Non- Recurring Expenses</v>
      </c>
      <c r="D23" s="479">
        <f>'Exh. No. BGM 4 4'!T$59</f>
        <v>204.75</v>
      </c>
      <c r="E23" s="479">
        <f>'Exh. No. BGM 4 4'!T$82</f>
        <v>0</v>
      </c>
      <c r="F23" s="65"/>
      <c r="G23" s="425" t="s">
        <v>190</v>
      </c>
      <c r="H23" s="426"/>
      <c r="I23" s="606" t="s">
        <v>518</v>
      </c>
      <c r="J23" s="670"/>
      <c r="K23" s="677" t="s">
        <v>127</v>
      </c>
      <c r="L23" s="143"/>
    </row>
    <row r="24" spans="1:13" ht="13.5" customHeight="1">
      <c r="A24" s="478">
        <f>'Exh. No. BGM 4 4'!U$11</f>
        <v>2.1299999999999972</v>
      </c>
      <c r="B24" s="330" t="str">
        <f>'Exh. No. BGM 4 4'!U$12</f>
        <v>G-CD</v>
      </c>
      <c r="C24" s="63" t="str">
        <f>TRIM(CONCATENATE('Exh. No. BGM 4 4'!U$8," ",'Exh. No. BGM 4 4'!U$9," ",'Exh. No. BGM 4 4'!U$10))</f>
        <v>Project Compass Deferral</v>
      </c>
      <c r="D24" s="198">
        <f>'Exh. No. BGM 4 4'!U$59</f>
        <v>-701.35</v>
      </c>
      <c r="E24" s="198">
        <f>'Exh. No. BGM 4 4'!U$82</f>
        <v>0</v>
      </c>
      <c r="G24" s="425" t="s">
        <v>188</v>
      </c>
      <c r="H24" s="36"/>
      <c r="I24" s="606" t="s">
        <v>127</v>
      </c>
      <c r="K24" s="664" t="s">
        <v>127</v>
      </c>
      <c r="L24" s="55"/>
    </row>
    <row r="25" spans="1:13" s="553" customFormat="1" ht="13.5" customHeight="1">
      <c r="A25" s="561">
        <f>'Exh. No. BGM 4 4'!V$11</f>
        <v>2.139999999999997</v>
      </c>
      <c r="B25" s="562" t="str">
        <f>'Exh. No. BGM 4 4'!V$12</f>
        <v>G-RI</v>
      </c>
      <c r="C25" s="499" t="str">
        <f>TRIM(CONCATENATE('Exh. No. BGM 4 4'!V$8," ",'Exh. No. BGM 4 4'!V$9," ",'Exh. No. BGM 4 4'!V$10))</f>
        <v>Restating Incentives</v>
      </c>
      <c r="D25" s="556">
        <f>'Exh. No. BGM 4 4'!V$59</f>
        <v>117.65</v>
      </c>
      <c r="E25" s="556">
        <f>'Exh. No. BGM 4 4'!V$82</f>
        <v>0</v>
      </c>
      <c r="F25" s="680"/>
      <c r="G25" s="679" t="s">
        <v>188</v>
      </c>
      <c r="I25" s="606" t="s">
        <v>257</v>
      </c>
      <c r="J25" s="670"/>
      <c r="K25" s="712" t="s">
        <v>127</v>
      </c>
      <c r="L25" s="498"/>
    </row>
    <row r="26" spans="1:13" s="144" customFormat="1" ht="13.5" customHeight="1">
      <c r="A26" s="478">
        <f>'Exh. No. BGM 4 4'!W$11</f>
        <v>2.1499999999999968</v>
      </c>
      <c r="B26" s="330" t="str">
        <f>'Exh. No. BGM 4 4'!W$12</f>
        <v>G-DI</v>
      </c>
      <c r="C26" s="480" t="str">
        <f>TRIM(CONCATENATE('Exh. No. BGM 4 4'!W$8," ",'Exh. No. BGM 4 4'!W$9," ",'Exh. No. BGM 4 4'!W$10))</f>
        <v>Restate Debt Interest</v>
      </c>
      <c r="D26" s="479">
        <f>'Exh. No. BGM 4 4'!W$59</f>
        <v>-40</v>
      </c>
      <c r="E26" s="479">
        <f>'Exh. No. BGM 4 4'!W$82</f>
        <v>0</v>
      </c>
      <c r="F26" s="65"/>
      <c r="G26" s="195"/>
      <c r="H26" s="65" t="s">
        <v>127</v>
      </c>
      <c r="I26" s="606" t="s">
        <v>127</v>
      </c>
      <c r="J26" s="670"/>
      <c r="K26" s="712" t="s">
        <v>127</v>
      </c>
    </row>
    <row r="27" spans="1:13" ht="13.5" customHeight="1">
      <c r="A27" s="478"/>
      <c r="B27" s="330"/>
      <c r="C27" s="63"/>
      <c r="D27" s="198"/>
      <c r="E27" s="198"/>
      <c r="K27" s="52"/>
      <c r="L27" s="55"/>
    </row>
    <row r="28" spans="1:13" ht="13.5" thickBot="1">
      <c r="A28" s="261"/>
      <c r="B28" s="329"/>
      <c r="C28" s="36" t="s">
        <v>77</v>
      </c>
      <c r="D28" s="66">
        <f>SUM(D8:D27)</f>
        <v>22798.447180000006</v>
      </c>
      <c r="E28" s="66">
        <f>SUM(E8:E27)</f>
        <v>286598</v>
      </c>
      <c r="F28" s="649"/>
      <c r="H28" s="481" t="str">
        <f>'Exh. No. BGM 4 4'!X83</f>
        <v>(1)</v>
      </c>
      <c r="J28" s="671"/>
      <c r="K28" s="52"/>
      <c r="L28" s="55"/>
    </row>
    <row r="29" spans="1:13" ht="13.5" customHeight="1" thickTop="1">
      <c r="A29" s="197" t="s">
        <v>454</v>
      </c>
      <c r="B29" s="330"/>
      <c r="D29" s="63"/>
      <c r="H29" s="36"/>
      <c r="J29" s="671"/>
      <c r="K29" s="52"/>
      <c r="L29" s="55"/>
    </row>
    <row r="30" spans="1:13" s="553" customFormat="1">
      <c r="A30" s="561">
        <f>'Exh. No. BGM 4 4'!Y$11</f>
        <v>3.01</v>
      </c>
      <c r="B30" s="562" t="str">
        <f>'Exh. No. BGM 4 4'!Y$12</f>
        <v>G-PAT</v>
      </c>
      <c r="C30" s="559" t="str">
        <f>TRIM(CONCATENATE('Exh. No. BGM 4 4'!Y$8," ",'Exh. No. BGM 4 4'!Y$9," ",'Exh. No. BGM 4 4'!Y$10))</f>
        <v>Pro Forma Atmospheric Testing &amp; Leak Survey</v>
      </c>
      <c r="D30" s="556">
        <f>'Exh. No. BGM 4 4'!Y$59</f>
        <v>-226.2</v>
      </c>
      <c r="E30" s="556">
        <f>'Exh. No. BGM 4 4'!Y$82</f>
        <v>0</v>
      </c>
      <c r="F30" s="555"/>
      <c r="G30" s="554" t="s">
        <v>187</v>
      </c>
      <c r="H30" s="555"/>
      <c r="I30" s="680" t="s">
        <v>127</v>
      </c>
      <c r="J30" s="670"/>
      <c r="L30" s="143"/>
      <c r="M30" s="557"/>
    </row>
    <row r="31" spans="1:13">
      <c r="A31" s="478">
        <f>'Exh. No. BGM 4 4'!Z$11</f>
        <v>3.0199999999999996</v>
      </c>
      <c r="B31" s="330" t="str">
        <f>'Exh. No. BGM 4 4'!Z$12</f>
        <v>G-PLN</v>
      </c>
      <c r="C31" s="63" t="str">
        <f>TRIM(CONCATENATE('Exh. No. BGM 4 4'!Z$8," ",'Exh. No. BGM 4 4'!Z$9," ",'Exh. No. BGM 4 4'!Z$10))</f>
        <v>Pro Forma Labor Non-Exec</v>
      </c>
      <c r="D31" s="198">
        <f>'Exh. No. BGM 4 4'!Z$59</f>
        <v>-304.87664999999998</v>
      </c>
      <c r="E31" s="198">
        <f>'Exh. No. BGM 4 4'!Z$82</f>
        <v>0</v>
      </c>
      <c r="G31" s="425" t="s">
        <v>172</v>
      </c>
      <c r="I31" s="685" t="s">
        <v>257</v>
      </c>
      <c r="K31" s="553"/>
      <c r="L31" s="55"/>
    </row>
    <row r="32" spans="1:13" ht="13.5" customHeight="1">
      <c r="A32" s="478">
        <f>'Exh. No. BGM 4 4'!AA$11</f>
        <v>3.0299999999999994</v>
      </c>
      <c r="B32" s="330" t="str">
        <f>'Exh. No. BGM 4 4'!AA$12</f>
        <v>G-PLE</v>
      </c>
      <c r="C32" s="63" t="str">
        <f>TRIM(CONCATENATE('Exh. No. BGM 4 4'!AA$8," ",'Exh. No. BGM 4 4'!AA$9," ",'Exh. No. BGM 4 4'!AA$10))</f>
        <v>Pro Forma Labor Exec</v>
      </c>
      <c r="D32" s="198">
        <f>'Exh. No. BGM 4 4'!AA$59</f>
        <v>6.5</v>
      </c>
      <c r="E32" s="198">
        <f>'Exh. No. BGM 4 4'!AA$82</f>
        <v>0</v>
      </c>
      <c r="G32" s="425" t="s">
        <v>172</v>
      </c>
      <c r="I32" s="681" t="s">
        <v>257</v>
      </c>
      <c r="K32" s="553"/>
      <c r="L32" s="55"/>
    </row>
    <row r="33" spans="1:13">
      <c r="A33" s="478">
        <f>'Exh. No. BGM 4 4'!AB$11</f>
        <v>3.0399999999999991</v>
      </c>
      <c r="B33" s="330" t="str">
        <f>'Exh. No. BGM 4 4'!AB$12</f>
        <v>G-PEB</v>
      </c>
      <c r="C33" s="63" t="str">
        <f>TRIM(CONCATENATE('Exh. No. BGM 4 4'!AB$8," ",'Exh. No. BGM 4 4'!AB$9," ",'Exh. No. BGM 4 4'!AB$10))</f>
        <v>Pro Forma Employee Benefits</v>
      </c>
      <c r="D33" s="198">
        <f>'Exh. No. BGM 4 4'!AB$59</f>
        <v>114.4</v>
      </c>
      <c r="E33" s="198">
        <f>'Exh. No. BGM 4 4'!AB$82</f>
        <v>0</v>
      </c>
      <c r="G33" s="425" t="s">
        <v>172</v>
      </c>
      <c r="I33" s="685" t="s">
        <v>257</v>
      </c>
      <c r="K33" s="553"/>
      <c r="L33" s="55"/>
    </row>
    <row r="34" spans="1:13" s="144" customFormat="1" ht="14.25" customHeight="1">
      <c r="A34" s="478">
        <f>'Exh. No. BGM 4 4'!AC$11</f>
        <v>3.0499999999999989</v>
      </c>
      <c r="B34" s="330" t="str">
        <f>'Exh. No. BGM 4 4'!AC$12</f>
        <v>G-PI</v>
      </c>
      <c r="C34" s="480" t="str">
        <f>TRIM(CONCATENATE('Exh. No. BGM 4 4'!AC$8," ",'Exh. No. BGM 4 4'!AC$9," ",'Exh. No. BGM 4 4'!AC$10))</f>
        <v>Pro Forma Incentive Adjustment</v>
      </c>
      <c r="D34" s="479">
        <f>'Exh. No. BGM 4 4'!AC$59</f>
        <v>-22.1</v>
      </c>
      <c r="E34" s="479">
        <f>'Exh. No. BGM 4 4'!AC$82</f>
        <v>0</v>
      </c>
      <c r="F34" s="65"/>
      <c r="G34" s="195"/>
      <c r="H34" s="65"/>
      <c r="I34" s="606" t="s">
        <v>257</v>
      </c>
      <c r="J34" s="670"/>
      <c r="K34" s="553"/>
      <c r="L34" s="143"/>
    </row>
    <row r="35" spans="1:13">
      <c r="A35" s="478">
        <f>'Exh. No. BGM 4 4'!AD$11</f>
        <v>3.0599999999999987</v>
      </c>
      <c r="B35" s="330" t="str">
        <f>'Exh. No. BGM 4 4'!AD$12</f>
        <v>G-PPT</v>
      </c>
      <c r="C35" s="63" t="str">
        <f>TRIM(CONCATENATE('Exh. No. BGM 4 4'!AD$8," ",'Exh. No. BGM 4 4'!AD$9," ",'Exh. No. BGM 4 4'!AD$10))</f>
        <v>Pro Forma Property Tax</v>
      </c>
      <c r="D35" s="198">
        <f>'Exh. No. BGM 4 4'!AD$59</f>
        <v>-309.39999999999998</v>
      </c>
      <c r="E35" s="198">
        <f>'Exh. No. BGM 4 4'!AD$82</f>
        <v>0</v>
      </c>
      <c r="G35" s="425" t="s">
        <v>135</v>
      </c>
      <c r="I35" s="606" t="s">
        <v>135</v>
      </c>
      <c r="K35" s="553"/>
      <c r="L35" s="143"/>
      <c r="M35" s="144"/>
    </row>
    <row r="36" spans="1:13" s="553" customFormat="1">
      <c r="A36" s="561">
        <f>'Exh. No. BGM 4 4'!AE$11</f>
        <v>3.0699999999999985</v>
      </c>
      <c r="B36" s="562" t="str">
        <f>'Exh. No. BGM 4 4'!AE$12</f>
        <v>G-PIS</v>
      </c>
      <c r="C36" s="559" t="str">
        <f>TRIM(CONCATENATE('Exh. No. BGM 4 4'!AE$8," ",'Exh. No. BGM 4 4'!AE$9," ",'Exh. No. BGM 4 4'!AE$10))</f>
        <v>Pro Forma IS/IT Expense</v>
      </c>
      <c r="D36" s="556">
        <f>'Exh. No. BGM 4 4'!AE$59</f>
        <v>-130.65</v>
      </c>
      <c r="E36" s="556">
        <f>'Exh. No. BGM 4 4'!AE$82</f>
        <v>0</v>
      </c>
      <c r="F36" s="555"/>
      <c r="G36" s="554" t="s">
        <v>187</v>
      </c>
      <c r="H36" s="555"/>
      <c r="I36" s="678" t="s">
        <v>519</v>
      </c>
      <c r="J36" s="670"/>
      <c r="L36" s="143"/>
      <c r="M36" s="557"/>
    </row>
    <row r="37" spans="1:13" s="493" customFormat="1">
      <c r="A37" s="509">
        <f>'Exh. No. BGM 4 4'!AF$11</f>
        <v>3.0799999999999983</v>
      </c>
      <c r="B37" s="510" t="str">
        <f>'Exh. No. BGM 4 4'!AF$12</f>
        <v>G-PREV</v>
      </c>
      <c r="C37" s="507" t="str">
        <f>TRIM(CONCATENATE('Exh. No. BGM 4 4'!AF$8," ",'Exh. No. BGM 4 4'!AF$9," ",'Exh. No. BGM 4 4'!AF$10))</f>
        <v>Pro Forma Revenue Normalization</v>
      </c>
      <c r="D37" s="500">
        <f>'Exh. No. BGM 4 4'!AF$59</f>
        <v>-599.29999999999995</v>
      </c>
      <c r="E37" s="500">
        <f>'Exh. No. BGM 4 4'!AF$82</f>
        <v>0</v>
      </c>
      <c r="F37" s="683"/>
      <c r="G37" s="494" t="s">
        <v>172</v>
      </c>
      <c r="H37" s="496"/>
      <c r="I37" s="678" t="s">
        <v>191</v>
      </c>
      <c r="J37" s="670"/>
      <c r="L37" s="553"/>
      <c r="M37" s="503"/>
    </row>
    <row r="38" spans="1:13" s="553" customFormat="1">
      <c r="A38" s="561">
        <f>'Exh. No. BGM 4 4'!AG$11</f>
        <v>3.0899999999999981</v>
      </c>
      <c r="B38" s="562" t="str">
        <f>'Exh. No. BGM 4 4'!AG$12</f>
        <v>G-PRA</v>
      </c>
      <c r="C38" s="559" t="str">
        <f>TRIM(CONCATENATE('Exh. No. BGM 4 4'!AG$8," ",'Exh. No. BGM 4 4'!AG$9," ",'Exh. No. BGM 4 4'!AG$10))</f>
        <v>Pro Forma Regulatory Amortization</v>
      </c>
      <c r="D38" s="556">
        <f>'Exh. No. BGM 4 4'!AG$59</f>
        <v>701.35</v>
      </c>
      <c r="E38" s="556">
        <f>'Exh. No. BGM 4 4'!AG$82</f>
        <v>0</v>
      </c>
      <c r="F38" s="555"/>
      <c r="G38" s="554" t="s">
        <v>187</v>
      </c>
      <c r="H38" s="555"/>
      <c r="I38" s="678" t="s">
        <v>519</v>
      </c>
      <c r="J38" s="670"/>
      <c r="M38" s="557"/>
    </row>
    <row r="39" spans="1:13" s="553" customFormat="1">
      <c r="A39" s="561">
        <f>'Exh. No. BGM 4 4'!AH$11</f>
        <v>3.0999999999999979</v>
      </c>
      <c r="B39" s="562" t="str">
        <f>'Exh. No. BGM 4 4'!AH$12</f>
        <v>G-PCAP16</v>
      </c>
      <c r="C39" s="559" t="str">
        <f>TRIM(CONCATENATE('Exh. No. BGM 4 4'!AH$8," ",'Exh. No. BGM 4 4'!AH$9," ",'Exh. No. BGM 4 4'!AH$10))</f>
        <v>Pro Forma 2017 Threshhold Capital Adds</v>
      </c>
      <c r="D39" s="556">
        <f>'Exh. No. BGM 4 4'!AH$59</f>
        <v>-127.7319</v>
      </c>
      <c r="E39" s="556">
        <f>'Exh. No. BGM 4 4'!AH$82</f>
        <v>11745</v>
      </c>
      <c r="F39" s="555"/>
      <c r="G39" s="554" t="s">
        <v>187</v>
      </c>
      <c r="H39" s="555"/>
      <c r="I39" s="683" t="s">
        <v>172</v>
      </c>
      <c r="J39" s="670"/>
      <c r="L39" s="143"/>
      <c r="M39" s="557"/>
    </row>
    <row r="40" spans="1:13" s="553" customFormat="1">
      <c r="A40" s="561">
        <f>'Exh. No. BGM 4 4'!AI$11</f>
        <v>3.1099999999999977</v>
      </c>
      <c r="B40" s="562" t="str">
        <f>'Exh. No. BGM 4 4'!AI$12</f>
        <v>G-POFF</v>
      </c>
      <c r="C40" s="559" t="str">
        <f>TRIM(CONCATENATE('Exh. No. BGM 4 4'!AI$8," ",'Exh. No. BGM 4 4'!AI$9," ",'Exh. No. BGM 4 4'!AI$10))</f>
        <v>Pro Forma O&amp;M Offsets</v>
      </c>
      <c r="D40" s="556">
        <f>'Exh. No. BGM 4 4'!AI$59</f>
        <v>20.8</v>
      </c>
      <c r="E40" s="556">
        <f>'Exh. No. BGM 4 4'!AI$82</f>
        <v>0</v>
      </c>
      <c r="F40" s="555"/>
      <c r="G40" s="554" t="s">
        <v>187</v>
      </c>
      <c r="H40" s="555"/>
      <c r="I40" s="683" t="s">
        <v>459</v>
      </c>
      <c r="J40" s="670"/>
      <c r="L40" s="143"/>
      <c r="M40" s="557"/>
    </row>
    <row r="41" spans="1:13" s="553" customFormat="1">
      <c r="A41" s="561">
        <f>'Exh. No. BGM 4 4'!AJ$11</f>
        <v>3.1199999999999974</v>
      </c>
      <c r="B41" s="562" t="str">
        <f>'Exh. No. BGM 4 4'!AJ$12</f>
        <v>G-PDF</v>
      </c>
      <c r="C41" s="559" t="str">
        <f>TRIM(CONCATENATE('Exh. No. BGM 4 4'!AJ$8," ",'Exh. No. BGM 4 4'!AJ$9," ",'Exh. No. BGM 4 4'!AJ$10))</f>
        <v>Pro Forma Director Fees Expense</v>
      </c>
      <c r="D41" s="556">
        <f>'Exh. No. BGM 4 4'!AJ$59</f>
        <v>0</v>
      </c>
      <c r="E41" s="556">
        <f>'Exh. No. BGM 4 4'!AJ$82</f>
        <v>0</v>
      </c>
      <c r="F41" s="685"/>
      <c r="G41" s="684" t="s">
        <v>187</v>
      </c>
      <c r="H41" s="685"/>
      <c r="I41" s="685" t="s">
        <v>127</v>
      </c>
      <c r="J41" s="670"/>
      <c r="L41" s="143"/>
      <c r="M41" s="557"/>
    </row>
    <row r="42" spans="1:13" s="553" customFormat="1">
      <c r="A42" s="561">
        <f>'Exh. No. BGM 4 4'!AK$11</f>
        <v>3.1299999999999972</v>
      </c>
      <c r="B42" s="562" t="str">
        <f>'Exh. No. BGM 4 4'!AK$12</f>
        <v>G-PLEAP</v>
      </c>
      <c r="C42" s="559" t="str">
        <f>TRIM(CONCATENATE('Exh. No. BGM 4 4'!AK$8," ",'Exh. No. BGM 4 4'!AK$9," ",'Exh. No. BGM 4 4'!AK$10))</f>
        <v>Pro Forma Leap Deferral Gas Line Ext.</v>
      </c>
      <c r="D42" s="556">
        <f>'Exh. No. BGM 4 4'!AK$59</f>
        <v>-365.77388000000002</v>
      </c>
      <c r="E42" s="556">
        <f>'Exh. No. BGM 4 4'!AK$82</f>
        <v>1474</v>
      </c>
      <c r="F42" s="638"/>
      <c r="G42" s="637" t="s">
        <v>187</v>
      </c>
      <c r="H42" s="638"/>
      <c r="I42" s="606" t="s">
        <v>480</v>
      </c>
      <c r="J42" s="670"/>
      <c r="L42" s="143"/>
      <c r="M42" s="557"/>
    </row>
    <row r="43" spans="1:13" s="553" customFormat="1" ht="13.5" thickBot="1">
      <c r="A43" s="561"/>
      <c r="B43" s="562"/>
      <c r="C43" s="553" t="s">
        <v>129</v>
      </c>
      <c r="D43" s="66">
        <f>SUM(D28:D42)</f>
        <v>21555.464750000006</v>
      </c>
      <c r="E43" s="66">
        <f>SUM(E28:E42)</f>
        <v>299817</v>
      </c>
      <c r="F43" s="649">
        <f>D43/E43</f>
        <v>7.1895405363938694E-2</v>
      </c>
      <c r="G43" s="554"/>
      <c r="H43" s="555"/>
      <c r="I43" s="606"/>
      <c r="J43" s="670"/>
      <c r="L43" s="143"/>
      <c r="M43" s="557"/>
    </row>
    <row r="44" spans="1:13" ht="12.75" customHeight="1" thickTop="1">
      <c r="A44" s="426"/>
      <c r="B44" s="36" t="s">
        <v>148</v>
      </c>
      <c r="D44" s="63"/>
      <c r="H44" s="483"/>
      <c r="I44" s="606" t="s">
        <v>460</v>
      </c>
      <c r="K44" s="553"/>
      <c r="L44" s="55"/>
    </row>
    <row r="45" spans="1:13" s="553" customFormat="1" ht="13.5" thickBot="1">
      <c r="A45" s="650"/>
      <c r="B45" s="651"/>
      <c r="C45" s="652"/>
      <c r="D45" s="653"/>
      <c r="E45" s="653"/>
      <c r="F45" s="654"/>
      <c r="G45" s="655"/>
      <c r="H45" s="654"/>
      <c r="I45" s="656"/>
      <c r="J45" s="674"/>
      <c r="L45" s="143"/>
      <c r="M45" s="557"/>
    </row>
    <row r="46" spans="1:13" ht="12.75" customHeight="1"/>
    <row r="47" spans="1:13" ht="12.75" customHeight="1"/>
    <row r="48" spans="1:13" ht="12.75" customHeight="1"/>
    <row r="49" ht="12.75" customHeight="1"/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1200" verticalDpi="1200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AE20E0A-E87B-4B7F-A73E-301EB8467F25}"/>
</file>

<file path=customXml/itemProps2.xml><?xml version="1.0" encoding="utf-8"?>
<ds:datastoreItem xmlns:ds="http://schemas.openxmlformats.org/officeDocument/2006/customXml" ds:itemID="{B669809B-88AD-4D70-9D4F-0CD1A5FD2B30}"/>
</file>

<file path=customXml/itemProps3.xml><?xml version="1.0" encoding="utf-8"?>
<ds:datastoreItem xmlns:ds="http://schemas.openxmlformats.org/officeDocument/2006/customXml" ds:itemID="{F1DA71FE-0A8B-4C58-9FFE-F3F2D55627F4}"/>
</file>

<file path=customXml/itemProps4.xml><?xml version="1.0" encoding="utf-8"?>
<ds:datastoreItem xmlns:ds="http://schemas.openxmlformats.org/officeDocument/2006/customXml" ds:itemID="{1054EF26-AC83-4452-8D37-D21DDB64D9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Exh. No. BGM-4 1</vt:lpstr>
      <vt:lpstr>Exh. No. BGM-4 2</vt:lpstr>
      <vt:lpstr>Exh. No. BGM-4 3</vt:lpstr>
      <vt:lpstr>Exh. No. BGM 4 4</vt:lpstr>
      <vt:lpstr>Workpapers-&gt;</vt:lpstr>
      <vt:lpstr>Table 2</vt:lpstr>
      <vt:lpstr>LEAD SHEETS-DO NOT ENTER</vt:lpstr>
      <vt:lpstr>ADJ SUMMARY</vt:lpstr>
      <vt:lpstr>DEBT CALC</vt:lpstr>
      <vt:lpstr>ROO INPUT</vt:lpstr>
      <vt:lpstr>Recap Summary</vt:lpstr>
      <vt:lpstr>not used PROP0SED RATES-2018</vt:lpstr>
      <vt:lpstr>not used PROP0SED RATES-2019</vt:lpstr>
      <vt:lpstr>'DEBT CALC'!ID_Elec</vt:lpstr>
      <vt:lpstr>'ADJ SUMMARY'!Print_Area</vt:lpstr>
      <vt:lpstr>'DEBT CALC'!Print_Area</vt:lpstr>
      <vt:lpstr>'Exh. No. BGM 4 4'!Print_Area</vt:lpstr>
      <vt:lpstr>'Exh. No. BGM-4 1'!Print_Area</vt:lpstr>
      <vt:lpstr>'Exh. No. BGM-4 2'!Print_Area</vt:lpstr>
      <vt:lpstr>'Exh. No. BGM-4 3'!Print_Area</vt:lpstr>
      <vt:lpstr>'LEAD SHEETS-DO NOT ENTER'!Print_Area</vt:lpstr>
      <vt:lpstr>'not used PROP0SED RATES-2018'!Print_Area</vt:lpstr>
      <vt:lpstr>'not used PROP0SED RATES-2019'!Print_Area</vt:lpstr>
      <vt:lpstr>'Recap Summary'!Print_Area</vt:lpstr>
      <vt:lpstr>'ROO INPUT'!Print_Area</vt:lpstr>
      <vt:lpstr>'Recap Summary'!Print_for_CBReport</vt:lpstr>
      <vt:lpstr>'Recap Summary'!Print_for_Checking</vt:lpstr>
      <vt:lpstr>'Exh. No. BGM 4 4'!Print_Titles</vt:lpstr>
      <vt:lpstr>'Exh. No. BGM-4 1'!Print_Titles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Mullins</cp:lastModifiedBy>
  <cp:lastPrinted>2017-05-24T19:40:53Z</cp:lastPrinted>
  <dcterms:created xsi:type="dcterms:W3CDTF">1997-05-15T21:41:44Z</dcterms:created>
  <dcterms:modified xsi:type="dcterms:W3CDTF">2017-10-27T15:50:00Z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