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SEF-6" sheetId="1" r:id="rId1"/>
  </sheets>
  <externalReferences>
    <externalReference r:id="rId2"/>
  </externalReferences>
  <definedNames>
    <definedName name="keep_PSE">'SEF-6'!$A$5</definedName>
    <definedName name="keep_SEF_6_Common_Adjs">'SEF-6'!$E$1</definedName>
    <definedName name="keep_TESTYEAR">'SEF-6'!$A$7</definedName>
    <definedName name="keep_WUTC_FILING_FEE">'[1]SEF-3'!$O$14</definedName>
    <definedName name="kp_DOCKET">'SEF-6'!$A$8</definedName>
    <definedName name="kp_FEDERAL_INCOME_TAX">'[1]SEF-3'!$N$20</definedName>
    <definedName name="_xlnm.Print_Area" localSheetId="0">'SEF-6'!$A$1:$DE$57</definedName>
  </definedNames>
  <calcPr calcId="145621"/>
</workbook>
</file>

<file path=xl/calcChain.xml><?xml version="1.0" encoding="utf-8"?>
<calcChain xmlns="http://schemas.openxmlformats.org/spreadsheetml/2006/main">
  <c r="K1" i="1" l="1"/>
  <c r="O1" i="1"/>
  <c r="T1" i="1"/>
  <c r="X1" i="1"/>
  <c r="AC1" i="1"/>
  <c r="AH1" i="1"/>
  <c r="AO1" i="1"/>
  <c r="AT1" i="1"/>
  <c r="AY1" i="1"/>
  <c r="BD1" i="1"/>
  <c r="BH1" i="1"/>
  <c r="BL1" i="1"/>
  <c r="BQ1" i="1"/>
  <c r="BV1" i="1"/>
  <c r="CC1" i="1"/>
  <c r="CH1" i="1"/>
  <c r="CL1" i="1"/>
  <c r="CP1" i="1"/>
  <c r="CU1" i="1"/>
  <c r="CZ1" i="1"/>
  <c r="DE1" i="1"/>
  <c r="I51" i="1" l="1"/>
  <c r="I48" i="1"/>
  <c r="I47" i="1"/>
  <c r="K45" i="1"/>
  <c r="C43" i="1"/>
  <c r="K42" i="1"/>
  <c r="O40" i="1"/>
  <c r="C40" i="1"/>
  <c r="C39" i="1"/>
  <c r="D37" i="1"/>
  <c r="CF34" i="1"/>
  <c r="CY31" i="1"/>
  <c r="CH31" i="1"/>
  <c r="T31" i="1"/>
  <c r="AC30" i="1"/>
  <c r="CY29" i="1"/>
  <c r="CX29" i="1"/>
  <c r="BZ29" i="1"/>
  <c r="N29" i="1"/>
  <c r="E29" i="1"/>
  <c r="D29" i="1"/>
  <c r="CZ28" i="1"/>
  <c r="AS28" i="1"/>
  <c r="AB28" i="1"/>
  <c r="AA28" i="1"/>
  <c r="T28" i="1"/>
  <c r="N28" i="1"/>
  <c r="I28" i="1"/>
  <c r="H28" i="1"/>
  <c r="CZ27" i="1"/>
  <c r="AC27" i="1"/>
  <c r="N27" i="1"/>
  <c r="N30" i="1" s="1"/>
  <c r="J27" i="1"/>
  <c r="CZ26" i="1"/>
  <c r="AC26" i="1"/>
  <c r="AC28" i="1" s="1"/>
  <c r="J26" i="1"/>
  <c r="CZ25" i="1"/>
  <c r="CT25" i="1"/>
  <c r="CO25" i="1"/>
  <c r="CG25" i="1"/>
  <c r="CH26" i="1" s="1"/>
  <c r="CC25" i="1"/>
  <c r="BG25" i="1"/>
  <c r="J25" i="1"/>
  <c r="O24" i="1"/>
  <c r="O27" i="1" s="1"/>
  <c r="J24" i="1"/>
  <c r="CB23" i="1"/>
  <c r="CB26" i="1" s="1"/>
  <c r="CA23" i="1"/>
  <c r="CA26" i="1" s="1"/>
  <c r="AS23" i="1"/>
  <c r="AS25" i="1" s="1"/>
  <c r="AT25" i="1" s="1"/>
  <c r="AR23" i="1"/>
  <c r="AR26" i="1" s="1"/>
  <c r="J23" i="1"/>
  <c r="CY22" i="1"/>
  <c r="CX22" i="1"/>
  <c r="CK22" i="1"/>
  <c r="CC22" i="1"/>
  <c r="AT22" i="1"/>
  <c r="W22" i="1"/>
  <c r="J22" i="1"/>
  <c r="CZ21" i="1"/>
  <c r="CT21" i="1"/>
  <c r="CS21" i="1"/>
  <c r="CP21" i="1"/>
  <c r="CC21" i="1"/>
  <c r="AT21" i="1"/>
  <c r="AB21" i="1"/>
  <c r="AA21" i="1"/>
  <c r="J21" i="1"/>
  <c r="CZ20" i="1"/>
  <c r="CU20" i="1"/>
  <c r="CG20" i="1"/>
  <c r="CH21" i="1" s="1"/>
  <c r="CC20" i="1"/>
  <c r="AT20" i="1"/>
  <c r="AN20" i="1"/>
  <c r="AC20" i="1"/>
  <c r="J20" i="1"/>
  <c r="CZ19" i="1"/>
  <c r="CU19" i="1"/>
  <c r="CU21" i="1" s="1"/>
  <c r="CC19" i="1"/>
  <c r="BL19" i="1"/>
  <c r="AX19" i="1"/>
  <c r="AT19" i="1"/>
  <c r="AN19" i="1"/>
  <c r="AC19" i="1"/>
  <c r="AC21" i="1" s="1"/>
  <c r="J19" i="1"/>
  <c r="D19" i="1"/>
  <c r="E19" i="1" s="1"/>
  <c r="E31" i="1" s="1"/>
  <c r="CZ18" i="1"/>
  <c r="CC18" i="1"/>
  <c r="BO18" i="1"/>
  <c r="AT18" i="1"/>
  <c r="J18" i="1"/>
  <c r="CZ17" i="1"/>
  <c r="CC17" i="1"/>
  <c r="BT17" i="1"/>
  <c r="BG17" i="1"/>
  <c r="BG20" i="1" s="1"/>
  <c r="BH20" i="1" s="1"/>
  <c r="BH23" i="1" s="1"/>
  <c r="AT17" i="1"/>
  <c r="AB17" i="1"/>
  <c r="AA17" i="1"/>
  <c r="AA23" i="1" s="1"/>
  <c r="W17" i="1"/>
  <c r="J17" i="1"/>
  <c r="CZ16" i="1"/>
  <c r="CP16" i="1"/>
  <c r="CP23" i="1" s="1"/>
  <c r="CL16" i="1"/>
  <c r="CL18" i="1" s="1"/>
  <c r="CL20" i="1" s="1"/>
  <c r="CC16" i="1"/>
  <c r="AT16" i="1"/>
  <c r="AN16" i="1"/>
  <c r="AO16" i="1" s="1"/>
  <c r="AC16" i="1"/>
  <c r="X16" i="1"/>
  <c r="S16" i="1"/>
  <c r="T16" i="1" s="1"/>
  <c r="J16" i="1"/>
  <c r="DD15" i="1"/>
  <c r="DC15" i="1"/>
  <c r="CZ15" i="1"/>
  <c r="CT15" i="1"/>
  <c r="CS15" i="1"/>
  <c r="CG15" i="1"/>
  <c r="CH16" i="1" s="1"/>
  <c r="CC15" i="1"/>
  <c r="BO15" i="1"/>
  <c r="BL15" i="1"/>
  <c r="BD15" i="1"/>
  <c r="AT15" i="1"/>
  <c r="AN15" i="1"/>
  <c r="AO15" i="1" s="1"/>
  <c r="AG15" i="1"/>
  <c r="AF15" i="1"/>
  <c r="AC15" i="1"/>
  <c r="DE14" i="1"/>
  <c r="CV14" i="1"/>
  <c r="CV15" i="1" s="1"/>
  <c r="CV16" i="1" s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U14" i="1"/>
  <c r="CU15" i="1" s="1"/>
  <c r="CU23" i="1" s="1"/>
  <c r="CM14" i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I14" i="1"/>
  <c r="CI15" i="1" s="1"/>
  <c r="CI16" i="1" s="1"/>
  <c r="CI17" i="1" s="1"/>
  <c r="CI18" i="1" s="1"/>
  <c r="CI19" i="1" s="1"/>
  <c r="CI20" i="1" s="1"/>
  <c r="CI21" i="1" s="1"/>
  <c r="CI22" i="1" s="1"/>
  <c r="CI23" i="1" s="1"/>
  <c r="CI24" i="1" s="1"/>
  <c r="CD14" i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C14" i="1"/>
  <c r="BW14" i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V14" i="1"/>
  <c r="BU14" i="1"/>
  <c r="BT14" i="1"/>
  <c r="BR14" i="1"/>
  <c r="BR15" i="1" s="1"/>
  <c r="BR16" i="1" s="1"/>
  <c r="BR17" i="1" s="1"/>
  <c r="BR18" i="1" s="1"/>
  <c r="BQ14" i="1"/>
  <c r="BM14" i="1"/>
  <c r="BM15" i="1" s="1"/>
  <c r="BM16" i="1" s="1"/>
  <c r="BM17" i="1" s="1"/>
  <c r="BM18" i="1" s="1"/>
  <c r="BM19" i="1" s="1"/>
  <c r="BI14" i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E14" i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AZ14" i="1"/>
  <c r="AZ15" i="1" s="1"/>
  <c r="AU14" i="1"/>
  <c r="AU15" i="1" s="1"/>
  <c r="AU16" i="1" s="1"/>
  <c r="AU17" i="1" s="1"/>
  <c r="AU18" i="1" s="1"/>
  <c r="AU19" i="1" s="1"/>
  <c r="AU20" i="1" s="1"/>
  <c r="AT14" i="1"/>
  <c r="AP14" i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O14" i="1"/>
  <c r="AO17" i="1" s="1"/>
  <c r="AN22" i="1" s="1"/>
  <c r="AN14" i="1"/>
  <c r="AI14" i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H14" i="1"/>
  <c r="AD14" i="1"/>
  <c r="AD15" i="1" s="1"/>
  <c r="AD16" i="1" s="1"/>
  <c r="AD17" i="1" s="1"/>
  <c r="AD18" i="1" s="1"/>
  <c r="AD19" i="1" s="1"/>
  <c r="AD20" i="1" s="1"/>
  <c r="AC14" i="1"/>
  <c r="Y14" i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DE13" i="1"/>
  <c r="DE15" i="1" s="1"/>
  <c r="DE17" i="1" s="1"/>
  <c r="BV13" i="1"/>
  <c r="BQ13" i="1"/>
  <c r="AY13" i="1"/>
  <c r="AY15" i="1" s="1"/>
  <c r="AY17" i="1" s="1"/>
  <c r="AH13" i="1"/>
  <c r="AH15" i="1" s="1"/>
  <c r="AH17" i="1" s="1"/>
  <c r="AC13" i="1"/>
  <c r="W13" i="1"/>
  <c r="W15" i="1" s="1"/>
  <c r="X18" i="1" s="1"/>
  <c r="X20" i="1" s="1"/>
  <c r="DA8" i="1"/>
  <c r="CV8" i="1"/>
  <c r="CQ8" i="1"/>
  <c r="CM8" i="1"/>
  <c r="CI8" i="1"/>
  <c r="CD8" i="1"/>
  <c r="BW8" i="1"/>
  <c r="BR8" i="1"/>
  <c r="BM8" i="1"/>
  <c r="BI8" i="1"/>
  <c r="BE8" i="1"/>
  <c r="AZ8" i="1"/>
  <c r="AU8" i="1"/>
  <c r="AP8" i="1"/>
  <c r="AI8" i="1"/>
  <c r="AD8" i="1"/>
  <c r="Y8" i="1"/>
  <c r="U8" i="1"/>
  <c r="P8" i="1"/>
  <c r="L8" i="1"/>
  <c r="G8" i="1"/>
  <c r="DA7" i="1"/>
  <c r="CV7" i="1"/>
  <c r="CQ7" i="1"/>
  <c r="CM7" i="1"/>
  <c r="CI7" i="1"/>
  <c r="CD7" i="1"/>
  <c r="BW7" i="1"/>
  <c r="BR7" i="1"/>
  <c r="BM7" i="1"/>
  <c r="BI7" i="1"/>
  <c r="BE7" i="1"/>
  <c r="AZ7" i="1"/>
  <c r="AU7" i="1"/>
  <c r="AP7" i="1"/>
  <c r="AI7" i="1"/>
  <c r="AD7" i="1"/>
  <c r="Y7" i="1"/>
  <c r="U7" i="1"/>
  <c r="P7" i="1"/>
  <c r="L7" i="1"/>
  <c r="G7" i="1"/>
  <c r="DA5" i="1"/>
  <c r="CV5" i="1"/>
  <c r="CQ5" i="1"/>
  <c r="CM5" i="1"/>
  <c r="CI5" i="1"/>
  <c r="CD5" i="1"/>
  <c r="BW5" i="1"/>
  <c r="BR5" i="1"/>
  <c r="BM5" i="1"/>
  <c r="BI5" i="1"/>
  <c r="BE5" i="1"/>
  <c r="AZ5" i="1"/>
  <c r="AU5" i="1"/>
  <c r="AP5" i="1"/>
  <c r="AI5" i="1"/>
  <c r="AD5" i="1"/>
  <c r="Y5" i="1"/>
  <c r="U5" i="1"/>
  <c r="P5" i="1"/>
  <c r="G5" i="1"/>
  <c r="K3" i="1"/>
  <c r="O3" i="1" s="1"/>
  <c r="T3" i="1" s="1"/>
  <c r="X3" i="1" s="1"/>
  <c r="AC3" i="1" s="1"/>
  <c r="AH3" i="1" s="1"/>
  <c r="AO3" i="1" s="1"/>
  <c r="AT3" i="1" s="1"/>
  <c r="AY3" i="1" s="1"/>
  <c r="BD3" i="1" s="1"/>
  <c r="BH3" i="1" s="1"/>
  <c r="BL3" i="1" s="1"/>
  <c r="BQ3" i="1" s="1"/>
  <c r="BV3" i="1" s="1"/>
  <c r="CC3" i="1" s="1"/>
  <c r="CH3" i="1" s="1"/>
  <c r="CL3" i="1" s="1"/>
  <c r="CP3" i="1" s="1"/>
  <c r="CU3" i="1" s="1"/>
  <c r="CZ3" i="1" s="1"/>
  <c r="DE3" i="1" s="1"/>
  <c r="AB23" i="1" l="1"/>
  <c r="J48" i="1"/>
  <c r="AN21" i="1"/>
  <c r="AT23" i="1"/>
  <c r="AT26" i="1" s="1"/>
  <c r="AC17" i="1"/>
  <c r="CH29" i="1"/>
  <c r="CH30" i="1" s="1"/>
  <c r="CH32" i="1" s="1"/>
  <c r="CH34" i="1" s="1"/>
  <c r="CH35" i="1" s="1"/>
  <c r="CC26" i="1"/>
  <c r="CC28" i="1" s="1"/>
  <c r="CC29" i="1" s="1"/>
  <c r="CC30" i="1" s="1"/>
  <c r="J47" i="1"/>
  <c r="CZ29" i="1"/>
  <c r="X22" i="1"/>
  <c r="X23" i="1" s="1"/>
  <c r="BQ15" i="1"/>
  <c r="CC23" i="1"/>
  <c r="BL21" i="1"/>
  <c r="BL23" i="1" s="1"/>
  <c r="BL27" i="1" s="1"/>
  <c r="J51" i="1"/>
  <c r="K52" i="1" s="1"/>
  <c r="AY19" i="1"/>
  <c r="AY20" i="1" s="1"/>
  <c r="CP25" i="1"/>
  <c r="CP27" i="1" s="1"/>
  <c r="D40" i="1"/>
  <c r="D43" i="1"/>
  <c r="E45" i="1" s="1"/>
  <c r="D39" i="1"/>
  <c r="AH18" i="1"/>
  <c r="AH20" i="1" s="1"/>
  <c r="DE18" i="1"/>
  <c r="DE19" i="1" s="1"/>
  <c r="CU25" i="1"/>
  <c r="CU27" i="1" s="1"/>
  <c r="BL29" i="1"/>
  <c r="BL31" i="1" s="1"/>
  <c r="T20" i="1"/>
  <c r="T30" i="1"/>
  <c r="T33" i="1" s="1"/>
  <c r="CL22" i="1"/>
  <c r="CL24" i="1"/>
  <c r="BH25" i="1"/>
  <c r="BH26" i="1" s="1"/>
  <c r="AN23" i="1"/>
  <c r="AO26" i="1" s="1"/>
  <c r="J28" i="1"/>
  <c r="BV16" i="1"/>
  <c r="BV17" i="1" s="1"/>
  <c r="BV18" i="1" s="1"/>
  <c r="AC23" i="1"/>
  <c r="AC33" i="1" s="1"/>
  <c r="CZ31" i="1"/>
  <c r="CZ33" i="1" s="1"/>
  <c r="CZ22" i="1"/>
  <c r="AS26" i="1"/>
  <c r="O28" i="1"/>
  <c r="O29" i="1"/>
  <c r="K49" i="1" l="1"/>
  <c r="K54" i="1" s="1"/>
  <c r="BP15" i="1"/>
  <c r="O30" i="1"/>
  <c r="O42" i="1" s="1"/>
  <c r="O43" i="1" s="1"/>
  <c r="O44" i="1" s="1"/>
  <c r="K56" i="1"/>
  <c r="K57" i="1" s="1"/>
  <c r="BQ18" i="1"/>
  <c r="BQ19" i="1" s="1"/>
  <c r="E41" i="1"/>
  <c r="E47" i="1" s="1"/>
  <c r="AC34" i="1"/>
  <c r="AC35" i="1" s="1"/>
  <c r="AC39" i="1"/>
  <c r="AC42" i="1" s="1"/>
  <c r="AO28" i="1"/>
  <c r="AO29" i="1" s="1"/>
  <c r="AT28" i="1"/>
  <c r="AT29" i="1" s="1"/>
  <c r="E48" i="1" l="1"/>
  <c r="E49" i="1" s="1"/>
</calcChain>
</file>

<file path=xl/sharedStrings.xml><?xml version="1.0" encoding="utf-8"?>
<sst xmlns="http://schemas.openxmlformats.org/spreadsheetml/2006/main" count="489" uniqueCount="294">
  <si>
    <t>Exhibit No. ___(SEF-6)</t>
  </si>
  <si>
    <t>Page 1 of 22</t>
  </si>
  <si>
    <t>Page 2 of 22</t>
  </si>
  <si>
    <t>Page 3 of 22</t>
  </si>
  <si>
    <t>Page 4 of 22</t>
  </si>
  <si>
    <t>Page 5 of 22</t>
  </si>
  <si>
    <t>Page 6 of 22</t>
  </si>
  <si>
    <t>Page 7 of 22</t>
  </si>
  <si>
    <t>Page 8 of 22</t>
  </si>
  <si>
    <t>Page 9 of 22</t>
  </si>
  <si>
    <t>Page 10 of 22</t>
  </si>
  <si>
    <t>Page 11 of 22</t>
  </si>
  <si>
    <t>Page 12 of 22</t>
  </si>
  <si>
    <t>Page 13 of 22</t>
  </si>
  <si>
    <t>Page 14 of 22</t>
  </si>
  <si>
    <t>Page 15 of 22</t>
  </si>
  <si>
    <t>Page 16 of 22</t>
  </si>
  <si>
    <t>Page 17 of 22</t>
  </si>
  <si>
    <t>Page 18 of 22</t>
  </si>
  <si>
    <t>Page 19 of 22</t>
  </si>
  <si>
    <t>Page 20 of 22</t>
  </si>
  <si>
    <t>Page 21 of 22</t>
  </si>
  <si>
    <t>Page 22 of 22</t>
  </si>
  <si>
    <t xml:space="preserve"> </t>
  </si>
  <si>
    <t xml:space="preserve">PUGET SOUND ENERGY-GAS </t>
  </si>
  <si>
    <t>REVENUE AND EXPENSES</t>
  </si>
  <si>
    <t>TEMPERATURE NORMALIZATION</t>
  </si>
  <si>
    <t>PASS THROUGH REVENUE AND EXPENSE</t>
  </si>
  <si>
    <t>FEDERAL INCOME TAX</t>
  </si>
  <si>
    <t>TAX BENEFIT OF PRO FORMA INTEREST</t>
  </si>
  <si>
    <t>DEPRECIATION STUDY</t>
  </si>
  <si>
    <t>NORMALIZE INJURIES AND DAMAGES</t>
  </si>
  <si>
    <t>BAD DEBTS</t>
  </si>
  <si>
    <t>INCENTIVE PAY</t>
  </si>
  <si>
    <t>DIRECTORS AND OFFICERS INSURANCE</t>
  </si>
  <si>
    <t>INTEREST ON CUSTOMER DEPOSITS</t>
  </si>
  <si>
    <t>RATE CASE EXPENSES</t>
  </si>
  <si>
    <t>DEFERRED GAINS/LOSSES ON PROPERTY SALES</t>
  </si>
  <si>
    <t>PROPERTY &amp; LIABILITY INSURANCE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</si>
  <si>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</si>
  <si>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</si>
  <si>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</si>
  <si>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</si>
  <si>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</si>
  <si>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</si>
  <si>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</si>
  <si>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FILING FEE AND EXCISE TAX</t>
  </si>
  <si>
    <t>FOR THE TWELVE MONTHS ENDED SEPTEMBER 30, 2016</t>
  </si>
  <si>
    <t>GENERAL RATE CASE</t>
  </si>
  <si>
    <t xml:space="preserve">OTHER </t>
  </si>
  <si>
    <t>LINE</t>
  </si>
  <si>
    <t>PROFORMA</t>
  </si>
  <si>
    <t>NET</t>
  </si>
  <si>
    <t>GROSS</t>
  </si>
  <si>
    <t>OPERATING</t>
  </si>
  <si>
    <t>NO.</t>
  </si>
  <si>
    <t>DESCRIPTION</t>
  </si>
  <si>
    <t>ADJUSTMENT</t>
  </si>
  <si>
    <t>ACTUAL</t>
  </si>
  <si>
    <t>RESTATED</t>
  </si>
  <si>
    <t>AMOUNT</t>
  </si>
  <si>
    <t>WRITEOFFS</t>
  </si>
  <si>
    <t>REVENUES</t>
  </si>
  <si>
    <t>REVENUE</t>
  </si>
  <si>
    <t>TEST YEAR</t>
  </si>
  <si>
    <t>RATE YEAR</t>
  </si>
  <si>
    <t>SALES TO CUSTOMERS:</t>
  </si>
  <si>
    <t>TEMPERATURE NORMALIZATION ADJUSTMENT:</t>
  </si>
  <si>
    <t>REMOVE REVENUES ASSOCIATED WITH RIDERS:</t>
  </si>
  <si>
    <t>TAXABLE INCOME (LOSS)  (NOTE 1)</t>
  </si>
  <si>
    <t>RATE BASE</t>
  </si>
  <si>
    <t>403 GAS DEPRECIATION EXPENSE</t>
  </si>
  <si>
    <t>ACCRUALS</t>
  </si>
  <si>
    <t>1</t>
  </si>
  <si>
    <t>12 MOS ENDED</t>
  </si>
  <si>
    <t>September</t>
  </si>
  <si>
    <t>May</t>
  </si>
  <si>
    <t>INCENTIVE / MERIT PAY</t>
  </si>
  <si>
    <t>D &amp; O INS. EXPENSE</t>
  </si>
  <si>
    <t>INTEREST EXPENSE AT MOST CURRENT INTEREST RATE</t>
  </si>
  <si>
    <t>EXPENSES TO BE NORMALIZED:</t>
  </si>
  <si>
    <t>DEFERRED GAIN RECORDED FOR UG-111049,  at 12/31/2017</t>
  </si>
  <si>
    <t>PROPERTY INSURANCE EXPENSE</t>
  </si>
  <si>
    <t>QUALIFIED RETIREMENT FUND</t>
  </si>
  <si>
    <t>WAGES:</t>
  </si>
  <si>
    <t>NON-UNION (INC. EXECUTIVES)</t>
  </si>
  <si>
    <t>BENEFIT CONTRIBUTION:</t>
  </si>
  <si>
    <t>GAS ENVIRONMENTAL REMEDIATION</t>
  </si>
  <si>
    <t>NEW SERVICE AGREEMENT</t>
  </si>
  <si>
    <t>SOUTH KING SERVICE CENTER RATEBASE (AMA)</t>
  </si>
  <si>
    <t>EXCISE TAXES</t>
  </si>
  <si>
    <t>REMOVE SCHEDULE 141 EXPEDITED RATE FILING</t>
  </si>
  <si>
    <t>TEMP ADJ</t>
  </si>
  <si>
    <t>THERMS</t>
  </si>
  <si>
    <t>REMOVE LOW INCOME RIDER - SCHEDULE 129</t>
  </si>
  <si>
    <t>403 GAS PORTION OF COMMON</t>
  </si>
  <si>
    <t>PAYMENTS IN EXCESS OF ACCRUALS</t>
  </si>
  <si>
    <t>12 ME 9/30/2013 AND 5/31/2013</t>
  </si>
  <si>
    <t>PRODUCTION MANUF. GAS</t>
  </si>
  <si>
    <t>DEFERRED LOSS RECORDED FOR UG-111049,  at 12/31/2017</t>
  </si>
  <si>
    <t>LIABILITY INSURANCE EXPENSE</t>
  </si>
  <si>
    <t>INCREASE(DECREASE) EXPENSE</t>
  </si>
  <si>
    <t>INVESTMENT PLAN APPLICABLE TO MANAGEMENT</t>
  </si>
  <si>
    <t>NON-UNION EMPLOYEES</t>
  </si>
  <si>
    <t xml:space="preserve">CUST REC &amp; COLLECTION EXPENSE </t>
  </si>
  <si>
    <t>UTILITY PLANT RATEBASE</t>
  </si>
  <si>
    <t>WUTC FILING FEE</t>
  </si>
  <si>
    <t>REMOVE SCHEDULE 142 DECOUPLING AND K-FACTOR</t>
  </si>
  <si>
    <t>CHANGE</t>
  </si>
  <si>
    <t>REMOVE CONSERVATION TRACKER - SCHEDULE 120</t>
  </si>
  <si>
    <t>ADD BACK:</t>
  </si>
  <si>
    <t>NET RATE BASE</t>
  </si>
  <si>
    <t>403 DEPR. EXP. ON ASSETS NOT INCLUDED IN STUDY</t>
  </si>
  <si>
    <t>INCREASE/(DECREASE) IN EXPENSE</t>
  </si>
  <si>
    <t>12 ME 9/30/2015 AND 5/31/2015</t>
  </si>
  <si>
    <t>OTHER GAS SUPPLY</t>
  </si>
  <si>
    <t>INCREASE (DECREASE) D&amp;O EXPENSE</t>
  </si>
  <si>
    <t>INCREASE (DECREASE) NOI</t>
  </si>
  <si>
    <t>ESTIMATED 2009 AND 2011 GRC EXPENSES TO BE NORMALIZED</t>
  </si>
  <si>
    <t xml:space="preserve">TOTAL DEFERRED NET GAIN TO AMORTIZE </t>
  </si>
  <si>
    <t xml:space="preserve">RATE YEAR NON-UNION WAGE INCREASE </t>
  </si>
  <si>
    <t>UNION EMPLOYEES</t>
  </si>
  <si>
    <t>DEFERRED COSTS NET OF SITE SPECIFIC RECOVERIES AS OF SEPTEMBER 30. 2016</t>
  </si>
  <si>
    <t>INCREASE (DECREASE) IN EXPENSE</t>
  </si>
  <si>
    <t xml:space="preserve">     PLANT BALANCE BUILDING PURCHASE</t>
  </si>
  <si>
    <t>INCREASE(DECREASE) EXCISE AND WUTC FILING FEE</t>
  </si>
  <si>
    <t>ANNUALIZING PGA RATE CHANGES</t>
  </si>
  <si>
    <t>REMOVE PROPERTY TAX TRACKER - SCHEDULE 140</t>
  </si>
  <si>
    <t>CURRENT FIT</t>
  </si>
  <si>
    <t>404 DEPR. EXP. ON ASSETS NOT INCLUDED IN STUDY</t>
  </si>
  <si>
    <t>12 ME 9/30/2016 AND 5/31/2016</t>
  </si>
  <si>
    <t>STORAGE, LNG T&amp;G</t>
  </si>
  <si>
    <t>INCREASE(DECREASE) OPERATING EXPENSE (LINE 2)</t>
  </si>
  <si>
    <t>TOTAL COMPANY CONTRIBUTION FOR MANAGEMENT</t>
  </si>
  <si>
    <t>RESTATED INSURANCE COSTS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</si>
  <si>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</si>
  <si>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PlANT BALANCE -LEASEHOLD IMPROVEMENTS</t>
  </si>
  <si>
    <t>OTHER</t>
  </si>
  <si>
    <t>REMOVE REVENUE ASSOC WITH PGA AMORTIZATION - SCH 106</t>
  </si>
  <si>
    <t>DEFERRED FIT</t>
  </si>
  <si>
    <t>WEIGHTED  AVERAGE COST OF DEBT</t>
  </si>
  <si>
    <t>SUBTOTAL DEPRECIATION EXPENSE 403</t>
  </si>
  <si>
    <t>INCREASE/(DECREASE) IN OPERATING EXPENSE (LINE  3)</t>
  </si>
  <si>
    <t>3-YR AVERAGE OF NET WRITE OFF RATE</t>
  </si>
  <si>
    <t>TRANSMISSION</t>
  </si>
  <si>
    <t>INCREASE (DECREASE) OPERATING  EXPENSE</t>
  </si>
  <si>
    <r>
      <t xml:space="preserve">ANNUAL NORMALIZATION (LINE 3 </t>
    </r>
    <r>
      <rPr>
        <sz val="11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</si>
  <si>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DEFERRED GAIN PENDING APPROVAL SINCE UG-111049</t>
  </si>
  <si>
    <t>INCREASE (DECREASE) FIT @</t>
  </si>
  <si>
    <t xml:space="preserve">     ACCUMULATED DEPRECIATION ON BLG PURCH</t>
  </si>
  <si>
    <t xml:space="preserve">INCREASE(DECREASE) OPERATING EXPENSE </t>
  </si>
  <si>
    <t>REMOVE MERGER RATE CREDIT SCHEDULE 132</t>
  </si>
  <si>
    <t>REMOVE CARBON OFFSET - SCHEDULE 137</t>
  </si>
  <si>
    <t>DEFERRED FIT - OTHER</t>
  </si>
  <si>
    <t>PROFORMA INTEREST</t>
  </si>
  <si>
    <t>DISTRIBUTION</t>
  </si>
  <si>
    <t>LESS TEST YEAR EXPENSE</t>
  </si>
  <si>
    <t>DEFERRED LOSS PENDING APPROVAL SINCE UG-111049</t>
  </si>
  <si>
    <t>IBEW</t>
  </si>
  <si>
    <t>APPLICABLE TO OPERATIONS @</t>
  </si>
  <si>
    <t>INSURANCE PROCEEDS &amp; THIRD PARTIES PAYMENTS</t>
  </si>
  <si>
    <t>DOCKET UE-160203 &amp; UG-160204 CREDIT CARD FEES</t>
  </si>
  <si>
    <t xml:space="preserve">    ACC DEPR-NEW BLG-PORTION INC IN DEPR STUDY</t>
  </si>
  <si>
    <t>INCREASE(DECREASE) FIT @</t>
  </si>
  <si>
    <t>TOTAL INCREASE (DECREASE) SALES TO CUSTOMERS</t>
  </si>
  <si>
    <t>REMOVE OTHER ASSOC WITH CARBON OFFSET - SCHEDULE 137</t>
  </si>
  <si>
    <t>DEFERRED FIT - INV TAX CREDIT, NET OF AMORTIZATION</t>
  </si>
  <si>
    <t>403.1 DEPR. EXP- ASC 410 (RECOVERED IN RATES)</t>
  </si>
  <si>
    <t>TEST PERIOD REVENUES</t>
  </si>
  <si>
    <t>CUSTOMER ACCTS</t>
  </si>
  <si>
    <t>NET LOSS PENDING APPROVAL (LINE 5 + LINE 6)</t>
  </si>
  <si>
    <t>INVESTMENT PLAN APPLICABLE TO IBEW</t>
  </si>
  <si>
    <t>CHARGED TO EXPENSE DURING TEST YEAR</t>
  </si>
  <si>
    <t>EXPECTED RATE YEAR LEVEL OF FEES</t>
  </si>
  <si>
    <t xml:space="preserve">     ACCUMULATED AMORT ON LEASEHOLD</t>
  </si>
  <si>
    <t>INCREASE(DECREASE) NOI</t>
  </si>
  <si>
    <t>REMOVE PROPERTY TAX TRACKER-SCHEDULE 140, OTHER REVENUES</t>
  </si>
  <si>
    <t>TOTAL RESTATED FIT</t>
  </si>
  <si>
    <t>INCREASE (DECREASE) INCOME</t>
  </si>
  <si>
    <t>403.1 DEPR. EXP - ASC 410 (NOT RECOVERED IN RATES)</t>
  </si>
  <si>
    <t>ADD:  TEMPERATURE NORMALIZATION ADJUSTMENT</t>
  </si>
  <si>
    <t>CUSTOMER SERVICE</t>
  </si>
  <si>
    <t>INCREASE (DECREASE) EXPENSE</t>
  </si>
  <si>
    <t xml:space="preserve">RATE YEAR IBEW WAGE INCREASE                   </t>
  </si>
  <si>
    <t>SHARE OF DEFERRED UNASSIGNED RECOVERIES AS OF SEPTEMBER 30, 2016</t>
  </si>
  <si>
    <t>AMORTIZATION OF DEFERRAL</t>
  </si>
  <si>
    <t xml:space="preserve">     DEFERRED FIT</t>
  </si>
  <si>
    <t>OTHER OPERATING REVENUES</t>
  </si>
  <si>
    <t>SUBTOTAL DEPRECIATION EXPENSE 403.1</t>
  </si>
  <si>
    <t>NORMALIZED TEST PERIOD REVENUES</t>
  </si>
  <si>
    <t>SALES</t>
  </si>
  <si>
    <t>NET LOSS (LINE 3 + LINE 7)</t>
  </si>
  <si>
    <t>TOTAL COMPANY CONTRIBUTION FOR IBEW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</si>
  <si>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</si>
  <si>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DEF TAX LIAB-PORT INC IN DEPR STUDY</t>
  </si>
  <si>
    <t>REMOVE MUNICIPAL TAXES ASSOC WITH SALES TO CUSTOMERS</t>
  </si>
  <si>
    <t>FIT PER BOOKS:</t>
  </si>
  <si>
    <t xml:space="preserve">INCREASE (DECREASE) FIT @ </t>
  </si>
  <si>
    <t>PROFORMA BAD DEBT RATE</t>
  </si>
  <si>
    <t>ADMIN. &amp; GENERAL</t>
  </si>
  <si>
    <t>NET SOUTH KING RATEBASE</t>
  </si>
  <si>
    <t>REMOVE MUNICIPAL TAXES ASSOC WITH OTHER OPRTG REV</t>
  </si>
  <si>
    <t>TOTAL DEPRECIATION EXPENSE</t>
  </si>
  <si>
    <t>PROFORMA BAD DEBTS</t>
  </si>
  <si>
    <t>TOTAL INCENTIVE / MERIT PAY</t>
  </si>
  <si>
    <t>TOTAL INCREASE (DECREASE) EXPENSE</t>
  </si>
  <si>
    <t>ANNUAL AMORTIZATION (LINE 9 ÷ 36 MONTHS) x 12</t>
  </si>
  <si>
    <t>TOTAL WAGE INCREASE</t>
  </si>
  <si>
    <t>UA</t>
  </si>
  <si>
    <t>TOTAL RATE YEAR AMORTIZATION GAS ENVIRONMENTAL (LINE 4 + LINE 9)</t>
  </si>
  <si>
    <t>INCREASE(DECREASE) OPERATING EXPENSE (LINES 3 &amp; 9)</t>
  </si>
  <si>
    <t>REMOVE OVEREARNINGS ACCRUALS</t>
  </si>
  <si>
    <t>TOTAL (INCREASE) DECREASE REVENUES</t>
  </si>
  <si>
    <t>DEFERRED FIT DEBIT</t>
  </si>
  <si>
    <t>INVESTMENT PLAN APPLICABLE TO UA</t>
  </si>
  <si>
    <t>OPERATING EXPENSE</t>
  </si>
  <si>
    <t>REMOVE CURRENT/PRIOR PERIOD DECOUPLING DEFERRALS</t>
  </si>
  <si>
    <t>DEFERRED FIT- CREDIT</t>
  </si>
  <si>
    <t>AMORTIZATION EXPENSE</t>
  </si>
  <si>
    <t>UNCOLLECTIBLES CHARGED TO EXPENSE IN TEST YEAR</t>
  </si>
  <si>
    <t>PAYROLL TAXES ASSOC WITH MERIT PAY</t>
  </si>
  <si>
    <t>AMORTIZATION OF DEFERRED NET GAIN FOR TEST YEAR</t>
  </si>
  <si>
    <t>PAYROLL TAXES</t>
  </si>
  <si>
    <t xml:space="preserve">RATE YEAR UA WAGE INCREASE                   </t>
  </si>
  <si>
    <t>INCREASE (DECREASE) FIT @ 35% (LINE 11 X 35%)</t>
  </si>
  <si>
    <t xml:space="preserve">      RENT</t>
  </si>
  <si>
    <t>REMOVE DECOUPLING AMORTIZATION</t>
  </si>
  <si>
    <t>ADJUST REVENUE SENSITIVE ITEMS FOR REMOVAL OF REVENUE:</t>
  </si>
  <si>
    <t>411.10 ACCRETION EXP. - ASC 410 (RECOVERED IN RATES)</t>
  </si>
  <si>
    <t>TOTAL WAGES &amp; TAXES</t>
  </si>
  <si>
    <t>TOTAL COMPANY CONTRIBUTION FOR UA</t>
  </si>
  <si>
    <t xml:space="preserve">      DEPRECIATION EXPENSE</t>
  </si>
  <si>
    <t>411.10 ACCRETION EXP. - ASC 410 (NOT RECOVERED IN RATES)</t>
  </si>
  <si>
    <t xml:space="preserve">      DEPR EXP-PORTION INC DEP STUDY ADJ</t>
  </si>
  <si>
    <t>MERGER RATE CREDIT SCHEDULE 132, RENTALS</t>
  </si>
  <si>
    <t>ANNUAL FILING FEE</t>
  </si>
  <si>
    <t>TOTAL CHARGED TO EXPENSE</t>
  </si>
  <si>
    <t>SUBTOTAL ACCRETION EXPENSE 411.10</t>
  </si>
  <si>
    <t>INCREASE (DECREASE) FIT</t>
  </si>
  <si>
    <t>INCREASE (DECREASE) OPERATING EXPENSE</t>
  </si>
  <si>
    <t>TOTAL</t>
  </si>
  <si>
    <t xml:space="preserve">      LEASEHOLD AMORT. EXPENSE EXPENSES</t>
  </si>
  <si>
    <t>TOTAL INCREASE (DECREASE) OTHER OPERATING REVENUE</t>
  </si>
  <si>
    <t>REVENUE ADJUSTMENT:</t>
  </si>
  <si>
    <t>STATE UTILITY TAX</t>
  </si>
  <si>
    <t>INCREASE (DECREASE) FIT @ 35%</t>
  </si>
  <si>
    <t>@</t>
  </si>
  <si>
    <t>TOTAL PROFORMA COSTS (LN 4 + LN 9 + LN 14 + LN 19)</t>
  </si>
  <si>
    <t>RESIDENTIAL (23)</t>
  </si>
  <si>
    <t>INCREASE(DECREASE) FIT</t>
  </si>
  <si>
    <t>DEPRECIATION EXPENSE 403 ASSOCIATED WITH FLEET</t>
  </si>
  <si>
    <t>PRO FORMA COSTS APPLICABLE TO OPERATIONS</t>
  </si>
  <si>
    <t>TOTAL INCREASE (DECREASE) REVENUES</t>
  </si>
  <si>
    <t>COMMERCIAL &amp; INDUSTRIAL (31)</t>
  </si>
  <si>
    <t>INCREASE(DECREASE) DEFERRED FIT</t>
  </si>
  <si>
    <t>FOR TEST YEAR 9/30/16</t>
  </si>
  <si>
    <t>LARGE VOLUME (41)</t>
  </si>
  <si>
    <t>REMOVE EXPENSES ASSOCIATED WITH RIDERS</t>
  </si>
  <si>
    <t xml:space="preserve">INCREASE(DECREASE) ITC </t>
  </si>
  <si>
    <t>OPERATING EXPENSES:</t>
  </si>
  <si>
    <t>TRANSPORTATION -LARGE VOLUME (41T)</t>
  </si>
  <si>
    <t>REMOVE LOW INCOME AMORTIZATION - SCHEDULE 129 (FERC 908)</t>
  </si>
  <si>
    <t xml:space="preserve">INCREASE(DECREASE) NOI </t>
  </si>
  <si>
    <t>ADJUST GAS COSTS FOR 2014 AND 2015 PGA RATE CHANGES</t>
  </si>
  <si>
    <t>TRANSPORTATION - GENERAL SERVICES (31T)</t>
  </si>
  <si>
    <t>REMOVE CONSERVATION AMORTIZATION - SCHEDULE 120 (FERC 908)</t>
  </si>
  <si>
    <t>MIGRATION ADJUSTMENT FOR SCHEDULE 41</t>
  </si>
  <si>
    <t>INTERRUPTIBLE (85)</t>
  </si>
  <si>
    <t>REMOVE PROPERTY TAX AMORTIZATION EXP - SCHEDULE 140 (FERC 4081)</t>
  </si>
  <si>
    <t>OTHER ADJUSTMENTS</t>
  </si>
  <si>
    <t>TRASPORTATION INTERRUPTIBLE (85T)</t>
  </si>
  <si>
    <t>REMOVE PGA DEFERRAL AMORTIZATION EXP - SCHEDULE 106 (FERC 8051)</t>
  </si>
  <si>
    <t>TOTAL PURCHASE GAS COSTS</t>
  </si>
  <si>
    <t>LIMITED INTERRUPTIBLE (86)</t>
  </si>
  <si>
    <t>REMOVE CARBON OFFSET AMORTIZATION EXP - SCHEDULE 137 (FERC 805)</t>
  </si>
  <si>
    <t xml:space="preserve">   </t>
  </si>
  <si>
    <t>TRANSPORTATION - LIMITED INTERRUPTIBLE (86T)</t>
  </si>
  <si>
    <t>REMOVE CARBON OFFSET AMORTIZATION EXP - SCHEDULE 137 (FERC 908)</t>
  </si>
  <si>
    <t>ADJUSTMENT TO RATE BASE</t>
  </si>
  <si>
    <t>UNCOLLECTIBLES @</t>
  </si>
  <si>
    <t>NON EXCLUSIVE INTERRUPTIBLE (87)</t>
  </si>
  <si>
    <t>REMOVE MUNICIPAL TAXES ASSOC WITH SALES TO CUSTOMERS (FERC 4081)</t>
  </si>
  <si>
    <t>ADJUSTMENT TO ACCUM. DEPREC. AT 50% DEPREC. EXPENSE LINE 21</t>
  </si>
  <si>
    <t>ANNUAL FILING FEE @</t>
  </si>
  <si>
    <t>TRANSPORTATION - NON EXCLUSIVE INTERRUPT (87T)</t>
  </si>
  <si>
    <t>INCREASE (DECREASE) EXPENSES</t>
  </si>
  <si>
    <t>CONTRACTS</t>
  </si>
  <si>
    <t>INCREASE (DECREASE) SALES TO CUSTOMERS</t>
  </si>
  <si>
    <t>INCREASE (DECREASE) IN OPERATING INCOME BEFORE TAXES</t>
  </si>
  <si>
    <t>TOTAL  ADJUSTMENT TO RATEBASE</t>
  </si>
  <si>
    <t>STATE UTILITY TAX @</t>
  </si>
  <si>
    <t>OPERATING EXPENSES</t>
  </si>
  <si>
    <t>INCREASE (DECREASE) TAXES OTHER</t>
  </si>
  <si>
    <t>PURCHASED GAS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</si>
</sst>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Adj.&quot;\ 0.00"/>
    <numFmt numFmtId="166" formatCode="#,##0;\(#,##0\)"/>
    <numFmt numFmtId="167" formatCode="#,##0.00\ ;\(#,##0.00\)"/>
    <numFmt numFmtId="168" formatCode="_(&quot;$&quot;* #,##0_);_(&quot;$&quot;* \(#,##0\);_(&quot;$&quot;* &quot;-&quot;??_);_(@_)"/>
    <numFmt numFmtId="169" formatCode="0.0000%"/>
    <numFmt numFmtId="170" formatCode="_(* #,##0_);_(* \(#,##0\);_(* &quot;-&quot;??_);_(@_)"/>
    <numFmt numFmtId="171" formatCode="0.0%"/>
    <numFmt numFmtId="172" formatCode="yyyy"/>
    <numFmt numFmtId="173" formatCode="0.00000%"/>
    <numFmt numFmtId="174" formatCode="#,##0.00000000;\(#,##0.00000000\)"/>
    <numFmt numFmtId="175" formatCode="0.000000_);[Red]\(0.000000\)"/>
    <numFmt numFmtId="176" formatCode="0.0000000"/>
    <numFmt numFmtId="177" formatCode="#,##0.000000_);\(#,##0.000000\)"/>
    <numFmt numFmtId="178" formatCode="0."/>
    <numFmt numFmtId="179" formatCode="#,##0.0_);\(#,##0.0\)"/>
    <numFmt numFmtId="180" formatCode="&quot;$&quot;#,##0_);\(#,##0\)"/>
    <numFmt numFmtId="181" formatCode=".000000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8.8000000000000007"/>
      <name val="Symbol"/>
      <family val="1"/>
      <charset val="2"/>
    </font>
    <font>
      <sz val="11"/>
      <name val="Symbol"/>
      <family val="1"/>
      <charset val="2"/>
    </font>
    <font>
      <i/>
      <sz val="10"/>
      <name val="Times New Roman"/>
      <family val="1"/>
    </font>
    <font>
      <sz val="11"/>
      <color indexed="62"/>
      <name val="Calibri"/>
      <family val="2"/>
    </font>
    <font>
      <sz val="8"/>
      <color rgb="FFFF0000"/>
      <name val="Times New Roman"/>
      <family val="1"/>
    </font>
    <font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4" fontId="6" fillId="0" borderId="0">
      <alignment horizontal="left" wrapText="1"/>
    </xf>
    <xf numFmtId="44" fontId="6" fillId="0" borderId="0" applyFont="0" applyFill="0" applyBorder="0" applyAlignment="0" applyProtection="0"/>
    <xf numFmtId="0" fontId="6" fillId="0" borderId="0"/>
    <xf numFmtId="171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77" fontId="6" fillId="0" borderId="0">
      <alignment horizontal="left" wrapText="1"/>
    </xf>
  </cellStyleXfs>
  <cellXfs count="357">
    <xf numFmtId="0" fontId="0" fillId="0" borderId="0" xfId="0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1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NumberFormat="1" applyFont="1" applyFill="1" applyAlignment="1"/>
    <xf numFmtId="14" fontId="5" fillId="0" borderId="0" xfId="0" applyNumberFormat="1" applyFont="1" applyFill="1" applyAlignment="1">
      <alignment horizontal="left"/>
    </xf>
    <xf numFmtId="15" fontId="3" fillId="0" borderId="0" xfId="0" applyNumberFormat="1" applyFont="1" applyFill="1" applyAlignment="1"/>
    <xf numFmtId="14" fontId="4" fillId="0" borderId="0" xfId="0" applyNumberFormat="1" applyFont="1" applyFill="1" applyAlignment="1"/>
    <xf numFmtId="0" fontId="2" fillId="0" borderId="0" xfId="0" applyFont="1" applyFill="1" applyAlignment="1">
      <alignment horizontal="left" wrapText="1"/>
    </xf>
    <xf numFmtId="165" fontId="2" fillId="0" borderId="1" xfId="0" quotePrefix="1" applyNumberFormat="1" applyFont="1" applyFill="1" applyBorder="1" applyAlignment="1">
      <alignment horizontal="right"/>
    </xf>
    <xf numFmtId="0" fontId="0" fillId="0" borderId="0" xfId="0" applyNumberFormat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22" fontId="3" fillId="0" borderId="0" xfId="0" applyNumberFormat="1" applyFont="1" applyFill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3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quotePrefix="1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3" applyFont="1" applyFill="1" applyAlignment="1" applyProtection="1">
      <alignment horizontal="centerContinuous"/>
      <protection locked="0"/>
    </xf>
    <xf numFmtId="15" fontId="2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42" fontId="2" fillId="0" borderId="0" xfId="0" applyNumberFormat="1" applyFont="1" applyFill="1" applyAlignment="1"/>
    <xf numFmtId="166" fontId="2" fillId="0" borderId="0" xfId="0" applyNumberFormat="1" applyFont="1" applyFill="1" applyAlignment="1"/>
    <xf numFmtId="41" fontId="2" fillId="0" borderId="0" xfId="0" applyNumberFormat="1" applyFont="1" applyAlignment="1">
      <alignment horizontal="center"/>
    </xf>
    <xf numFmtId="0" fontId="9" fillId="0" borderId="0" xfId="0" applyFont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 applyProtection="1">
      <alignment horizontal="centerContinuous"/>
      <protection locked="0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4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17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>
      <alignment horizontal="fill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Fill="1" applyAlignment="1"/>
    <xf numFmtId="0" fontId="3" fillId="0" borderId="0" xfId="0" applyFont="1" applyFill="1" applyBorder="1" applyAlignment="1"/>
    <xf numFmtId="1" fontId="3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3" fillId="0" borderId="0" xfId="0" applyNumberFormat="1" applyFont="1" applyFill="1" applyBorder="1" applyAlignment="1"/>
    <xf numFmtId="167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>
      <alignment horizontal="left" indent="2"/>
    </xf>
    <xf numFmtId="42" fontId="3" fillId="0" borderId="0" xfId="0" applyNumberFormat="1" applyFont="1" applyFill="1" applyAlignment="1"/>
    <xf numFmtId="168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17" fontId="3" fillId="0" borderId="0" xfId="0" applyNumberFormat="1" applyFont="1" applyFill="1" applyAlignment="1">
      <alignment horizontal="center"/>
    </xf>
    <xf numFmtId="42" fontId="3" fillId="0" borderId="0" xfId="0" applyNumberFormat="1" applyFont="1" applyAlignment="1" applyProtection="1">
      <alignment horizontal="right"/>
      <protection locked="0"/>
    </xf>
    <xf numFmtId="42" fontId="3" fillId="0" borderId="0" xfId="0" applyNumberFormat="1" applyFont="1" applyFill="1" applyAlignment="1" applyProtection="1">
      <alignment horizontal="right"/>
      <protection locked="0"/>
    </xf>
    <xf numFmtId="168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42" fontId="3" fillId="0" borderId="2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166" fontId="3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10" fillId="0" borderId="0" xfId="4" applyNumberFormat="1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Alignment="1"/>
    <xf numFmtId="0" fontId="3" fillId="0" borderId="0" xfId="5" applyNumberFormat="1" applyFont="1" applyFill="1" applyAlignment="1" applyProtection="1">
      <protection locked="0"/>
    </xf>
    <xf numFmtId="168" fontId="3" fillId="0" borderId="0" xfId="2" applyNumberFormat="1" applyFont="1" applyFill="1" applyAlignment="1"/>
    <xf numFmtId="168" fontId="3" fillId="0" borderId="0" xfId="2" applyNumberFormat="1" applyFont="1" applyAlignment="1"/>
    <xf numFmtId="164" fontId="3" fillId="0" borderId="0" xfId="0" applyNumberFormat="1" applyFont="1" applyFill="1" applyAlignment="1">
      <alignment horizontal="left" indent="1"/>
    </xf>
    <xf numFmtId="3" fontId="3" fillId="0" borderId="0" xfId="0" applyNumberFormat="1" applyFont="1" applyFill="1" applyBorder="1" applyAlignment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Alignment="1"/>
    <xf numFmtId="0" fontId="0" fillId="0" borderId="3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 indent="1"/>
      <protection locked="0"/>
    </xf>
    <xf numFmtId="42" fontId="3" fillId="0" borderId="0" xfId="0" applyNumberFormat="1" applyFont="1" applyFill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0" fontId="3" fillId="0" borderId="0" xfId="6" applyFont="1" applyFill="1" applyAlignment="1">
      <alignment horizontal="left" indent="1"/>
    </xf>
    <xf numFmtId="42" fontId="3" fillId="0" borderId="0" xfId="1" applyNumberFormat="1" applyFont="1" applyBorder="1"/>
    <xf numFmtId="166" fontId="3" fillId="0" borderId="3" xfId="0" applyNumberFormat="1" applyFont="1" applyFill="1" applyBorder="1" applyAlignment="1" applyProtection="1">
      <alignment horizontal="right"/>
      <protection locked="0"/>
    </xf>
    <xf numFmtId="41" fontId="3" fillId="0" borderId="3" xfId="0" applyNumberFormat="1" applyFont="1" applyFill="1" applyBorder="1" applyAlignment="1"/>
    <xf numFmtId="41" fontId="3" fillId="0" borderId="2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5" fontId="3" fillId="0" borderId="0" xfId="0" applyNumberFormat="1" applyFont="1" applyFill="1" applyBorder="1" applyAlignment="1"/>
    <xf numFmtId="164" fontId="3" fillId="0" borderId="0" xfId="4" applyFont="1" applyFill="1" applyBorder="1" applyAlignment="1" applyProtection="1">
      <alignment horizontal="left"/>
      <protection locked="0"/>
    </xf>
    <xf numFmtId="6" fontId="3" fillId="0" borderId="0" xfId="0" applyNumberFormat="1" applyFont="1" applyFill="1" applyBorder="1" applyAlignment="1"/>
    <xf numFmtId="42" fontId="3" fillId="0" borderId="2" xfId="0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protection locked="0"/>
    </xf>
    <xf numFmtId="170" fontId="3" fillId="0" borderId="2" xfId="0" applyNumberFormat="1" applyFont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>
      <alignment horizontal="right"/>
    </xf>
    <xf numFmtId="170" fontId="3" fillId="0" borderId="0" xfId="1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42" fontId="3" fillId="0" borderId="4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Alignment="1">
      <alignment vertical="center"/>
    </xf>
    <xf numFmtId="42" fontId="3" fillId="0" borderId="3" xfId="0" applyNumberFormat="1" applyFont="1" applyFill="1" applyBorder="1" applyAlignment="1"/>
    <xf numFmtId="42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168" fontId="3" fillId="0" borderId="0" xfId="2" applyNumberFormat="1" applyFont="1" applyFill="1" applyBorder="1" applyAlignment="1">
      <alignment horizontal="center"/>
    </xf>
    <xf numFmtId="0" fontId="0" fillId="0" borderId="0" xfId="0" applyNumberFormat="1" applyFont="1" applyAlignment="1"/>
    <xf numFmtId="168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 applyProtection="1">
      <alignment horizontal="right"/>
      <protection locked="0"/>
    </xf>
    <xf numFmtId="0" fontId="3" fillId="0" borderId="0" xfId="5" applyNumberFormat="1" applyFont="1" applyFill="1" applyBorder="1" applyAlignment="1" applyProtection="1">
      <protection locked="0"/>
    </xf>
    <xf numFmtId="168" fontId="3" fillId="0" borderId="0" xfId="2" applyNumberFormat="1" applyFont="1" applyFill="1" applyBorder="1" applyProtection="1">
      <protection locked="0"/>
    </xf>
    <xf numFmtId="17" fontId="3" fillId="0" borderId="0" xfId="7" applyNumberFormat="1" applyFont="1" applyFill="1" applyAlignment="1"/>
    <xf numFmtId="170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9" fontId="3" fillId="0" borderId="0" xfId="0" applyNumberFormat="1" applyFont="1" applyFill="1" applyAlignment="1"/>
    <xf numFmtId="170" fontId="3" fillId="0" borderId="0" xfId="0" applyNumberFormat="1" applyFont="1" applyFill="1" applyBorder="1" applyAlignment="1" applyProtection="1">
      <protection locked="0"/>
    </xf>
    <xf numFmtId="169" fontId="3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8" applyNumberFormat="1" applyFont="1" applyAlignment="1"/>
    <xf numFmtId="0" fontId="3" fillId="0" borderId="0" xfId="0" applyFont="1" applyFill="1" applyAlignment="1">
      <alignment vertical="center"/>
    </xf>
    <xf numFmtId="164" fontId="3" fillId="0" borderId="0" xfId="9" applyFont="1" applyAlignment="1">
      <alignment horizontal="left" indent="2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0" fontId="9" fillId="0" borderId="0" xfId="0" applyNumberFormat="1" applyFont="1" applyAlignment="1"/>
    <xf numFmtId="37" fontId="3" fillId="0" borderId="0" xfId="0" applyNumberFormat="1" applyFont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72" fontId="3" fillId="0" borderId="0" xfId="0" quotePrefix="1" applyNumberFormat="1" applyFont="1" applyFill="1" applyAlignment="1">
      <alignment horizontal="left"/>
    </xf>
    <xf numFmtId="170" fontId="6" fillId="0" borderId="0" xfId="0" applyNumberFormat="1" applyFont="1" applyFill="1" applyAlignment="1"/>
    <xf numFmtId="17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41" fontId="3" fillId="0" borderId="0" xfId="0" applyNumberFormat="1" applyFont="1" applyFill="1" applyBorder="1" applyAlignment="1" applyProtection="1">
      <alignment horizontal="left" wrapText="1"/>
      <protection locked="0"/>
    </xf>
    <xf numFmtId="6" fontId="3" fillId="0" borderId="3" xfId="0" applyNumberFormat="1" applyFont="1" applyFill="1" applyBorder="1" applyAlignment="1"/>
    <xf numFmtId="170" fontId="3" fillId="0" borderId="0" xfId="1" applyNumberFormat="1" applyFont="1" applyAlignment="1"/>
    <xf numFmtId="41" fontId="2" fillId="0" borderId="0" xfId="0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/>
    <xf numFmtId="4" fontId="3" fillId="0" borderId="0" xfId="0" applyNumberFormat="1" applyFont="1" applyFill="1" applyAlignment="1"/>
    <xf numFmtId="0" fontId="0" fillId="0" borderId="0" xfId="0" applyNumberFormat="1" applyFont="1" applyFill="1" applyAlignment="1"/>
    <xf numFmtId="9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indent="2"/>
    </xf>
    <xf numFmtId="42" fontId="3" fillId="0" borderId="5" xfId="0" applyNumberFormat="1" applyFont="1" applyFill="1" applyBorder="1" applyAlignment="1"/>
    <xf numFmtId="166" fontId="3" fillId="0" borderId="0" xfId="0" applyNumberFormat="1" applyFont="1" applyFill="1" applyAlignment="1">
      <alignment horizontal="center"/>
    </xf>
    <xf numFmtId="44" fontId="3" fillId="0" borderId="0" xfId="2" applyFont="1" applyFill="1" applyBorder="1" applyAlignment="1"/>
    <xf numFmtId="168" fontId="3" fillId="0" borderId="6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166" fontId="3" fillId="0" borderId="3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68" fontId="3" fillId="0" borderId="5" xfId="2" applyNumberFormat="1" applyFont="1" applyFill="1" applyBorder="1" applyAlignment="1"/>
    <xf numFmtId="0" fontId="3" fillId="0" borderId="3" xfId="0" applyFont="1" applyFill="1" applyBorder="1" applyAlignment="1"/>
    <xf numFmtId="164" fontId="3" fillId="0" borderId="0" xfId="10" applyFont="1" applyFill="1" applyAlignment="1">
      <alignment horizontal="left"/>
    </xf>
    <xf numFmtId="42" fontId="3" fillId="0" borderId="4" xfId="0" applyNumberFormat="1" applyFont="1" applyFill="1" applyBorder="1" applyAlignment="1" applyProtection="1">
      <protection locked="0"/>
    </xf>
    <xf numFmtId="42" fontId="3" fillId="0" borderId="5" xfId="0" applyNumberFormat="1" applyFont="1" applyFill="1" applyBorder="1" applyAlignment="1">
      <alignment horizontal="right"/>
    </xf>
    <xf numFmtId="42" fontId="3" fillId="0" borderId="4" xfId="0" applyNumberFormat="1" applyFont="1" applyFill="1" applyBorder="1" applyAlignment="1" applyProtection="1">
      <alignment horizontal="left" wrapText="1"/>
      <protection locked="0"/>
    </xf>
    <xf numFmtId="0" fontId="13" fillId="0" borderId="0" xfId="0" applyNumberFormat="1" applyFont="1" applyFill="1" applyAlignment="1">
      <alignment horizontal="left"/>
    </xf>
    <xf numFmtId="10" fontId="3" fillId="0" borderId="0" xfId="0" applyNumberFormat="1" applyFont="1" applyFill="1" applyBorder="1" applyAlignment="1">
      <alignment horizontal="center"/>
    </xf>
    <xf numFmtId="41" fontId="3" fillId="0" borderId="2" xfId="0" applyNumberFormat="1" applyFont="1" applyBorder="1" applyAlignment="1"/>
    <xf numFmtId="41" fontId="3" fillId="0" borderId="2" xfId="0" applyNumberFormat="1" applyFont="1" applyBorder="1" applyAlignment="1" applyProtection="1">
      <alignment horizontal="right"/>
      <protection locked="0"/>
    </xf>
    <xf numFmtId="42" fontId="3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37" fontId="3" fillId="0" borderId="3" xfId="0" applyNumberFormat="1" applyFont="1" applyFill="1" applyBorder="1" applyAlignment="1">
      <alignment vertical="top"/>
    </xf>
    <xf numFmtId="42" fontId="3" fillId="0" borderId="0" xfId="0" applyNumberFormat="1" applyFont="1" applyFill="1" applyAlignment="1">
      <alignment vertical="center"/>
    </xf>
    <xf numFmtId="42" fontId="3" fillId="0" borderId="0" xfId="0" applyNumberFormat="1" applyFont="1" applyAlignment="1"/>
    <xf numFmtId="0" fontId="3" fillId="0" borderId="0" xfId="0" applyFont="1" applyFill="1" applyBorder="1" applyAlignment="1">
      <alignment horizontal="left" wrapText="1"/>
    </xf>
    <xf numFmtId="169" fontId="3" fillId="0" borderId="2" xfId="0" applyNumberFormat="1" applyFont="1" applyFill="1" applyBorder="1" applyAlignment="1"/>
    <xf numFmtId="170" fontId="3" fillId="0" borderId="2" xfId="1" applyNumberFormat="1" applyFont="1" applyFill="1" applyBorder="1" applyAlignment="1"/>
    <xf numFmtId="166" fontId="3" fillId="0" borderId="0" xfId="0" applyNumberFormat="1" applyFont="1" applyFill="1" applyBorder="1" applyAlignment="1"/>
    <xf numFmtId="41" fontId="3" fillId="0" borderId="2" xfId="0" applyNumberFormat="1" applyFont="1" applyFill="1" applyBorder="1" applyAlignment="1" applyProtection="1">
      <alignment horizontal="right"/>
      <protection locked="0"/>
    </xf>
    <xf numFmtId="164" fontId="3" fillId="0" borderId="0" xfId="4" applyFont="1" applyFill="1" applyAlignment="1">
      <alignment horizontal="left" indent="1"/>
    </xf>
    <xf numFmtId="0" fontId="3" fillId="0" borderId="2" xfId="0" applyNumberFormat="1" applyFont="1" applyFill="1" applyBorder="1" applyAlignment="1"/>
    <xf numFmtId="168" fontId="3" fillId="0" borderId="5" xfId="2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vertical="top"/>
    </xf>
    <xf numFmtId="164" fontId="3" fillId="0" borderId="0" xfId="4" applyFont="1" applyFill="1" applyAlignment="1"/>
    <xf numFmtId="164" fontId="3" fillId="0" borderId="0" xfId="11" applyNumberFormat="1" applyFont="1" applyFill="1" applyAlignment="1">
      <alignment horizontal="left" indent="1"/>
    </xf>
    <xf numFmtId="42" fontId="3" fillId="0" borderId="6" xfId="0" applyNumberFormat="1" applyFont="1" applyFill="1" applyBorder="1" applyAlignment="1" applyProtection="1">
      <protection locked="0"/>
    </xf>
    <xf numFmtId="171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Continuous"/>
    </xf>
    <xf numFmtId="170" fontId="3" fillId="0" borderId="0" xfId="0" applyNumberFormat="1" applyFont="1" applyFill="1" applyAlignment="1"/>
    <xf numFmtId="168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42" fontId="3" fillId="0" borderId="4" xfId="0" applyNumberFormat="1" applyFont="1" applyBorder="1" applyAlignment="1"/>
    <xf numFmtId="0" fontId="10" fillId="0" borderId="0" xfId="0" applyFont="1" applyFill="1" applyBorder="1" applyAlignment="1">
      <alignment horizontal="left" indent="1"/>
    </xf>
    <xf numFmtId="0" fontId="13" fillId="0" borderId="0" xfId="0" applyNumberFormat="1" applyFont="1" applyFill="1" applyAlignment="1">
      <alignment horizontal="center"/>
    </xf>
    <xf numFmtId="42" fontId="3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42" fontId="3" fillId="0" borderId="2" xfId="1" applyNumberFormat="1" applyFont="1" applyBorder="1"/>
    <xf numFmtId="42" fontId="3" fillId="0" borderId="2" xfId="1" applyNumberFormat="1" applyFont="1" applyFill="1" applyBorder="1"/>
    <xf numFmtId="9" fontId="3" fillId="0" borderId="0" xfId="0" applyNumberFormat="1" applyFont="1" applyFill="1" applyBorder="1" applyAlignment="1">
      <alignment horizontal="left" wrapText="1"/>
    </xf>
    <xf numFmtId="42" fontId="3" fillId="0" borderId="2" xfId="0" applyNumberFormat="1" applyFont="1" applyFill="1" applyBorder="1" applyAlignment="1"/>
    <xf numFmtId="168" fontId="3" fillId="0" borderId="2" xfId="0" applyNumberFormat="1" applyFont="1" applyFill="1" applyBorder="1" applyAlignment="1" applyProtection="1">
      <protection locked="0"/>
    </xf>
    <xf numFmtId="166" fontId="10" fillId="0" borderId="0" xfId="0" applyNumberFormat="1" applyFont="1" applyFill="1" applyBorder="1" applyAlignment="1" applyProtection="1">
      <protection locked="0"/>
    </xf>
    <xf numFmtId="1" fontId="3" fillId="0" borderId="0" xfId="0" quotePrefix="1" applyNumberFormat="1" applyFont="1" applyFill="1" applyAlignment="1">
      <alignment horizontal="left"/>
    </xf>
    <xf numFmtId="168" fontId="3" fillId="0" borderId="5" xfId="0" applyNumberFormat="1" applyFont="1" applyFill="1" applyBorder="1" applyAlignment="1" applyProtection="1">
      <protection locked="0"/>
    </xf>
    <xf numFmtId="5" fontId="3" fillId="0" borderId="2" xfId="0" applyNumberFormat="1" applyFont="1" applyFill="1" applyBorder="1" applyAlignment="1"/>
    <xf numFmtId="164" fontId="3" fillId="0" borderId="0" xfId="4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/>
    <xf numFmtId="169" fontId="3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vertical="top"/>
    </xf>
    <xf numFmtId="170" fontId="3" fillId="0" borderId="3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 applyProtection="1">
      <alignment vertical="top"/>
      <protection locked="0"/>
    </xf>
    <xf numFmtId="41" fontId="3" fillId="0" borderId="2" xfId="0" applyNumberFormat="1" applyFont="1" applyFill="1" applyBorder="1" applyAlignment="1">
      <alignment horizontal="right"/>
    </xf>
    <xf numFmtId="170" fontId="3" fillId="0" borderId="0" xfId="0" applyNumberFormat="1" applyFont="1" applyBorder="1" applyAlignment="1"/>
    <xf numFmtId="0" fontId="3" fillId="0" borderId="0" xfId="0" applyNumberFormat="1" applyFont="1" applyFill="1" applyAlignment="1">
      <alignment horizontal="left" vertical="center"/>
    </xf>
    <xf numFmtId="166" fontId="3" fillId="0" borderId="0" xfId="0" applyNumberFormat="1" applyFont="1" applyFill="1" applyAlignment="1" applyProtection="1">
      <alignment vertical="center"/>
      <protection locked="0"/>
    </xf>
    <xf numFmtId="42" fontId="3" fillId="0" borderId="0" xfId="0" applyNumberFormat="1" applyFont="1" applyFill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168" fontId="3" fillId="0" borderId="3" xfId="2" applyNumberFormat="1" applyFont="1" applyFill="1" applyBorder="1" applyAlignment="1"/>
    <xf numFmtId="3" fontId="14" fillId="0" borderId="0" xfId="0" applyNumberFormat="1" applyFont="1" applyFill="1" applyAlignment="1"/>
    <xf numFmtId="41" fontId="3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left" indent="1"/>
    </xf>
    <xf numFmtId="9" fontId="3" fillId="0" borderId="0" xfId="0" applyNumberFormat="1" applyFont="1" applyFill="1" applyAlignment="1">
      <alignment horizontal="left"/>
    </xf>
    <xf numFmtId="15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68" fontId="3" fillId="0" borderId="5" xfId="2" applyNumberFormat="1" applyFont="1" applyBorder="1" applyAlignment="1"/>
    <xf numFmtId="169" fontId="3" fillId="0" borderId="6" xfId="0" applyNumberFormat="1" applyFont="1" applyFill="1" applyBorder="1" applyAlignment="1">
      <alignment horizontal="right" wrapText="1"/>
    </xf>
    <xf numFmtId="173" fontId="3" fillId="0" borderId="0" xfId="0" applyNumberFormat="1" applyFont="1" applyFill="1" applyAlignment="1"/>
    <xf numFmtId="0" fontId="10" fillId="0" borderId="0" xfId="0" applyFont="1" applyFill="1" applyAlignment="1"/>
    <xf numFmtId="168" fontId="3" fillId="0" borderId="4" xfId="0" applyNumberFormat="1" applyFont="1" applyFill="1" applyBorder="1" applyAlignment="1"/>
    <xf numFmtId="37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44" fontId="0" fillId="0" borderId="0" xfId="0" applyNumberFormat="1" applyFont="1" applyAlignment="1"/>
    <xf numFmtId="37" fontId="3" fillId="0" borderId="0" xfId="0" applyNumberFormat="1" applyFont="1" applyFill="1" applyAlignment="1">
      <alignment vertical="center"/>
    </xf>
    <xf numFmtId="174" fontId="3" fillId="0" borderId="0" xfId="0" applyNumberFormat="1" applyFont="1" applyFill="1" applyBorder="1" applyAlignment="1" applyProtection="1">
      <protection locked="0"/>
    </xf>
    <xf numFmtId="0" fontId="3" fillId="0" borderId="0" xfId="0" quotePrefix="1" applyNumberFormat="1" applyFont="1" applyFill="1" applyAlignment="1"/>
    <xf numFmtId="5" fontId="3" fillId="0" borderId="5" xfId="0" applyNumberFormat="1" applyFont="1" applyFill="1" applyBorder="1" applyAlignment="1"/>
    <xf numFmtId="42" fontId="3" fillId="0" borderId="6" xfId="0" applyNumberFormat="1" applyFont="1" applyFill="1" applyBorder="1" applyAlignment="1">
      <alignment horizontal="right"/>
    </xf>
    <xf numFmtId="164" fontId="3" fillId="0" borderId="0" xfId="10" applyNumberFormat="1" applyFont="1" applyFill="1" applyAlignment="1">
      <alignment horizontal="left"/>
    </xf>
    <xf numFmtId="175" fontId="3" fillId="0" borderId="0" xfId="0" applyNumberFormat="1" applyFont="1" applyFill="1" applyAlignment="1"/>
    <xf numFmtId="42" fontId="3" fillId="0" borderId="0" xfId="2" applyNumberFormat="1" applyFont="1" applyFill="1" applyBorder="1" applyAlignment="1">
      <alignment horizontal="right"/>
    </xf>
    <xf numFmtId="9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37" fontId="3" fillId="0" borderId="3" xfId="0" applyNumberFormat="1" applyFont="1" applyFill="1" applyBorder="1" applyAlignment="1"/>
    <xf numFmtId="42" fontId="3" fillId="0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164" fontId="3" fillId="0" borderId="0" xfId="7" applyNumberFormat="1" applyFont="1" applyFill="1" applyBorder="1" applyAlignment="1"/>
    <xf numFmtId="164" fontId="4" fillId="0" borderId="0" xfId="7" applyNumberFormat="1" applyFont="1" applyFill="1" applyBorder="1" applyAlignment="1"/>
    <xf numFmtId="37" fontId="3" fillId="0" borderId="0" xfId="12" applyNumberFormat="1" applyFont="1" applyFill="1" applyBorder="1" applyAlignment="1"/>
    <xf numFmtId="42" fontId="3" fillId="0" borderId="2" xfId="13" applyNumberFormat="1" applyFont="1" applyFill="1" applyBorder="1" applyAlignment="1"/>
    <xf numFmtId="164" fontId="3" fillId="0" borderId="0" xfId="7" applyNumberFormat="1" applyFont="1" applyFill="1" applyAlignment="1"/>
    <xf numFmtId="42" fontId="3" fillId="0" borderId="5" xfId="0" applyNumberFormat="1" applyFont="1" applyFill="1" applyBorder="1" applyAlignment="1" applyProtection="1">
      <protection locked="0"/>
    </xf>
    <xf numFmtId="42" fontId="15" fillId="0" borderId="0" xfId="13" applyNumberFormat="1" applyFont="1" applyFill="1" applyBorder="1" applyAlignment="1">
      <alignment horizontal="right"/>
    </xf>
    <xf numFmtId="43" fontId="15" fillId="0" borderId="0" xfId="12" applyFont="1" applyFill="1" applyAlignment="1"/>
    <xf numFmtId="164" fontId="3" fillId="0" borderId="0" xfId="7" applyNumberFormat="1" applyFont="1" applyFill="1" applyAlignment="1">
      <alignment horizontal="left"/>
    </xf>
    <xf numFmtId="169" fontId="3" fillId="0" borderId="0" xfId="14" applyNumberFormat="1" applyFont="1" applyFill="1"/>
    <xf numFmtId="42" fontId="3" fillId="0" borderId="0" xfId="13" applyNumberFormat="1" applyFont="1" applyFill="1" applyAlignment="1">
      <alignment horizontal="right"/>
    </xf>
    <xf numFmtId="41" fontId="3" fillId="0" borderId="0" xfId="7" applyNumberFormat="1" applyFont="1" applyFill="1" applyBorder="1" applyAlignment="1">
      <alignment horizontal="right"/>
    </xf>
    <xf numFmtId="41" fontId="3" fillId="0" borderId="0" xfId="7" applyNumberFormat="1" applyFont="1" applyFill="1" applyAlignment="1"/>
    <xf numFmtId="176" fontId="3" fillId="0" borderId="0" xfId="0" applyNumberFormat="1" applyFont="1" applyFill="1" applyBorder="1" applyAlignment="1"/>
    <xf numFmtId="164" fontId="3" fillId="0" borderId="0" xfId="7" quotePrefix="1" applyNumberFormat="1" applyFont="1" applyFill="1" applyAlignment="1">
      <alignment horizontal="left"/>
    </xf>
    <xf numFmtId="0" fontId="3" fillId="0" borderId="0" xfId="15" applyFont="1" applyFill="1"/>
    <xf numFmtId="37" fontId="3" fillId="0" borderId="3" xfId="7" applyNumberFormat="1" applyFont="1" applyFill="1" applyBorder="1" applyAlignment="1"/>
    <xf numFmtId="169" fontId="3" fillId="0" borderId="0" xfId="16" applyNumberFormat="1" applyFont="1" applyFill="1">
      <alignment horizontal="left" wrapText="1"/>
    </xf>
    <xf numFmtId="37" fontId="3" fillId="0" borderId="0" xfId="7" applyNumberFormat="1" applyFont="1" applyFill="1" applyBorder="1" applyAlignment="1"/>
    <xf numFmtId="42" fontId="3" fillId="0" borderId="0" xfId="13" applyNumberFormat="1" applyFont="1" applyFill="1" applyBorder="1" applyAlignment="1"/>
    <xf numFmtId="168" fontId="3" fillId="0" borderId="6" xfId="2" applyNumberFormat="1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37" fontId="3" fillId="0" borderId="0" xfId="7" applyNumberFormat="1" applyFont="1" applyFill="1" applyAlignment="1"/>
    <xf numFmtId="168" fontId="3" fillId="0" borderId="2" xfId="2" applyNumberFormat="1" applyFont="1" applyFill="1" applyBorder="1" applyAlignment="1"/>
    <xf numFmtId="9" fontId="3" fillId="0" borderId="0" xfId="14" applyFont="1" applyFill="1"/>
    <xf numFmtId="41" fontId="3" fillId="0" borderId="0" xfId="7" applyNumberFormat="1" applyFont="1" applyFill="1" applyBorder="1" applyAlignment="1"/>
    <xf numFmtId="42" fontId="3" fillId="0" borderId="5" xfId="13" applyNumberFormat="1" applyFont="1" applyFill="1" applyBorder="1" applyAlignment="1"/>
    <xf numFmtId="44" fontId="3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178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179" fontId="3" fillId="0" borderId="0" xfId="0" applyNumberFormat="1" applyFont="1" applyFill="1" applyBorder="1" applyAlignment="1"/>
    <xf numFmtId="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Continuous"/>
    </xf>
    <xf numFmtId="5" fontId="3" fillId="0" borderId="0" xfId="0" applyNumberFormat="1" applyFont="1" applyFill="1" applyBorder="1" applyAlignment="1">
      <alignment horizontal="centerContinuous"/>
    </xf>
    <xf numFmtId="180" fontId="3" fillId="0" borderId="0" xfId="0" applyNumberFormat="1" applyFont="1" applyFill="1" applyBorder="1" applyAlignment="1">
      <alignment horizontal="centerContinuous"/>
    </xf>
    <xf numFmtId="180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181" fontId="3" fillId="0" borderId="0" xfId="0" applyNumberFormat="1" applyFont="1" applyFill="1" applyBorder="1" applyAlignment="1"/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17">
    <cellStyle name="Comma" xfId="1" builtinId="3"/>
    <cellStyle name="Comma 2 2" xfId="12"/>
    <cellStyle name="Currency" xfId="2" builtinId="4"/>
    <cellStyle name="Currency 10 2 2" xfId="5"/>
    <cellStyle name="Currency 2 2" xfId="13"/>
    <cellStyle name="Normal" xfId="0" builtinId="0"/>
    <cellStyle name="Normal 10 2" xfId="15"/>
    <cellStyle name="Normal 2" xfId="9"/>
    <cellStyle name="Normal 2 10" xfId="6"/>
    <cellStyle name="Normal 3" xfId="3"/>
    <cellStyle name="Normal 3 2" xfId="11"/>
    <cellStyle name="Normal 4" xfId="8"/>
    <cellStyle name="Normal 82" xfId="4"/>
    <cellStyle name="Normal_2.01G Revenue &amp; Purchased Gas" xfId="16"/>
    <cellStyle name="Percent 2" xfId="14"/>
    <cellStyle name="Style 1" xfId="10"/>
    <cellStyle name="Style 1 3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SEF%203%20-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"/>
      <sheetName val="SEF-4"/>
      <sheetName val="SEF 5.01"/>
      <sheetName val="SEF 5.02"/>
      <sheetName val="SEF 5.03"/>
      <sheetName val="SEF 5.04"/>
      <sheetName val="SEF 5.05"/>
      <sheetName val="SEF-6"/>
      <sheetName val="SEF-7"/>
    </sheetNames>
    <sheetDataSet>
      <sheetData sheetId="0">
        <row r="13">
          <cell r="J13">
            <v>2.9899999999999999E-2</v>
          </cell>
          <cell r="O13">
            <v>5.1399999999999996E-3</v>
          </cell>
        </row>
        <row r="14">
          <cell r="O14">
            <v>2E-3</v>
          </cell>
        </row>
        <row r="15">
          <cell r="O15">
            <v>3.8322000000000002E-2</v>
          </cell>
        </row>
        <row r="20">
          <cell r="N20">
            <v>0.35</v>
          </cell>
        </row>
      </sheetData>
      <sheetData sheetId="1">
        <row r="59">
          <cell r="AI59">
            <v>1760693633.2691975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33"/>
  <sheetViews>
    <sheetView tabSelected="1" view="pageBreakPreview" zoomScale="60" zoomScaleNormal="100" workbookViewId="0">
      <selection sqref="A1:XFD2"/>
    </sheetView>
  </sheetViews>
  <sheetFormatPr defaultColWidth="7.28515625" defaultRowHeight="12.75" outlineLevelCol="1" x14ac:dyDescent="0.2"/>
  <cols>
    <col min="1" max="1" width="5.7109375" style="3" customWidth="1"/>
    <col min="2" max="2" width="44.7109375" style="3" customWidth="1"/>
    <col min="3" max="3" width="8.85546875" style="3" customWidth="1"/>
    <col min="4" max="4" width="15.5703125" style="3" bestFit="1" customWidth="1"/>
    <col min="5" max="5" width="16.42578125" style="3" customWidth="1"/>
    <col min="6" max="6" width="5.28515625" style="3" customWidth="1"/>
    <col min="7" max="7" width="20" style="3" customWidth="1"/>
    <col min="8" max="8" width="19.28515625" style="3" customWidth="1"/>
    <col min="9" max="9" width="13.85546875" style="3" bestFit="1" customWidth="1"/>
    <col min="10" max="10" width="13.85546875" style="3" customWidth="1"/>
    <col min="11" max="11" width="13.28515625" style="3" customWidth="1"/>
    <col min="12" max="12" width="5.28515625" style="3" customWidth="1"/>
    <col min="13" max="13" width="56.140625" style="3" customWidth="1"/>
    <col min="14" max="14" width="14.7109375" style="3" customWidth="1"/>
    <col min="15" max="15" width="13.85546875" style="3" customWidth="1"/>
    <col min="16" max="16" width="5.28515625" style="3" customWidth="1"/>
    <col min="17" max="19" width="17.85546875" style="3" customWidth="1"/>
    <col min="20" max="20" width="15.5703125" style="3" customWidth="1"/>
    <col min="21" max="21" width="5.28515625" style="3" customWidth="1"/>
    <col min="22" max="22" width="46.7109375" style="3" bestFit="1" customWidth="1"/>
    <col min="23" max="23" width="14.85546875" style="3" bestFit="1" customWidth="1"/>
    <col min="24" max="24" width="15.5703125" style="3" customWidth="1"/>
    <col min="25" max="25" width="5.7109375" style="3" customWidth="1"/>
    <col min="26" max="26" width="59.7109375" style="3" customWidth="1"/>
    <col min="27" max="27" width="13.42578125" style="3" customWidth="1"/>
    <col min="28" max="29" width="14.28515625" style="3" customWidth="1"/>
    <col min="30" max="30" width="5.7109375" style="3" customWidth="1"/>
    <col min="31" max="31" width="39.28515625" style="3" customWidth="1"/>
    <col min="32" max="34" width="13.85546875" style="3" customWidth="1"/>
    <col min="35" max="35" width="5.28515625" style="3" customWidth="1"/>
    <col min="36" max="36" width="33" style="3" customWidth="1"/>
    <col min="37" max="37" width="12.28515625" style="3" customWidth="1"/>
    <col min="38" max="38" width="14.85546875" style="3" hidden="1" customWidth="1" outlineLevel="1"/>
    <col min="39" max="39" width="12.28515625" style="3" hidden="1" customWidth="1" outlineLevel="1"/>
    <col min="40" max="40" width="14.85546875" style="3" bestFit="1" customWidth="1" collapsed="1"/>
    <col min="41" max="41" width="11" style="3" customWidth="1"/>
    <col min="42" max="42" width="5.7109375" style="3" customWidth="1"/>
    <col min="43" max="43" width="36.42578125" style="3" customWidth="1"/>
    <col min="44" max="44" width="12.28515625" style="3" customWidth="1"/>
    <col min="45" max="45" width="12.42578125" style="3" customWidth="1"/>
    <col min="46" max="46" width="12.7109375" style="3" customWidth="1"/>
    <col min="47" max="47" width="5.7109375" style="3" customWidth="1"/>
    <col min="48" max="48" width="29.85546875" style="3" customWidth="1"/>
    <col min="49" max="49" width="12.28515625" style="3" customWidth="1"/>
    <col min="50" max="50" width="10.28515625" style="3" customWidth="1"/>
    <col min="51" max="51" width="15.5703125" style="3" customWidth="1"/>
    <col min="52" max="52" width="5.5703125" style="3" bestFit="1" customWidth="1"/>
    <col min="53" max="53" width="32" style="3" customWidth="1"/>
    <col min="54" max="54" width="14.28515625" style="3" customWidth="1"/>
    <col min="55" max="55" width="9.28515625" style="3" customWidth="1"/>
    <col min="56" max="56" width="14.28515625" style="3" customWidth="1"/>
    <col min="57" max="57" width="4.5703125" style="6" customWidth="1"/>
    <col min="58" max="58" width="56.42578125" style="6" customWidth="1"/>
    <col min="59" max="59" width="15.7109375" style="6" customWidth="1"/>
    <col min="60" max="60" width="13.7109375" style="6" customWidth="1"/>
    <col min="61" max="61" width="4.5703125" style="3" customWidth="1"/>
    <col min="62" max="62" width="55.28515625" style="3" customWidth="1"/>
    <col min="63" max="63" width="11" style="3" customWidth="1"/>
    <col min="64" max="64" width="13.42578125" style="3" customWidth="1"/>
    <col min="65" max="65" width="5" style="3" customWidth="1"/>
    <col min="66" max="66" width="34.140625" style="3" customWidth="1"/>
    <col min="67" max="67" width="13.42578125" style="3" customWidth="1"/>
    <col min="68" max="68" width="14.7109375" style="3" customWidth="1"/>
    <col min="69" max="69" width="14.28515625" style="3" customWidth="1"/>
    <col min="70" max="70" width="5.7109375" style="3" customWidth="1"/>
    <col min="71" max="71" width="34.140625" style="3" customWidth="1"/>
    <col min="72" max="73" width="13.42578125" style="3" customWidth="1"/>
    <col min="74" max="74" width="14.85546875" style="3" customWidth="1"/>
    <col min="75" max="75" width="5.28515625" style="3" customWidth="1"/>
    <col min="76" max="76" width="33.28515625" style="3" customWidth="1"/>
    <col min="77" max="77" width="3.7109375" style="3" customWidth="1"/>
    <col min="78" max="78" width="4.5703125" style="3" bestFit="1" customWidth="1"/>
    <col min="79" max="79" width="12.28515625" style="3" bestFit="1" customWidth="1"/>
    <col min="80" max="80" width="14.7109375" style="3" customWidth="1"/>
    <col min="81" max="81" width="13.42578125" style="3" customWidth="1"/>
    <col min="82" max="82" width="5.85546875" style="3" customWidth="1"/>
    <col min="83" max="83" width="48.85546875" style="3" bestFit="1" customWidth="1"/>
    <col min="84" max="84" width="10.7109375" style="3" customWidth="1"/>
    <col min="85" max="86" width="14" style="3" customWidth="1"/>
    <col min="87" max="87" width="5.28515625" style="3" customWidth="1"/>
    <col min="88" max="88" width="39.5703125" style="3" bestFit="1" customWidth="1"/>
    <col min="89" max="89" width="10.7109375" style="3" customWidth="1"/>
    <col min="90" max="90" width="20.7109375" style="3" bestFit="1" customWidth="1"/>
    <col min="91" max="91" width="5.28515625" style="3" customWidth="1"/>
    <col min="92" max="92" width="70.7109375" style="3" customWidth="1"/>
    <col min="93" max="93" width="15.5703125" style="3" bestFit="1" customWidth="1"/>
    <col min="94" max="94" width="14.5703125" style="3" customWidth="1"/>
    <col min="95" max="95" width="4.85546875" style="16" customWidth="1"/>
    <col min="96" max="96" width="41.140625" style="16" bestFit="1" customWidth="1"/>
    <col min="97" max="97" width="11.28515625" style="16" customWidth="1"/>
    <col min="98" max="98" width="12" style="16" customWidth="1"/>
    <col min="99" max="99" width="15.85546875" style="16" bestFit="1" customWidth="1"/>
    <col min="100" max="100" width="5" style="16" bestFit="1" customWidth="1"/>
    <col min="101" max="101" width="48" style="16" bestFit="1" customWidth="1"/>
    <col min="102" max="102" width="14" style="16" bestFit="1" customWidth="1"/>
    <col min="103" max="103" width="13.85546875" style="16" bestFit="1" customWidth="1"/>
    <col min="104" max="104" width="13.7109375" style="16" customWidth="1"/>
    <col min="105" max="105" width="5.7109375" style="3" customWidth="1"/>
    <col min="106" max="106" width="48.7109375" style="3" bestFit="1" customWidth="1"/>
    <col min="107" max="108" width="12.28515625" style="3" bestFit="1" customWidth="1"/>
    <col min="109" max="109" width="13.85546875" style="3" customWidth="1"/>
    <col min="110" max="110" width="5.5703125" style="3" bestFit="1" customWidth="1"/>
    <col min="111" max="111" width="43.85546875" style="3" customWidth="1"/>
    <col min="112" max="112" width="18.5703125" style="3" customWidth="1"/>
    <col min="113" max="113" width="21.7109375" style="3" bestFit="1" customWidth="1"/>
    <col min="114" max="114" width="12" style="3" bestFit="1" customWidth="1"/>
    <col min="115" max="115" width="20.42578125" style="3" bestFit="1" customWidth="1"/>
    <col min="116" max="116" width="11.85546875" style="3" bestFit="1" customWidth="1"/>
    <col min="117" max="117" width="17.28515625" style="3" customWidth="1"/>
    <col min="118" max="118" width="13" style="3" customWidth="1"/>
    <col min="119" max="119" width="5.5703125" style="3" bestFit="1" customWidth="1"/>
    <col min="120" max="120" width="43.85546875" style="3" customWidth="1"/>
    <col min="121" max="121" width="21.28515625" style="3" customWidth="1"/>
    <col min="122" max="122" width="16.140625" style="3" customWidth="1"/>
    <col min="123" max="123" width="20.5703125" style="3" bestFit="1" customWidth="1"/>
    <col min="124" max="124" width="19.28515625" style="3" customWidth="1"/>
    <col min="125" max="125" width="17.28515625" style="3" customWidth="1"/>
    <col min="126" max="126" width="18.42578125" style="3" customWidth="1"/>
    <col min="127" max="127" width="5.5703125" style="3" bestFit="1" customWidth="1"/>
    <col min="128" max="128" width="46.5703125" style="3" bestFit="1" customWidth="1"/>
    <col min="129" max="133" width="18.42578125" style="3" customWidth="1"/>
    <col min="134" max="134" width="19.28515625" style="3" bestFit="1" customWidth="1"/>
    <col min="135" max="135" width="15.85546875" style="3" bestFit="1" customWidth="1"/>
    <col min="136" max="136" width="8.42578125" style="3" customWidth="1"/>
    <col min="137" max="137" width="43.85546875" style="3" bestFit="1" customWidth="1"/>
    <col min="138" max="138" width="15.42578125" style="3" bestFit="1" customWidth="1"/>
    <col min="139" max="139" width="17.140625" style="3" bestFit="1" customWidth="1"/>
    <col min="140" max="140" width="15.85546875" style="3" bestFit="1" customWidth="1"/>
    <col min="141" max="141" width="19.28515625" style="3" customWidth="1"/>
    <col min="142" max="142" width="18.140625" style="3" customWidth="1"/>
    <col min="143" max="143" width="2.28515625" style="3" customWidth="1"/>
    <col min="144" max="144" width="13.42578125" style="3" bestFit="1" customWidth="1"/>
    <col min="145" max="145" width="16.42578125" style="3" customWidth="1"/>
    <col min="146" max="16384" width="7.28515625" style="3"/>
  </cols>
  <sheetData>
    <row r="1" spans="1:145" ht="14.25" customHeight="1" x14ac:dyDescent="0.2">
      <c r="A1" s="1"/>
      <c r="B1" s="2"/>
      <c r="C1" s="2"/>
      <c r="E1" s="4" t="s">
        <v>0</v>
      </c>
      <c r="F1" s="1"/>
      <c r="K1" s="4" t="str">
        <f>keep_SEF_6_Common_Adjs</f>
        <v>Exhibit No. ___(SEF-6)</v>
      </c>
      <c r="L1" s="5"/>
      <c r="M1" s="5"/>
      <c r="N1" s="5"/>
      <c r="O1" s="4" t="str">
        <f>keep_SEF_6_Common_Adjs</f>
        <v>Exhibit No. ___(SEF-6)</v>
      </c>
      <c r="P1" s="1"/>
      <c r="T1" s="4" t="str">
        <f>keep_SEF_6_Common_Adjs</f>
        <v>Exhibit No. ___(SEF-6)</v>
      </c>
      <c r="U1" s="1"/>
      <c r="X1" s="4" t="str">
        <f>keep_SEF_6_Common_Adjs</f>
        <v>Exhibit No. ___(SEF-6)</v>
      </c>
      <c r="Z1" s="1"/>
      <c r="AC1" s="4" t="str">
        <f>keep_SEF_6_Common_Adjs</f>
        <v>Exhibit No. ___(SEF-6)</v>
      </c>
      <c r="AH1" s="4" t="str">
        <f>keep_SEF_6_Common_Adjs</f>
        <v>Exhibit No. ___(SEF-6)</v>
      </c>
      <c r="AO1" s="4" t="str">
        <f>keep_SEF_6_Common_Adjs</f>
        <v>Exhibit No. ___(SEF-6)</v>
      </c>
      <c r="AQ1" s="1"/>
      <c r="AT1" s="4" t="str">
        <f>keep_SEF_6_Common_Adjs</f>
        <v>Exhibit No. ___(SEF-6)</v>
      </c>
      <c r="AY1" s="4" t="str">
        <f>keep_SEF_6_Common_Adjs</f>
        <v>Exhibit No. ___(SEF-6)</v>
      </c>
      <c r="BD1" s="4" t="str">
        <f>keep_SEF_6_Common_Adjs</f>
        <v>Exhibit No. ___(SEF-6)</v>
      </c>
      <c r="BH1" s="4" t="str">
        <f>keep_SEF_6_Common_Adjs</f>
        <v>Exhibit No. ___(SEF-6)</v>
      </c>
      <c r="BL1" s="4" t="str">
        <f>keep_SEF_6_Common_Adjs</f>
        <v>Exhibit No. ___(SEF-6)</v>
      </c>
      <c r="BQ1" s="4" t="str">
        <f>keep_SEF_6_Common_Adjs</f>
        <v>Exhibit No. ___(SEF-6)</v>
      </c>
      <c r="BV1" s="4" t="str">
        <f>keep_SEF_6_Common_Adjs</f>
        <v>Exhibit No. ___(SEF-6)</v>
      </c>
      <c r="CC1" s="4" t="str">
        <f>keep_SEF_6_Common_Adjs</f>
        <v>Exhibit No. ___(SEF-6)</v>
      </c>
      <c r="CH1" s="4" t="str">
        <f>keep_SEF_6_Common_Adjs</f>
        <v>Exhibit No. ___(SEF-6)</v>
      </c>
      <c r="CL1" s="4" t="str">
        <f>keep_SEF_6_Common_Adjs</f>
        <v>Exhibit No. ___(SEF-6)</v>
      </c>
      <c r="CP1" s="4" t="str">
        <f>keep_SEF_6_Common_Adjs</f>
        <v>Exhibit No. ___(SEF-6)</v>
      </c>
      <c r="CQ1" s="3"/>
      <c r="CR1" s="3"/>
      <c r="CS1" s="3"/>
      <c r="CT1" s="3"/>
      <c r="CU1" s="4" t="str">
        <f>keep_SEF_6_Common_Adjs</f>
        <v>Exhibit No. ___(SEF-6)</v>
      </c>
      <c r="CV1" s="3"/>
      <c r="CW1" s="3"/>
      <c r="CX1" s="3"/>
      <c r="CY1" s="3"/>
      <c r="CZ1" s="4" t="str">
        <f>keep_SEF_6_Common_Adjs</f>
        <v>Exhibit No. ___(SEF-6)</v>
      </c>
      <c r="DE1" s="4" t="str">
        <f>keep_SEF_6_Common_Adjs</f>
        <v>Exhibit No. ___(SEF-6)</v>
      </c>
    </row>
    <row r="2" spans="1:145" ht="14.25" customHeight="1" thickBot="1" x14ac:dyDescent="0.25">
      <c r="A2" s="1"/>
      <c r="B2" s="2"/>
      <c r="C2" s="2"/>
      <c r="E2" s="7" t="s">
        <v>1</v>
      </c>
      <c r="F2" s="1"/>
      <c r="H2" s="8"/>
      <c r="K2" s="7" t="s">
        <v>2</v>
      </c>
      <c r="L2" s="9"/>
      <c r="M2" s="9"/>
      <c r="N2" s="9"/>
      <c r="O2" s="7" t="s">
        <v>3</v>
      </c>
      <c r="P2" s="10"/>
      <c r="T2" s="7" t="s">
        <v>4</v>
      </c>
      <c r="U2" s="10"/>
      <c r="X2" s="7" t="s">
        <v>5</v>
      </c>
      <c r="Y2" s="1"/>
      <c r="Z2" s="1"/>
      <c r="AC2" s="7" t="s">
        <v>6</v>
      </c>
      <c r="AD2" s="1"/>
      <c r="AE2" s="7"/>
      <c r="AF2" s="11"/>
      <c r="AG2" s="11"/>
      <c r="AH2" s="7" t="s">
        <v>7</v>
      </c>
      <c r="AI2" s="1"/>
      <c r="AJ2" s="12"/>
      <c r="AK2" s="12"/>
      <c r="AL2" s="12"/>
      <c r="AM2" s="12"/>
      <c r="AN2" s="12"/>
      <c r="AO2" s="7" t="s">
        <v>8</v>
      </c>
      <c r="AP2" s="1"/>
      <c r="AQ2" s="1"/>
      <c r="AT2" s="7" t="s">
        <v>9</v>
      </c>
      <c r="AU2" s="1"/>
      <c r="AV2" s="2"/>
      <c r="AW2" s="2"/>
      <c r="AX2" s="2"/>
      <c r="AY2" s="7" t="s">
        <v>10</v>
      </c>
      <c r="AZ2" s="1"/>
      <c r="BA2" s="13"/>
      <c r="BB2" s="13"/>
      <c r="BC2" s="13"/>
      <c r="BD2" s="7" t="s">
        <v>11</v>
      </c>
      <c r="BE2" s="1"/>
      <c r="BF2" s="14"/>
      <c r="BH2" s="7" t="s">
        <v>12</v>
      </c>
      <c r="BI2" s="1"/>
      <c r="BJ2" s="7"/>
      <c r="BK2" s="7"/>
      <c r="BL2" s="7" t="s">
        <v>13</v>
      </c>
      <c r="BM2" s="1"/>
      <c r="BQ2" s="7" t="s">
        <v>14</v>
      </c>
      <c r="BR2" s="1"/>
      <c r="BS2" s="1"/>
      <c r="BV2" s="7" t="s">
        <v>15</v>
      </c>
      <c r="BW2" s="1"/>
      <c r="BX2" s="1"/>
      <c r="CC2" s="7" t="s">
        <v>16</v>
      </c>
      <c r="CD2" s="1"/>
      <c r="CE2" s="1"/>
      <c r="CH2" s="7" t="s">
        <v>17</v>
      </c>
      <c r="CI2" s="1"/>
      <c r="CJ2" s="1"/>
      <c r="CL2" s="7" t="s">
        <v>18</v>
      </c>
      <c r="CM2" s="1"/>
      <c r="CN2" s="1"/>
      <c r="CP2" s="7" t="s">
        <v>19</v>
      </c>
      <c r="CQ2" s="1"/>
      <c r="CR2" s="2"/>
      <c r="CS2" s="2"/>
      <c r="CT2" s="2"/>
      <c r="CU2" s="7" t="s">
        <v>20</v>
      </c>
      <c r="CV2" s="1"/>
      <c r="CW2" s="2"/>
      <c r="CX2" s="2"/>
      <c r="CY2" s="2"/>
      <c r="CZ2" s="7" t="s">
        <v>21</v>
      </c>
      <c r="DE2" s="7" t="s">
        <v>22</v>
      </c>
    </row>
    <row r="3" spans="1:145" ht="14.25" customHeight="1" thickTop="1" thickBot="1" x14ac:dyDescent="0.25">
      <c r="E3" s="15">
        <v>6.01</v>
      </c>
      <c r="K3" s="15">
        <f>E3+0.01</f>
        <v>6.02</v>
      </c>
      <c r="O3" s="15">
        <f>K3+0.01</f>
        <v>6.0299999999999994</v>
      </c>
      <c r="T3" s="15">
        <f>O3+0.01</f>
        <v>6.0399999999999991</v>
      </c>
      <c r="X3" s="15">
        <f>T3+0.01</f>
        <v>6.0499999999999989</v>
      </c>
      <c r="AC3" s="15">
        <f>X3+0.01</f>
        <v>6.0599999999999987</v>
      </c>
      <c r="AH3" s="15">
        <f>AC3+0.01</f>
        <v>6.0699999999999985</v>
      </c>
      <c r="AO3" s="15">
        <f>AH3+0.01</f>
        <v>6.0799999999999983</v>
      </c>
      <c r="AT3" s="15">
        <f>AO3+0.01</f>
        <v>6.0899999999999981</v>
      </c>
      <c r="AY3" s="15">
        <f>AT3+0.01</f>
        <v>6.0999999999999979</v>
      </c>
      <c r="BD3" s="15">
        <f>AY3+0.01</f>
        <v>6.1099999999999977</v>
      </c>
      <c r="BH3" s="15">
        <f>BD3+0.01</f>
        <v>6.1199999999999974</v>
      </c>
      <c r="BL3" s="15">
        <f>BH3+0.01</f>
        <v>6.1299999999999972</v>
      </c>
      <c r="BQ3" s="15">
        <f>BL3+0.01</f>
        <v>6.139999999999997</v>
      </c>
      <c r="BV3" s="15">
        <f>BQ3+0.01</f>
        <v>6.1499999999999968</v>
      </c>
      <c r="CC3" s="15">
        <f>BV3+0.01</f>
        <v>6.1599999999999966</v>
      </c>
      <c r="CH3" s="15">
        <f>CC3+0.01</f>
        <v>6.1699999999999964</v>
      </c>
      <c r="CL3" s="15">
        <f>CH3+0.01</f>
        <v>6.1799999999999962</v>
      </c>
      <c r="CP3" s="15">
        <f>CL3+0.01</f>
        <v>6.1899999999999959</v>
      </c>
      <c r="CU3" s="15">
        <f>CP3+0.01</f>
        <v>6.1999999999999957</v>
      </c>
      <c r="CZ3" s="15">
        <f>CU3+0.01</f>
        <v>6.2099999999999955</v>
      </c>
      <c r="DE3" s="15">
        <f>CZ3+0.01</f>
        <v>6.2199999999999953</v>
      </c>
    </row>
    <row r="4" spans="1:145" s="1" customFormat="1" ht="14.45" customHeight="1" thickTop="1" x14ac:dyDescent="0.25">
      <c r="B4" s="17"/>
      <c r="C4" s="17"/>
      <c r="D4" s="3"/>
      <c r="G4" s="3"/>
      <c r="H4" s="3"/>
      <c r="I4" s="3"/>
      <c r="J4" s="3"/>
      <c r="L4" s="18"/>
      <c r="M4" s="18"/>
      <c r="N4" s="18"/>
      <c r="P4" s="3"/>
      <c r="Q4" s="3"/>
      <c r="R4" s="3"/>
      <c r="S4" s="3"/>
      <c r="U4" s="3"/>
      <c r="V4" s="19" t="s">
        <v>23</v>
      </c>
      <c r="W4" s="3"/>
      <c r="Y4" s="20"/>
      <c r="Z4" s="21"/>
      <c r="AA4" s="20"/>
      <c r="AB4" s="20"/>
      <c r="AD4" s="3"/>
      <c r="AE4" s="3"/>
      <c r="AF4" s="3"/>
      <c r="AG4" s="3"/>
      <c r="AI4" s="3"/>
      <c r="AJ4" s="12"/>
      <c r="AK4" s="12"/>
      <c r="AL4" s="12"/>
      <c r="AM4" s="12"/>
      <c r="AN4" s="12"/>
      <c r="AP4" s="20"/>
      <c r="AQ4" s="21"/>
      <c r="AR4" s="20"/>
      <c r="AS4" s="20"/>
      <c r="AU4" s="2"/>
      <c r="AV4" s="22"/>
      <c r="AW4" s="22"/>
      <c r="AX4" s="22"/>
      <c r="AZ4" s="3"/>
      <c r="BA4" s="23"/>
      <c r="BB4" s="23"/>
      <c r="BC4" s="23"/>
      <c r="BE4" s="6"/>
      <c r="BF4" s="14"/>
      <c r="BG4" s="6"/>
      <c r="BI4" s="7"/>
      <c r="BJ4" s="7"/>
      <c r="BK4" s="7"/>
      <c r="BM4" s="3"/>
      <c r="BN4" s="3"/>
      <c r="BO4" s="3"/>
      <c r="BP4" s="3"/>
      <c r="BR4" s="3"/>
      <c r="BS4" s="3"/>
      <c r="BT4" s="3"/>
      <c r="BU4" s="3"/>
      <c r="BW4" s="3"/>
      <c r="BY4" s="3"/>
      <c r="BZ4" s="3"/>
      <c r="CA4" s="3"/>
      <c r="CB4" s="3"/>
      <c r="CD4" s="3"/>
      <c r="CF4" s="3"/>
      <c r="CG4" s="3"/>
      <c r="CI4" s="3"/>
      <c r="CJ4" s="3"/>
      <c r="CK4" s="3"/>
      <c r="CM4" s="3"/>
      <c r="CN4" s="3"/>
      <c r="CO4" s="3"/>
      <c r="CQ4" s="2"/>
      <c r="CR4" s="22"/>
      <c r="CS4" s="22"/>
      <c r="CT4" s="22"/>
      <c r="CV4" s="2"/>
      <c r="CW4" s="22"/>
      <c r="CX4" s="22"/>
      <c r="CY4" s="22"/>
      <c r="DA4" s="3"/>
      <c r="DB4" s="3"/>
      <c r="DC4" s="3"/>
      <c r="DD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45" s="1" customFormat="1" ht="14.25" customHeight="1" x14ac:dyDescent="0.25">
      <c r="A5" s="24" t="s">
        <v>24</v>
      </c>
      <c r="B5" s="8"/>
      <c r="C5" s="8"/>
      <c r="D5" s="8"/>
      <c r="E5" s="25"/>
      <c r="F5" s="26"/>
      <c r="G5" s="354" t="str">
        <f>keep_PSE</f>
        <v xml:space="preserve">PUGET SOUND ENERGY-GAS </v>
      </c>
      <c r="H5" s="354"/>
      <c r="I5" s="354"/>
      <c r="J5" s="354"/>
      <c r="K5" s="354"/>
      <c r="L5" s="27" t="s">
        <v>24</v>
      </c>
      <c r="M5" s="27"/>
      <c r="N5" s="27"/>
      <c r="O5" s="27"/>
      <c r="P5" s="24" t="str">
        <f>keep_PSE</f>
        <v xml:space="preserve">PUGET SOUND ENERGY-GAS </v>
      </c>
      <c r="Q5" s="8"/>
      <c r="R5" s="8"/>
      <c r="S5" s="8"/>
      <c r="T5" s="25"/>
      <c r="U5" s="24" t="str">
        <f>keep_PSE</f>
        <v xml:space="preserve">PUGET SOUND ENERGY-GAS </v>
      </c>
      <c r="V5" s="8"/>
      <c r="W5" s="8"/>
      <c r="X5" s="8"/>
      <c r="Y5" s="24" t="str">
        <f>keep_PSE</f>
        <v xml:space="preserve">PUGET SOUND ENERGY-GAS </v>
      </c>
      <c r="Z5" s="28"/>
      <c r="AA5" s="28"/>
      <c r="AB5" s="28"/>
      <c r="AC5" s="28"/>
      <c r="AD5" s="24" t="str">
        <f>keep_PSE</f>
        <v xml:space="preserve">PUGET SOUND ENERGY-GAS </v>
      </c>
      <c r="AE5" s="8"/>
      <c r="AF5" s="8"/>
      <c r="AG5" s="8"/>
      <c r="AH5" s="8"/>
      <c r="AI5" s="24" t="str">
        <f>keep_PSE</f>
        <v xml:space="preserve">PUGET SOUND ENERGY-GAS </v>
      </c>
      <c r="AJ5" s="8"/>
      <c r="AK5" s="8"/>
      <c r="AL5" s="8"/>
      <c r="AM5" s="8"/>
      <c r="AN5" s="8"/>
      <c r="AO5" s="8"/>
      <c r="AP5" s="24" t="str">
        <f>keep_PSE</f>
        <v xml:space="preserve">PUGET SOUND ENERGY-GAS </v>
      </c>
      <c r="AQ5" s="28"/>
      <c r="AR5" s="28"/>
      <c r="AS5" s="28"/>
      <c r="AT5" s="28"/>
      <c r="AU5" s="24" t="str">
        <f>keep_PSE</f>
        <v xml:space="preserve">PUGET SOUND ENERGY-GAS </v>
      </c>
      <c r="AV5" s="29"/>
      <c r="AW5" s="29"/>
      <c r="AX5" s="29"/>
      <c r="AY5" s="30"/>
      <c r="AZ5" s="24" t="str">
        <f>keep_PSE</f>
        <v xml:space="preserve">PUGET SOUND ENERGY-GAS </v>
      </c>
      <c r="BA5" s="28"/>
      <c r="BB5" s="28"/>
      <c r="BC5" s="28"/>
      <c r="BD5" s="28"/>
      <c r="BE5" s="24" t="str">
        <f>keep_PSE</f>
        <v xml:space="preserve">PUGET SOUND ENERGY-GAS </v>
      </c>
      <c r="BF5" s="8"/>
      <c r="BG5" s="8"/>
      <c r="BH5" s="8"/>
      <c r="BI5" s="24" t="str">
        <f>keep_PSE</f>
        <v xml:space="preserve">PUGET SOUND ENERGY-GAS </v>
      </c>
      <c r="BJ5" s="28"/>
      <c r="BK5" s="28"/>
      <c r="BL5" s="28"/>
      <c r="BM5" s="24" t="str">
        <f>keep_PSE</f>
        <v xml:space="preserve">PUGET SOUND ENERGY-GAS </v>
      </c>
      <c r="BN5" s="8"/>
      <c r="BO5" s="8"/>
      <c r="BP5" s="8"/>
      <c r="BQ5" s="8"/>
      <c r="BR5" s="24" t="str">
        <f>keep_PSE</f>
        <v xml:space="preserve">PUGET SOUND ENERGY-GAS </v>
      </c>
      <c r="BS5" s="8"/>
      <c r="BT5" s="8"/>
      <c r="BU5" s="8"/>
      <c r="BV5" s="8"/>
      <c r="BW5" s="24" t="str">
        <f>keep_PSE</f>
        <v xml:space="preserve">PUGET SOUND ENERGY-GAS </v>
      </c>
      <c r="BX5" s="8"/>
      <c r="BY5" s="8"/>
      <c r="BZ5" s="8"/>
      <c r="CA5" s="8"/>
      <c r="CB5" s="8"/>
      <c r="CC5" s="8"/>
      <c r="CD5" s="24" t="str">
        <f>keep_PSE</f>
        <v xml:space="preserve">PUGET SOUND ENERGY-GAS </v>
      </c>
      <c r="CE5" s="24"/>
      <c r="CF5" s="24"/>
      <c r="CG5" s="24"/>
      <c r="CH5" s="8"/>
      <c r="CI5" s="24" t="str">
        <f>keep_PSE</f>
        <v xml:space="preserve">PUGET SOUND ENERGY-GAS </v>
      </c>
      <c r="CJ5" s="24"/>
      <c r="CK5" s="24"/>
      <c r="CL5" s="24"/>
      <c r="CM5" s="24" t="str">
        <f>keep_PSE</f>
        <v xml:space="preserve">PUGET SOUND ENERGY-GAS </v>
      </c>
      <c r="CN5" s="24"/>
      <c r="CO5" s="24"/>
      <c r="CP5" s="24"/>
      <c r="CQ5" s="24" t="str">
        <f>keep_PSE</f>
        <v xml:space="preserve">PUGET SOUND ENERGY-GAS </v>
      </c>
      <c r="CR5" s="29"/>
      <c r="CS5" s="29"/>
      <c r="CT5" s="29"/>
      <c r="CU5" s="30"/>
      <c r="CV5" s="24" t="str">
        <f>keep_PSE</f>
        <v xml:space="preserve">PUGET SOUND ENERGY-GAS </v>
      </c>
      <c r="CW5" s="29"/>
      <c r="CX5" s="29"/>
      <c r="CY5" s="29"/>
      <c r="CZ5" s="30"/>
      <c r="DA5" s="24" t="str">
        <f>keep_PSE</f>
        <v xml:space="preserve">PUGET SOUND ENERGY-GAS </v>
      </c>
      <c r="DB5" s="8"/>
      <c r="DC5" s="8"/>
      <c r="DD5" s="8"/>
      <c r="DE5" s="8"/>
    </row>
    <row r="6" spans="1:145" s="1" customFormat="1" ht="14.25" customHeight="1" x14ac:dyDescent="0.25">
      <c r="A6" s="8" t="s">
        <v>25</v>
      </c>
      <c r="B6" s="8"/>
      <c r="C6" s="8"/>
      <c r="D6" s="8"/>
      <c r="E6" s="25"/>
      <c r="F6" s="26"/>
      <c r="G6" s="354" t="s">
        <v>26</v>
      </c>
      <c r="H6" s="354"/>
      <c r="I6" s="354"/>
      <c r="J6" s="354"/>
      <c r="K6" s="354"/>
      <c r="L6" s="27" t="s">
        <v>27</v>
      </c>
      <c r="M6" s="27"/>
      <c r="N6" s="27"/>
      <c r="O6" s="27"/>
      <c r="P6" s="8" t="s">
        <v>28</v>
      </c>
      <c r="Q6" s="8"/>
      <c r="R6" s="8"/>
      <c r="S6" s="8"/>
      <c r="T6" s="25"/>
      <c r="U6" s="8" t="s">
        <v>29</v>
      </c>
      <c r="V6" s="8"/>
      <c r="W6" s="8"/>
      <c r="X6" s="8"/>
      <c r="Y6" s="31" t="s">
        <v>30</v>
      </c>
      <c r="Z6" s="28"/>
      <c r="AA6" s="28"/>
      <c r="AB6" s="28"/>
      <c r="AC6" s="28"/>
      <c r="AD6" s="24" t="s">
        <v>31</v>
      </c>
      <c r="AE6" s="8"/>
      <c r="AF6" s="24"/>
      <c r="AG6" s="24"/>
      <c r="AH6" s="8"/>
      <c r="AI6" s="24" t="s">
        <v>32</v>
      </c>
      <c r="AJ6" s="8"/>
      <c r="AK6" s="8"/>
      <c r="AL6" s="8"/>
      <c r="AM6" s="8"/>
      <c r="AN6" s="8"/>
      <c r="AO6" s="8"/>
      <c r="AP6" s="8" t="s">
        <v>33</v>
      </c>
      <c r="AQ6" s="28"/>
      <c r="AR6" s="28"/>
      <c r="AS6" s="28"/>
      <c r="AT6" s="28"/>
      <c r="AU6" s="27" t="s">
        <v>34</v>
      </c>
      <c r="AV6" s="29"/>
      <c r="AW6" s="29"/>
      <c r="AX6" s="29"/>
      <c r="AY6" s="32"/>
      <c r="AZ6" s="8" t="s">
        <v>35</v>
      </c>
      <c r="BA6" s="28"/>
      <c r="BB6" s="28"/>
      <c r="BC6" s="28"/>
      <c r="BD6" s="28"/>
      <c r="BE6" s="8" t="s">
        <v>36</v>
      </c>
      <c r="BF6" s="8"/>
      <c r="BG6" s="8"/>
      <c r="BH6" s="32"/>
      <c r="BI6" s="27" t="s">
        <v>37</v>
      </c>
      <c r="BJ6" s="28"/>
      <c r="BK6" s="28"/>
      <c r="BL6" s="28"/>
      <c r="BM6" s="24" t="s">
        <v>38</v>
      </c>
      <c r="BN6" s="32"/>
      <c r="BO6" s="32"/>
      <c r="BP6" s="32"/>
      <c r="BQ6" s="32"/>
      <c r="BR6" s="24" t="s">
        <v>39</v>
      </c>
      <c r="BS6" s="32"/>
      <c r="BT6" s="32"/>
      <c r="BU6" s="32"/>
      <c r="BV6" s="32"/>
      <c r="BW6" s="8" t="s">
        <v>40</v>
      </c>
      <c r="BX6" s="8"/>
      <c r="BY6" s="8"/>
      <c r="BZ6" s="8"/>
      <c r="CA6" s="8"/>
      <c r="CB6" s="8"/>
      <c r="CC6" s="32"/>
      <c r="CD6" s="8" t="s">
        <v>41</v>
      </c>
      <c r="CE6" s="8"/>
      <c r="CF6" s="8"/>
      <c r="CG6" s="8"/>
      <c r="CH6" s="8"/>
      <c r="CI6" s="8" t="s">
        <v>42</v>
      </c>
      <c r="CJ6" s="8"/>
      <c r="CK6" s="8"/>
      <c r="CL6" s="8"/>
      <c r="CM6" s="8" t="s">
        <v>43</v>
      </c>
      <c r="CN6" s="8"/>
      <c r="CO6" s="8"/>
      <c r="CP6" s="8"/>
      <c r="CQ6" s="27" t="s">
        <v>44</v>
      </c>
      <c r="CR6" s="29"/>
      <c r="CS6" s="29"/>
      <c r="CT6" s="29"/>
      <c r="CU6" s="32"/>
      <c r="CV6" s="27" t="s">
        <v>45</v>
      </c>
      <c r="CW6" s="29"/>
      <c r="CX6" s="29"/>
      <c r="CY6" s="29"/>
      <c r="CZ6" s="32"/>
      <c r="DA6" s="33" t="s">
        <v>46</v>
      </c>
      <c r="DB6" s="8"/>
      <c r="DC6" s="8"/>
      <c r="DD6" s="8"/>
      <c r="DE6" s="8"/>
    </row>
    <row r="7" spans="1:145" s="1" customFormat="1" ht="14.25" customHeight="1" x14ac:dyDescent="0.25">
      <c r="A7" s="8" t="s">
        <v>47</v>
      </c>
      <c r="B7" s="8"/>
      <c r="C7" s="8"/>
      <c r="D7" s="8"/>
      <c r="E7" s="25"/>
      <c r="F7" s="26"/>
      <c r="G7" s="355" t="str">
        <f>keep_TESTYEAR</f>
        <v>FOR THE TWELVE MONTHS ENDED SEPTEMBER 30, 2016</v>
      </c>
      <c r="H7" s="355"/>
      <c r="I7" s="355"/>
      <c r="J7" s="355"/>
      <c r="K7" s="355"/>
      <c r="L7" s="8" t="str">
        <f>keep_TESTYEAR</f>
        <v>FOR THE TWELVE MONTHS ENDED SEPTEMBER 30, 2016</v>
      </c>
      <c r="M7" s="8"/>
      <c r="N7" s="8"/>
      <c r="O7" s="8"/>
      <c r="P7" s="8" t="str">
        <f>keep_TESTYEAR</f>
        <v>FOR THE TWELVE MONTHS ENDED SEPTEMBER 30, 2016</v>
      </c>
      <c r="Q7" s="8"/>
      <c r="R7" s="8"/>
      <c r="S7" s="8"/>
      <c r="T7" s="25"/>
      <c r="U7" s="8" t="str">
        <f>keep_TESTYEAR</f>
        <v>FOR THE TWELVE MONTHS ENDED SEPTEMBER 30, 2016</v>
      </c>
      <c r="V7" s="8"/>
      <c r="W7" s="8"/>
      <c r="X7" s="34"/>
      <c r="Y7" s="8" t="str">
        <f>keep_TESTYEAR</f>
        <v>FOR THE TWELVE MONTHS ENDED SEPTEMBER 30, 2016</v>
      </c>
      <c r="Z7" s="28"/>
      <c r="AA7" s="28"/>
      <c r="AB7" s="28"/>
      <c r="AC7" s="28"/>
      <c r="AD7" s="8" t="str">
        <f>keep_TESTYEAR</f>
        <v>FOR THE TWELVE MONTHS ENDED SEPTEMBER 30, 2016</v>
      </c>
      <c r="AE7" s="8"/>
      <c r="AF7" s="24"/>
      <c r="AG7" s="24"/>
      <c r="AH7" s="8"/>
      <c r="AI7" s="24" t="str">
        <f>keep_TESTYEAR</f>
        <v>FOR THE TWELVE MONTHS ENDED SEPTEMBER 30, 2016</v>
      </c>
      <c r="AJ7" s="8"/>
      <c r="AK7" s="8"/>
      <c r="AL7" s="8"/>
      <c r="AM7" s="8"/>
      <c r="AN7" s="8"/>
      <c r="AO7" s="8"/>
      <c r="AP7" s="8" t="str">
        <f>keep_TESTYEAR</f>
        <v>FOR THE TWELVE MONTHS ENDED SEPTEMBER 30, 2016</v>
      </c>
      <c r="AQ7" s="28"/>
      <c r="AR7" s="28"/>
      <c r="AS7" s="28"/>
      <c r="AT7" s="28"/>
      <c r="AU7" s="8" t="str">
        <f>keep_TESTYEAR</f>
        <v>FOR THE TWELVE MONTHS ENDED SEPTEMBER 30, 2016</v>
      </c>
      <c r="AV7" s="29"/>
      <c r="AW7" s="29"/>
      <c r="AX7" s="29"/>
      <c r="AY7" s="34"/>
      <c r="AZ7" s="8" t="str">
        <f>keep_TESTYEAR</f>
        <v>FOR THE TWELVE MONTHS ENDED SEPTEMBER 30, 2016</v>
      </c>
      <c r="BA7" s="28"/>
      <c r="BB7" s="28"/>
      <c r="BC7" s="28"/>
      <c r="BD7" s="28"/>
      <c r="BE7" s="8" t="str">
        <f>keep_TESTYEAR</f>
        <v>FOR THE TWELVE MONTHS ENDED SEPTEMBER 30, 2016</v>
      </c>
      <c r="BF7" s="24"/>
      <c r="BG7" s="8"/>
      <c r="BH7" s="34"/>
      <c r="BI7" s="8" t="str">
        <f>keep_TESTYEAR</f>
        <v>FOR THE TWELVE MONTHS ENDED SEPTEMBER 30, 2016</v>
      </c>
      <c r="BJ7" s="28"/>
      <c r="BK7" s="28"/>
      <c r="BL7" s="28"/>
      <c r="BM7" s="8" t="str">
        <f>keep_TESTYEAR</f>
        <v>FOR THE TWELVE MONTHS ENDED SEPTEMBER 30, 2016</v>
      </c>
      <c r="BN7" s="34"/>
      <c r="BO7" s="34"/>
      <c r="BP7" s="34"/>
      <c r="BQ7" s="34"/>
      <c r="BR7" s="8" t="str">
        <f>keep_TESTYEAR</f>
        <v>FOR THE TWELVE MONTHS ENDED SEPTEMBER 30, 2016</v>
      </c>
      <c r="BS7" s="34"/>
      <c r="BT7" s="34"/>
      <c r="BU7" s="34"/>
      <c r="BV7" s="34"/>
      <c r="BW7" s="8" t="str">
        <f>keep_TESTYEAR</f>
        <v>FOR THE TWELVE MONTHS ENDED SEPTEMBER 30, 2016</v>
      </c>
      <c r="BX7" s="8"/>
      <c r="BY7" s="8"/>
      <c r="BZ7" s="8"/>
      <c r="CA7" s="8"/>
      <c r="CB7" s="8"/>
      <c r="CC7" s="34"/>
      <c r="CD7" s="8" t="str">
        <f>keep_TESTYEAR</f>
        <v>FOR THE TWELVE MONTHS ENDED SEPTEMBER 30, 2016</v>
      </c>
      <c r="CE7" s="8"/>
      <c r="CF7" s="8"/>
      <c r="CG7" s="8"/>
      <c r="CH7" s="8"/>
      <c r="CI7" s="8" t="str">
        <f>keep_TESTYEAR</f>
        <v>FOR THE TWELVE MONTHS ENDED SEPTEMBER 30, 2016</v>
      </c>
      <c r="CJ7" s="8"/>
      <c r="CK7" s="8"/>
      <c r="CL7" s="8"/>
      <c r="CM7" s="8" t="str">
        <f>keep_TESTYEAR</f>
        <v>FOR THE TWELVE MONTHS ENDED SEPTEMBER 30, 2016</v>
      </c>
      <c r="CN7" s="8"/>
      <c r="CO7" s="8"/>
      <c r="CP7" s="8"/>
      <c r="CQ7" s="8" t="str">
        <f>keep_TESTYEAR</f>
        <v>FOR THE TWELVE MONTHS ENDED SEPTEMBER 30, 2016</v>
      </c>
      <c r="CR7" s="29"/>
      <c r="CS7" s="29"/>
      <c r="CT7" s="29"/>
      <c r="CU7" s="34"/>
      <c r="CV7" s="8" t="str">
        <f>keep_TESTYEAR</f>
        <v>FOR THE TWELVE MONTHS ENDED SEPTEMBER 30, 2016</v>
      </c>
      <c r="CW7" s="29"/>
      <c r="CX7" s="29"/>
      <c r="CY7" s="29"/>
      <c r="CZ7" s="34"/>
      <c r="DA7" s="24" t="str">
        <f>keep_TESTYEAR</f>
        <v>FOR THE TWELVE MONTHS ENDED SEPTEMBER 30, 2016</v>
      </c>
      <c r="DB7" s="8"/>
      <c r="DC7" s="8"/>
      <c r="DD7" s="8"/>
      <c r="DE7" s="8"/>
    </row>
    <row r="8" spans="1:145" s="1" customFormat="1" ht="14.25" customHeight="1" x14ac:dyDescent="0.25">
      <c r="A8" s="24" t="s">
        <v>48</v>
      </c>
      <c r="B8" s="24"/>
      <c r="C8" s="8"/>
      <c r="D8" s="24"/>
      <c r="E8" s="25"/>
      <c r="F8" s="26"/>
      <c r="G8" s="355" t="str">
        <f>kp_DOCKET</f>
        <v>GENERAL RATE CASE</v>
      </c>
      <c r="H8" s="355"/>
      <c r="I8" s="355"/>
      <c r="J8" s="355"/>
      <c r="K8" s="355"/>
      <c r="L8" s="24" t="str">
        <f>kp_DOCKET</f>
        <v>GENERAL RATE CASE</v>
      </c>
      <c r="M8" s="24"/>
      <c r="N8" s="24"/>
      <c r="O8" s="24"/>
      <c r="P8" s="8" t="str">
        <f>kp_DOCKET</f>
        <v>GENERAL RATE CASE</v>
      </c>
      <c r="Q8" s="24"/>
      <c r="R8" s="8"/>
      <c r="S8" s="24"/>
      <c r="T8" s="25"/>
      <c r="U8" s="24" t="str">
        <f>kp_DOCKET</f>
        <v>GENERAL RATE CASE</v>
      </c>
      <c r="V8" s="24"/>
      <c r="W8" s="24"/>
      <c r="X8" s="24"/>
      <c r="Y8" s="24" t="str">
        <f>kp_DOCKET</f>
        <v>GENERAL RATE CASE</v>
      </c>
      <c r="Z8" s="28"/>
      <c r="AA8" s="28"/>
      <c r="AB8" s="28"/>
      <c r="AC8" s="28"/>
      <c r="AD8" s="24" t="str">
        <f>kp_DOCKET</f>
        <v>GENERAL RATE CASE</v>
      </c>
      <c r="AE8" s="8"/>
      <c r="AF8" s="24"/>
      <c r="AG8" s="24"/>
      <c r="AH8" s="24"/>
      <c r="AI8" s="24" t="str">
        <f>kp_DOCKET</f>
        <v>GENERAL RATE CASE</v>
      </c>
      <c r="AJ8" s="8"/>
      <c r="AK8" s="8"/>
      <c r="AL8" s="8"/>
      <c r="AM8" s="8"/>
      <c r="AN8" s="8"/>
      <c r="AO8" s="8"/>
      <c r="AP8" s="24" t="str">
        <f>kp_DOCKET</f>
        <v>GENERAL RATE CASE</v>
      </c>
      <c r="AQ8" s="28"/>
      <c r="AR8" s="28"/>
      <c r="AS8" s="28"/>
      <c r="AT8" s="28"/>
      <c r="AU8" s="24" t="str">
        <f>kp_DOCKET</f>
        <v>GENERAL RATE CASE</v>
      </c>
      <c r="AV8" s="29"/>
      <c r="AW8" s="29"/>
      <c r="AX8" s="27"/>
      <c r="AY8" s="34"/>
      <c r="AZ8" s="24" t="str">
        <f>kp_DOCKET</f>
        <v>GENERAL RATE CASE</v>
      </c>
      <c r="BA8" s="28"/>
      <c r="BB8" s="28"/>
      <c r="BC8" s="28"/>
      <c r="BD8" s="28"/>
      <c r="BE8" s="24" t="str">
        <f>kp_DOCKET</f>
        <v>GENERAL RATE CASE</v>
      </c>
      <c r="BF8" s="24"/>
      <c r="BG8" s="8"/>
      <c r="BH8" s="8"/>
      <c r="BI8" s="24" t="str">
        <f>kp_DOCKET</f>
        <v>GENERAL RATE CASE</v>
      </c>
      <c r="BJ8" s="28"/>
      <c r="BK8" s="28"/>
      <c r="BL8" s="28"/>
      <c r="BM8" s="24" t="str">
        <f>kp_DOCKET</f>
        <v>GENERAL RATE CASE</v>
      </c>
      <c r="BN8" s="8"/>
      <c r="BO8" s="8"/>
      <c r="BP8" s="8"/>
      <c r="BQ8" s="8"/>
      <c r="BR8" s="24" t="str">
        <f>kp_DOCKET</f>
        <v>GENERAL RATE CASE</v>
      </c>
      <c r="BS8" s="8"/>
      <c r="BT8" s="8"/>
      <c r="BU8" s="8"/>
      <c r="BV8" s="8"/>
      <c r="BW8" s="24" t="str">
        <f>kp_DOCKET</f>
        <v>GENERAL RATE CASE</v>
      </c>
      <c r="BX8" s="8"/>
      <c r="BY8" s="8"/>
      <c r="BZ8" s="8"/>
      <c r="CA8" s="8"/>
      <c r="CB8" s="8"/>
      <c r="CC8" s="34"/>
      <c r="CD8" s="8" t="str">
        <f>kp_DOCKET</f>
        <v>GENERAL RATE CASE</v>
      </c>
      <c r="CE8" s="8"/>
      <c r="CF8" s="8"/>
      <c r="CG8" s="8"/>
      <c r="CH8" s="8"/>
      <c r="CI8" s="24" t="str">
        <f>kp_DOCKET</f>
        <v>GENERAL RATE CASE</v>
      </c>
      <c r="CJ8" s="24"/>
      <c r="CK8" s="24"/>
      <c r="CL8" s="24"/>
      <c r="CM8" s="24" t="str">
        <f>kp_DOCKET</f>
        <v>GENERAL RATE CASE</v>
      </c>
      <c r="CN8" s="24"/>
      <c r="CO8" s="24"/>
      <c r="CP8" s="24"/>
      <c r="CQ8" s="24" t="str">
        <f>kp_DOCKET</f>
        <v>GENERAL RATE CASE</v>
      </c>
      <c r="CR8" s="29"/>
      <c r="CS8" s="29"/>
      <c r="CT8" s="27"/>
      <c r="CU8" s="34"/>
      <c r="CV8" s="24" t="str">
        <f>kp_DOCKET</f>
        <v>GENERAL RATE CASE</v>
      </c>
      <c r="CW8" s="29"/>
      <c r="CX8" s="29"/>
      <c r="CY8" s="27"/>
      <c r="CZ8" s="34"/>
      <c r="DA8" s="24" t="str">
        <f>kp_DOCKET</f>
        <v>GENERAL RATE CASE</v>
      </c>
      <c r="DB8" s="8"/>
      <c r="DC8" s="8"/>
      <c r="DD8" s="8"/>
      <c r="DE8" s="8"/>
    </row>
    <row r="9" spans="1:145" s="1" customFormat="1" ht="12" customHeight="1" x14ac:dyDescent="0.25">
      <c r="A9" s="8"/>
      <c r="B9" s="29"/>
      <c r="C9" s="29"/>
      <c r="D9" s="29"/>
      <c r="E9" s="29"/>
      <c r="L9" s="35"/>
      <c r="M9" s="36"/>
      <c r="N9" s="36"/>
      <c r="O9" s="14"/>
      <c r="Q9" s="37"/>
      <c r="R9" s="37"/>
      <c r="S9" s="37"/>
      <c r="T9" s="38"/>
      <c r="V9" s="37"/>
      <c r="W9" s="39"/>
      <c r="X9" s="39"/>
      <c r="AL9" s="40"/>
      <c r="AM9" s="40" t="s">
        <v>49</v>
      </c>
      <c r="AN9" s="40"/>
      <c r="AU9" s="41"/>
      <c r="AV9" s="9"/>
      <c r="AW9" s="9"/>
      <c r="AX9" s="42"/>
      <c r="AY9" s="42"/>
      <c r="BX9" s="37"/>
      <c r="BY9" s="37"/>
      <c r="BZ9" s="37"/>
      <c r="CA9" s="37"/>
      <c r="CI9" s="43"/>
      <c r="CJ9" s="37"/>
      <c r="CM9" s="43"/>
      <c r="CN9" s="37"/>
      <c r="CQ9" s="41"/>
      <c r="CR9" s="9"/>
      <c r="CS9" s="9"/>
      <c r="CT9" s="42"/>
      <c r="CU9" s="42"/>
      <c r="CV9" s="41"/>
      <c r="CW9" s="9"/>
      <c r="CX9" s="9"/>
      <c r="CY9" s="42"/>
      <c r="CZ9" s="42"/>
      <c r="DA9" s="41"/>
    </row>
    <row r="10" spans="1:145" s="1" customFormat="1" ht="14.25" customHeight="1" x14ac:dyDescent="0.25">
      <c r="A10" s="44" t="s">
        <v>50</v>
      </c>
      <c r="B10" s="45"/>
      <c r="C10" s="45"/>
      <c r="D10" s="45"/>
      <c r="E10" s="45"/>
      <c r="F10" s="44" t="s">
        <v>50</v>
      </c>
      <c r="G10" s="37"/>
      <c r="J10" s="44"/>
      <c r="K10" s="44"/>
      <c r="L10" s="45" t="s">
        <v>50</v>
      </c>
      <c r="M10" s="14"/>
      <c r="N10" s="18"/>
      <c r="O10" s="18"/>
      <c r="P10" s="44" t="s">
        <v>50</v>
      </c>
      <c r="T10" s="38"/>
      <c r="U10" s="44" t="s">
        <v>50</v>
      </c>
      <c r="W10" s="46"/>
      <c r="X10" s="40" t="s">
        <v>23</v>
      </c>
      <c r="Y10" s="44" t="s">
        <v>50</v>
      </c>
      <c r="AA10" s="47"/>
      <c r="AB10" s="44" t="s">
        <v>51</v>
      </c>
      <c r="AC10" s="44"/>
      <c r="AD10" s="18" t="s">
        <v>50</v>
      </c>
      <c r="AE10" s="41"/>
      <c r="AF10" s="41"/>
      <c r="AG10" s="45"/>
      <c r="AH10" s="41"/>
      <c r="AI10" s="44" t="s">
        <v>50</v>
      </c>
      <c r="AJ10" s="37"/>
      <c r="AK10" s="44" t="s">
        <v>52</v>
      </c>
      <c r="AL10" s="40" t="s">
        <v>53</v>
      </c>
      <c r="AM10" s="40" t="s">
        <v>54</v>
      </c>
      <c r="AN10" s="40" t="s">
        <v>52</v>
      </c>
      <c r="AP10" s="44" t="s">
        <v>50</v>
      </c>
      <c r="AR10" s="47"/>
      <c r="AS10" s="44" t="s">
        <v>51</v>
      </c>
      <c r="AT10" s="44"/>
      <c r="AU10" s="45" t="s">
        <v>50</v>
      </c>
      <c r="AV10" s="42"/>
      <c r="AW10" s="45"/>
      <c r="AX10" s="42"/>
      <c r="AY10" s="42"/>
      <c r="AZ10" s="40" t="s">
        <v>50</v>
      </c>
      <c r="BA10" s="40"/>
      <c r="BB10" s="40"/>
      <c r="BC10" s="40"/>
      <c r="BD10" s="40"/>
      <c r="BE10" s="40" t="s">
        <v>50</v>
      </c>
      <c r="BI10" s="40"/>
      <c r="BJ10" s="40"/>
      <c r="BK10" s="40"/>
      <c r="BL10" s="40"/>
      <c r="BM10" s="44" t="s">
        <v>50</v>
      </c>
      <c r="BR10" s="44" t="s">
        <v>50</v>
      </c>
      <c r="BW10" s="40" t="s">
        <v>50</v>
      </c>
      <c r="CA10" s="356"/>
      <c r="CB10" s="356"/>
      <c r="CC10" s="356"/>
      <c r="CD10" s="40" t="s">
        <v>50</v>
      </c>
      <c r="CH10" s="40"/>
      <c r="CI10" s="40" t="s">
        <v>50</v>
      </c>
      <c r="CM10" s="40" t="s">
        <v>50</v>
      </c>
      <c r="CQ10" s="45" t="s">
        <v>50</v>
      </c>
      <c r="CR10" s="42"/>
      <c r="CS10" s="45"/>
      <c r="CT10" s="42"/>
      <c r="CU10" s="42"/>
      <c r="CV10" s="45" t="s">
        <v>50</v>
      </c>
      <c r="CW10" s="42"/>
      <c r="CX10" s="45"/>
      <c r="CY10" s="42"/>
      <c r="CZ10" s="42"/>
      <c r="DA10" s="45" t="s">
        <v>50</v>
      </c>
      <c r="DB10" s="41"/>
      <c r="DC10" s="41"/>
      <c r="DD10" s="48"/>
      <c r="DE10" s="49"/>
    </row>
    <row r="11" spans="1:145" s="1" customFormat="1" ht="14.25" customHeight="1" x14ac:dyDescent="0.25">
      <c r="A11" s="50" t="s">
        <v>55</v>
      </c>
      <c r="B11" s="51" t="s">
        <v>56</v>
      </c>
      <c r="C11" s="51"/>
      <c r="D11" s="52" t="s">
        <v>57</v>
      </c>
      <c r="E11" s="53"/>
      <c r="F11" s="50" t="s">
        <v>55</v>
      </c>
      <c r="G11" s="54" t="s">
        <v>56</v>
      </c>
      <c r="H11" s="50" t="s">
        <v>58</v>
      </c>
      <c r="I11" s="50" t="s">
        <v>59</v>
      </c>
      <c r="J11" s="50" t="s">
        <v>57</v>
      </c>
      <c r="K11" s="55"/>
      <c r="L11" s="52" t="s">
        <v>55</v>
      </c>
      <c r="M11" s="56" t="s">
        <v>56</v>
      </c>
      <c r="N11" s="57"/>
      <c r="O11" s="51" t="s">
        <v>57</v>
      </c>
      <c r="P11" s="50" t="s">
        <v>55</v>
      </c>
      <c r="Q11" s="58" t="s">
        <v>56</v>
      </c>
      <c r="R11" s="54"/>
      <c r="S11" s="54"/>
      <c r="T11" s="59" t="s">
        <v>60</v>
      </c>
      <c r="U11" s="50" t="s">
        <v>55</v>
      </c>
      <c r="V11" s="58" t="s">
        <v>56</v>
      </c>
      <c r="W11" s="60"/>
      <c r="X11" s="60" t="s">
        <v>60</v>
      </c>
      <c r="Y11" s="60" t="s">
        <v>55</v>
      </c>
      <c r="Z11" s="54" t="s">
        <v>56</v>
      </c>
      <c r="AA11" s="61" t="s">
        <v>58</v>
      </c>
      <c r="AB11" s="62" t="s">
        <v>59</v>
      </c>
      <c r="AC11" s="50" t="s">
        <v>57</v>
      </c>
      <c r="AD11" s="52" t="s">
        <v>55</v>
      </c>
      <c r="AE11" s="56" t="s">
        <v>56</v>
      </c>
      <c r="AF11" s="57" t="s">
        <v>58</v>
      </c>
      <c r="AG11" s="57" t="s">
        <v>59</v>
      </c>
      <c r="AH11" s="57" t="s">
        <v>57</v>
      </c>
      <c r="AI11" s="50" t="s">
        <v>55</v>
      </c>
      <c r="AJ11" s="63" t="s">
        <v>56</v>
      </c>
      <c r="AK11" s="60" t="s">
        <v>61</v>
      </c>
      <c r="AL11" s="60" t="s">
        <v>62</v>
      </c>
      <c r="AM11" s="60" t="s">
        <v>63</v>
      </c>
      <c r="AN11" s="60" t="s">
        <v>62</v>
      </c>
      <c r="AO11" s="64" t="s">
        <v>60</v>
      </c>
      <c r="AP11" s="60" t="s">
        <v>55</v>
      </c>
      <c r="AQ11" s="54" t="s">
        <v>56</v>
      </c>
      <c r="AR11" s="61" t="s">
        <v>58</v>
      </c>
      <c r="AS11" s="62" t="s">
        <v>59</v>
      </c>
      <c r="AT11" s="50" t="s">
        <v>57</v>
      </c>
      <c r="AU11" s="52" t="s">
        <v>55</v>
      </c>
      <c r="AV11" s="56" t="s">
        <v>56</v>
      </c>
      <c r="AW11" s="52" t="s">
        <v>64</v>
      </c>
      <c r="AX11" s="52" t="s">
        <v>59</v>
      </c>
      <c r="AY11" s="52" t="s">
        <v>57</v>
      </c>
      <c r="AZ11" s="60" t="s">
        <v>55</v>
      </c>
      <c r="BA11" s="54" t="s">
        <v>56</v>
      </c>
      <c r="BB11" s="60"/>
      <c r="BC11" s="60"/>
      <c r="BD11" s="60" t="s">
        <v>57</v>
      </c>
      <c r="BE11" s="60" t="s">
        <v>55</v>
      </c>
      <c r="BF11" s="63" t="s">
        <v>56</v>
      </c>
      <c r="BG11" s="58"/>
      <c r="BH11" s="60" t="s">
        <v>60</v>
      </c>
      <c r="BI11" s="60"/>
      <c r="BJ11" s="60"/>
      <c r="BK11" s="60"/>
      <c r="BL11" s="60" t="s">
        <v>60</v>
      </c>
      <c r="BM11" s="60" t="s">
        <v>55</v>
      </c>
      <c r="BN11" s="63" t="s">
        <v>56</v>
      </c>
      <c r="BO11" s="50" t="s">
        <v>58</v>
      </c>
      <c r="BP11" s="50" t="s">
        <v>59</v>
      </c>
      <c r="BQ11" s="65" t="s">
        <v>57</v>
      </c>
      <c r="BR11" s="60" t="s">
        <v>55</v>
      </c>
      <c r="BS11" s="63" t="s">
        <v>56</v>
      </c>
      <c r="BT11" s="50" t="s">
        <v>58</v>
      </c>
      <c r="BU11" s="50" t="s">
        <v>59</v>
      </c>
      <c r="BV11" s="50" t="s">
        <v>57</v>
      </c>
      <c r="BW11" s="50" t="s">
        <v>55</v>
      </c>
      <c r="BX11" s="54" t="s">
        <v>56</v>
      </c>
      <c r="BY11" s="54"/>
      <c r="BZ11" s="54"/>
      <c r="CA11" s="60" t="s">
        <v>64</v>
      </c>
      <c r="CB11" s="60" t="s">
        <v>65</v>
      </c>
      <c r="CC11" s="60" t="s">
        <v>57</v>
      </c>
      <c r="CD11" s="60" t="s">
        <v>55</v>
      </c>
      <c r="CE11" s="54" t="s">
        <v>56</v>
      </c>
      <c r="CF11" s="60"/>
      <c r="CG11" s="60"/>
      <c r="CH11" s="50" t="s">
        <v>60</v>
      </c>
      <c r="CI11" s="60" t="s">
        <v>55</v>
      </c>
      <c r="CJ11" s="54" t="s">
        <v>56</v>
      </c>
      <c r="CK11" s="60"/>
      <c r="CL11" s="50" t="s">
        <v>60</v>
      </c>
      <c r="CM11" s="60" t="s">
        <v>55</v>
      </c>
      <c r="CN11" s="54" t="s">
        <v>56</v>
      </c>
      <c r="CO11" s="60"/>
      <c r="CP11" s="50" t="s">
        <v>60</v>
      </c>
      <c r="CQ11" s="52" t="s">
        <v>55</v>
      </c>
      <c r="CR11" s="56" t="s">
        <v>56</v>
      </c>
      <c r="CS11" s="52" t="s">
        <v>64</v>
      </c>
      <c r="CT11" s="52" t="s">
        <v>59</v>
      </c>
      <c r="CU11" s="52" t="s">
        <v>57</v>
      </c>
      <c r="CV11" s="52" t="s">
        <v>55</v>
      </c>
      <c r="CW11" s="56" t="s">
        <v>56</v>
      </c>
      <c r="CX11" s="52" t="s">
        <v>64</v>
      </c>
      <c r="CY11" s="52" t="s">
        <v>59</v>
      </c>
      <c r="CZ11" s="52" t="s">
        <v>57</v>
      </c>
      <c r="DA11" s="52" t="s">
        <v>55</v>
      </c>
      <c r="DB11" s="57" t="s">
        <v>56</v>
      </c>
      <c r="DC11" s="66" t="s">
        <v>64</v>
      </c>
      <c r="DD11" s="67" t="s">
        <v>59</v>
      </c>
      <c r="DE11" s="67" t="s">
        <v>57</v>
      </c>
      <c r="EO11" s="3"/>
    </row>
    <row r="12" spans="1:145" ht="14.25" customHeight="1" x14ac:dyDescent="0.25">
      <c r="A12" s="68"/>
      <c r="B12" s="69"/>
      <c r="C12" s="69"/>
      <c r="D12" s="70"/>
      <c r="E12" s="70"/>
      <c r="G12" s="71"/>
      <c r="H12" s="71"/>
      <c r="I12" s="72"/>
      <c r="L12" s="73"/>
      <c r="M12" s="74"/>
      <c r="N12" s="74"/>
      <c r="O12" s="75"/>
      <c r="T12" s="22"/>
      <c r="U12" s="68"/>
      <c r="V12" s="76"/>
      <c r="W12" s="22"/>
      <c r="X12" s="77"/>
      <c r="AD12" s="2"/>
      <c r="AE12" s="2"/>
      <c r="AF12" s="2"/>
      <c r="AG12" s="2"/>
      <c r="AH12" s="2"/>
      <c r="AU12" s="78"/>
      <c r="AV12" s="79"/>
      <c r="AW12" s="79"/>
      <c r="AX12" s="79"/>
      <c r="AY12" s="79"/>
      <c r="BD12" s="68"/>
      <c r="BE12" s="3"/>
      <c r="BF12" s="3"/>
      <c r="BG12" s="3"/>
      <c r="BH12" s="3"/>
      <c r="BW12" s="68"/>
      <c r="BX12" s="80"/>
      <c r="BY12" s="80"/>
      <c r="BZ12" s="80"/>
      <c r="CD12" s="81"/>
      <c r="CE12" s="81"/>
      <c r="CF12" s="81"/>
      <c r="CG12" s="81"/>
      <c r="CH12" s="81"/>
      <c r="CQ12" s="81"/>
      <c r="CR12" s="3"/>
      <c r="CS12" s="79"/>
      <c r="CT12" s="79"/>
      <c r="CU12" s="79"/>
      <c r="CV12" s="78"/>
      <c r="CW12" s="79"/>
      <c r="CX12" s="79"/>
      <c r="CY12" s="79"/>
      <c r="CZ12" s="79"/>
      <c r="DA12" s="2"/>
      <c r="DB12" s="2"/>
      <c r="DC12" s="82"/>
      <c r="DD12" s="49"/>
      <c r="DE12" s="83"/>
    </row>
    <row r="13" spans="1:145" ht="14.25" customHeight="1" x14ac:dyDescent="0.25">
      <c r="A13" s="68">
        <v>1</v>
      </c>
      <c r="B13" s="84" t="s">
        <v>66</v>
      </c>
      <c r="C13" s="2"/>
      <c r="D13" s="2"/>
      <c r="E13" s="2"/>
      <c r="F13" s="68">
        <v>1</v>
      </c>
      <c r="G13" s="85" t="s">
        <v>67</v>
      </c>
      <c r="H13" s="79"/>
      <c r="I13" s="79"/>
      <c r="J13" s="2"/>
      <c r="L13" s="86">
        <v>1</v>
      </c>
      <c r="M13" s="87" t="s">
        <v>68</v>
      </c>
      <c r="N13" s="88"/>
      <c r="O13" s="88"/>
      <c r="P13" s="68">
        <v>1</v>
      </c>
      <c r="Q13" s="89" t="s">
        <v>69</v>
      </c>
      <c r="R13" s="89"/>
      <c r="S13" s="90"/>
      <c r="T13" s="91">
        <v>75965214.891221926</v>
      </c>
      <c r="U13" s="68">
        <v>1</v>
      </c>
      <c r="V13" s="76" t="s">
        <v>70</v>
      </c>
      <c r="W13" s="91">
        <f>+'[1]SEF-4'!AI59</f>
        <v>1760693633.2691975</v>
      </c>
      <c r="X13" s="77"/>
      <c r="Y13" s="68">
        <v>1</v>
      </c>
      <c r="Z13" s="92" t="s">
        <v>71</v>
      </c>
      <c r="AA13" s="93">
        <v>113989496.07000001</v>
      </c>
      <c r="AB13" s="93">
        <v>95003918.585595176</v>
      </c>
      <c r="AC13" s="88">
        <f>AB13-AA13</f>
        <v>-18985577.484404832</v>
      </c>
      <c r="AD13" s="68">
        <v>1</v>
      </c>
      <c r="AE13" s="88" t="s">
        <v>72</v>
      </c>
      <c r="AF13" s="94">
        <v>190500</v>
      </c>
      <c r="AG13" s="94">
        <v>188000</v>
      </c>
      <c r="AH13" s="94">
        <f>AG13-AF13</f>
        <v>-2500</v>
      </c>
      <c r="AI13" s="95" t="s">
        <v>73</v>
      </c>
      <c r="AJ13" s="3" t="s">
        <v>74</v>
      </c>
      <c r="AK13" s="96" t="s">
        <v>75</v>
      </c>
      <c r="AL13" s="96" t="s">
        <v>76</v>
      </c>
      <c r="AM13" s="96" t="s">
        <v>76</v>
      </c>
      <c r="AN13" s="96" t="s">
        <v>76</v>
      </c>
      <c r="AP13" s="68">
        <v>1</v>
      </c>
      <c r="AQ13" s="79" t="s">
        <v>77</v>
      </c>
      <c r="AU13" s="68">
        <v>1</v>
      </c>
      <c r="AV13" s="79" t="s">
        <v>78</v>
      </c>
      <c r="AW13" s="97">
        <v>84381.550163340158</v>
      </c>
      <c r="AX13" s="97">
        <v>66480.443858612198</v>
      </c>
      <c r="AY13" s="98">
        <f>+AX13-AW13</f>
        <v>-17901.10630472796</v>
      </c>
      <c r="AZ13" s="68">
        <v>1</v>
      </c>
      <c r="BA13" s="72" t="s">
        <v>79</v>
      </c>
      <c r="BB13" s="99"/>
      <c r="BD13" s="99">
        <v>30708.659753503118</v>
      </c>
      <c r="BE13" s="95">
        <v>1</v>
      </c>
      <c r="BF13" s="80" t="s">
        <v>80</v>
      </c>
      <c r="BG13" s="100"/>
      <c r="BH13" s="101"/>
      <c r="BI13" s="102">
        <v>1</v>
      </c>
      <c r="BJ13" s="2" t="s">
        <v>81</v>
      </c>
      <c r="BK13" s="2"/>
      <c r="BL13" s="88">
        <v>169979.93999999983</v>
      </c>
      <c r="BM13" s="68">
        <v>1</v>
      </c>
      <c r="BN13" s="3" t="s">
        <v>82</v>
      </c>
      <c r="BO13" s="91">
        <v>243605.91699100003</v>
      </c>
      <c r="BP13" s="91">
        <v>218735.64461899991</v>
      </c>
      <c r="BQ13" s="91">
        <f>+BP13-BO13</f>
        <v>-24870.272372000123</v>
      </c>
      <c r="BR13" s="68">
        <v>1</v>
      </c>
      <c r="BS13" s="103" t="s">
        <v>83</v>
      </c>
      <c r="BT13" s="104">
        <v>2950666.1786130364</v>
      </c>
      <c r="BU13" s="104">
        <v>3830806.3304251465</v>
      </c>
      <c r="BV13" s="104">
        <f>+BU13-BT13</f>
        <v>880140.1518121101</v>
      </c>
      <c r="BW13" s="68">
        <v>1</v>
      </c>
      <c r="BX13" s="3" t="s">
        <v>84</v>
      </c>
      <c r="CA13" s="77"/>
      <c r="CB13" s="105"/>
      <c r="CC13" s="77"/>
      <c r="CD13" s="68">
        <v>1</v>
      </c>
      <c r="CE13" s="106" t="s">
        <v>85</v>
      </c>
      <c r="CF13" s="107"/>
      <c r="CG13" s="107"/>
      <c r="CH13" s="108"/>
      <c r="CI13" s="68">
        <v>1</v>
      </c>
      <c r="CJ13" s="109" t="s">
        <v>86</v>
      </c>
      <c r="CK13" s="110"/>
      <c r="CL13" s="110"/>
      <c r="CM13" s="68">
        <v>1</v>
      </c>
      <c r="CN13" s="111" t="s">
        <v>87</v>
      </c>
      <c r="CO13" s="110"/>
      <c r="CP13" s="110"/>
      <c r="CQ13" s="68">
        <v>1</v>
      </c>
      <c r="CR13" s="112" t="s">
        <v>88</v>
      </c>
      <c r="CS13" s="113"/>
      <c r="CT13" s="113"/>
      <c r="CU13" s="114"/>
      <c r="CV13" s="68">
        <v>1</v>
      </c>
      <c r="CW13" s="112" t="s">
        <v>89</v>
      </c>
      <c r="CX13" s="113"/>
      <c r="CY13" s="113"/>
      <c r="CZ13" s="114"/>
      <c r="DA13" s="115">
        <v>1</v>
      </c>
      <c r="DB13" s="116" t="s">
        <v>90</v>
      </c>
      <c r="DC13" s="117">
        <v>33506393.815802004</v>
      </c>
      <c r="DD13" s="117">
        <v>33499604.097540006</v>
      </c>
      <c r="DE13" s="118">
        <f>DD13-DC13</f>
        <v>-6789.7182619981468</v>
      </c>
    </row>
    <row r="14" spans="1:145" ht="13.15" x14ac:dyDescent="0.25">
      <c r="A14" s="68">
        <f>+A13+1</f>
        <v>2</v>
      </c>
      <c r="B14" s="119" t="s">
        <v>91</v>
      </c>
      <c r="C14" s="120"/>
      <c r="D14" s="99">
        <v>1918596.4897268589</v>
      </c>
      <c r="E14" s="2"/>
      <c r="F14" s="68">
        <f t="shared" ref="F14:F57" si="0">F13+1</f>
        <v>2</v>
      </c>
      <c r="G14" s="2"/>
      <c r="H14" s="121" t="s">
        <v>58</v>
      </c>
      <c r="I14" s="122" t="s">
        <v>92</v>
      </c>
      <c r="J14" s="123" t="s">
        <v>93</v>
      </c>
      <c r="L14" s="124">
        <f>L13+1</f>
        <v>2</v>
      </c>
      <c r="M14" s="79" t="s">
        <v>94</v>
      </c>
      <c r="N14" s="125"/>
      <c r="O14" s="93">
        <v>5670995.2945745047</v>
      </c>
      <c r="P14" s="68">
        <f>P13+1</f>
        <v>2</v>
      </c>
      <c r="Q14" s="80"/>
      <c r="R14" s="80"/>
      <c r="S14" s="80"/>
      <c r="T14" s="126"/>
      <c r="U14" s="68">
        <f>+U13+1</f>
        <v>2</v>
      </c>
      <c r="V14" s="76" t="s">
        <v>23</v>
      </c>
      <c r="W14" s="127" t="s">
        <v>23</v>
      </c>
      <c r="X14" s="77"/>
      <c r="Y14" s="68">
        <f>Y13+1</f>
        <v>2</v>
      </c>
      <c r="Z14" s="92" t="s">
        <v>95</v>
      </c>
      <c r="AA14" s="128">
        <v>7429557.1601760006</v>
      </c>
      <c r="AB14" s="128">
        <v>6464523.281920488</v>
      </c>
      <c r="AC14" s="128">
        <f>AB14-AA14</f>
        <v>-965033.87825551257</v>
      </c>
      <c r="AD14" s="68">
        <f t="shared" ref="AD14:AD20" si="1">AD13+1</f>
        <v>2</v>
      </c>
      <c r="AE14" s="88" t="s">
        <v>96</v>
      </c>
      <c r="AF14" s="129">
        <v>97271.77609699998</v>
      </c>
      <c r="AG14" s="129">
        <v>188598.40143433338</v>
      </c>
      <c r="AH14" s="129">
        <f>AG14-AF14</f>
        <v>91326.625337333404</v>
      </c>
      <c r="AI14" s="95">
        <f t="shared" ref="AI14:AI18" si="2">1+AI13</f>
        <v>2</v>
      </c>
      <c r="AJ14" s="130" t="s">
        <v>97</v>
      </c>
      <c r="AK14" s="93">
        <v>4809211.959999999</v>
      </c>
      <c r="AL14" s="93">
        <v>1027088768.78</v>
      </c>
      <c r="AM14" s="93">
        <v>13300355.07</v>
      </c>
      <c r="AN14" s="131">
        <f>AL14-AM14</f>
        <v>1013788413.7099999</v>
      </c>
      <c r="AO14" s="132">
        <f>ROUND(AK14/AN14,6)</f>
        <v>4.744E-3</v>
      </c>
      <c r="AP14" s="68">
        <f t="shared" ref="AP14:AP29" si="3">AP13+1</f>
        <v>2</v>
      </c>
      <c r="AQ14" s="133" t="s">
        <v>98</v>
      </c>
      <c r="AR14" s="93">
        <v>7065.992857014975</v>
      </c>
      <c r="AS14" s="93">
        <v>6478.4818291354122</v>
      </c>
      <c r="AT14" s="134">
        <f>AS14-AR14</f>
        <v>-587.51102787956279</v>
      </c>
      <c r="AU14" s="68">
        <f t="shared" ref="AU14:AU20" si="4">AU13+1</f>
        <v>2</v>
      </c>
      <c r="AV14" s="79"/>
      <c r="AW14" s="135"/>
      <c r="AX14" s="135"/>
      <c r="AY14" s="135"/>
      <c r="AZ14" s="68">
        <f>AZ13+1</f>
        <v>2</v>
      </c>
      <c r="BA14" s="72"/>
      <c r="BB14" s="128"/>
      <c r="BD14" s="136"/>
      <c r="BE14" s="95">
        <f t="shared" ref="BE14:BE26" si="5">+BE13+1</f>
        <v>2</v>
      </c>
      <c r="BF14" s="80"/>
      <c r="BG14" s="100"/>
      <c r="BH14" s="101"/>
      <c r="BI14" s="102">
        <f>BI13+1</f>
        <v>2</v>
      </c>
      <c r="BJ14" s="2" t="s">
        <v>99</v>
      </c>
      <c r="BK14" s="2"/>
      <c r="BL14" s="137">
        <v>-45289.169999999991</v>
      </c>
      <c r="BM14" s="68">
        <f t="shared" ref="BM14:BM18" si="6">BM13+1</f>
        <v>2</v>
      </c>
      <c r="BN14" s="3" t="s">
        <v>100</v>
      </c>
      <c r="BO14" s="138">
        <v>1270902.5643805922</v>
      </c>
      <c r="BP14" s="138">
        <v>1226273.9901362888</v>
      </c>
      <c r="BQ14" s="137">
        <f>+BP14-BO14</f>
        <v>-44628.574244303396</v>
      </c>
      <c r="BR14" s="68">
        <f>BR13+1</f>
        <v>2</v>
      </c>
      <c r="BS14" s="80" t="s">
        <v>101</v>
      </c>
      <c r="BT14" s="139">
        <f>SUM(BT13:BT13)</f>
        <v>2950666.1786130364</v>
      </c>
      <c r="BU14" s="139">
        <f>SUM(BU13:BU13)</f>
        <v>3830806.3304251465</v>
      </c>
      <c r="BV14" s="139">
        <f>SUM(BV13:BV13)</f>
        <v>880140.1518121101</v>
      </c>
      <c r="BW14" s="68">
        <f t="shared" ref="BW14:BW30" si="7">BW13+1</f>
        <v>2</v>
      </c>
      <c r="BX14" s="133" t="s">
        <v>98</v>
      </c>
      <c r="BY14" s="80"/>
      <c r="BZ14" s="80"/>
      <c r="CA14" s="94">
        <v>98066.872882425538</v>
      </c>
      <c r="CB14" s="94">
        <v>101219.16120665375</v>
      </c>
      <c r="CC14" s="91">
        <f>CB14-CA14</f>
        <v>3152.2883242282114</v>
      </c>
      <c r="CD14" s="68">
        <f t="shared" ref="CD14:CD34" si="8">CD13+1</f>
        <v>2</v>
      </c>
      <c r="CE14" s="79" t="s">
        <v>102</v>
      </c>
      <c r="CF14" s="73"/>
      <c r="CG14" s="140">
        <v>3612889.2418080005</v>
      </c>
      <c r="CI14" s="68">
        <f>CI13+1</f>
        <v>2</v>
      </c>
      <c r="CJ14" s="3" t="s">
        <v>103</v>
      </c>
      <c r="CK14" s="110"/>
      <c r="CL14" s="88">
        <v>7372991.6214820798</v>
      </c>
      <c r="CM14" s="68">
        <f>CM13+1</f>
        <v>2</v>
      </c>
      <c r="CN14" s="141"/>
      <c r="CO14" s="110"/>
      <c r="CP14" s="142"/>
      <c r="CQ14" s="68">
        <v>2</v>
      </c>
      <c r="CR14" s="79" t="s">
        <v>104</v>
      </c>
      <c r="CS14" s="143">
        <v>755448.80925399996</v>
      </c>
      <c r="CT14" s="143">
        <v>602573.07018549996</v>
      </c>
      <c r="CU14" s="143">
        <f>CT14-CS14</f>
        <v>-152875.7390685</v>
      </c>
      <c r="CV14" s="68">
        <f t="shared" ref="CV14:CV33" si="9">CV13+1</f>
        <v>2</v>
      </c>
      <c r="CW14" s="87" t="s">
        <v>105</v>
      </c>
      <c r="CX14" s="144"/>
      <c r="CY14" s="144"/>
      <c r="CZ14" s="144"/>
      <c r="DA14" s="115">
        <v>2</v>
      </c>
      <c r="DB14" s="145" t="s">
        <v>106</v>
      </c>
      <c r="DC14" s="137">
        <v>1759698.35</v>
      </c>
      <c r="DD14" s="137">
        <v>1714934.9122000001</v>
      </c>
      <c r="DE14" s="146">
        <f>DD14-DC14</f>
        <v>-44763.437799999956</v>
      </c>
    </row>
    <row r="15" spans="1:145" ht="13.9" thickBot="1" x14ac:dyDescent="0.3">
      <c r="A15" s="68">
        <f t="shared" ref="A15:A49" si="10">+A14+1</f>
        <v>3</v>
      </c>
      <c r="B15" s="119" t="s">
        <v>107</v>
      </c>
      <c r="C15" s="120"/>
      <c r="D15" s="128">
        <v>-32898997.31453428</v>
      </c>
      <c r="E15" s="2"/>
      <c r="F15" s="68">
        <f t="shared" si="0"/>
        <v>3</v>
      </c>
      <c r="G15" s="2"/>
      <c r="H15" s="147" t="s">
        <v>93</v>
      </c>
      <c r="I15" s="148" t="s">
        <v>93</v>
      </c>
      <c r="J15" s="149" t="s">
        <v>108</v>
      </c>
      <c r="L15" s="124">
        <f t="shared" ref="L15:L44" si="11">L14+1</f>
        <v>3</v>
      </c>
      <c r="M15" s="79" t="s">
        <v>109</v>
      </c>
      <c r="N15" s="125"/>
      <c r="O15" s="6">
        <v>12315699.729075179</v>
      </c>
      <c r="P15" s="68">
        <f t="shared" ref="P15:P33" si="12">P14+1</f>
        <v>3</v>
      </c>
      <c r="Q15" s="150" t="s">
        <v>110</v>
      </c>
      <c r="R15" s="151"/>
      <c r="S15" s="151"/>
      <c r="T15" s="152"/>
      <c r="U15" s="68">
        <f t="shared" ref="U15:U23" si="13">+U14+1</f>
        <v>3</v>
      </c>
      <c r="V15" s="3" t="s">
        <v>111</v>
      </c>
      <c r="W15" s="88">
        <f>SUM(W13:W14)</f>
        <v>1760693633.2691975</v>
      </c>
      <c r="X15" s="77"/>
      <c r="Y15" s="68">
        <f>Y14+1</f>
        <v>3</v>
      </c>
      <c r="Z15" s="92" t="s">
        <v>112</v>
      </c>
      <c r="AA15" s="128">
        <v>27368.129303999998</v>
      </c>
      <c r="AB15" s="128">
        <v>27368.129303999998</v>
      </c>
      <c r="AC15" s="128">
        <f>AB15-AA15</f>
        <v>0</v>
      </c>
      <c r="AD15" s="68">
        <f t="shared" si="1"/>
        <v>3</v>
      </c>
      <c r="AE15" s="88" t="s">
        <v>113</v>
      </c>
      <c r="AF15" s="94">
        <f>SUM(AF13:AF14)</f>
        <v>287771.77609699999</v>
      </c>
      <c r="AG15" s="94">
        <f>SUM(AG13:AG14)</f>
        <v>376598.40143433341</v>
      </c>
      <c r="AH15" s="94">
        <f>SUM(AH13:AH14)</f>
        <v>88826.625337333404</v>
      </c>
      <c r="AI15" s="95">
        <f t="shared" si="2"/>
        <v>3</v>
      </c>
      <c r="AJ15" s="130" t="s">
        <v>114</v>
      </c>
      <c r="AK15" s="6">
        <v>4346972.87</v>
      </c>
      <c r="AL15" s="6">
        <v>979494165.91999996</v>
      </c>
      <c r="AM15" s="6">
        <v>69423909.329999998</v>
      </c>
      <c r="AN15" s="153">
        <f>AL15-AM15</f>
        <v>910070256.58999991</v>
      </c>
      <c r="AO15" s="132">
        <f>ROUND(AK15/AN15,6)</f>
        <v>4.777E-3</v>
      </c>
      <c r="AP15" s="68">
        <f t="shared" si="3"/>
        <v>3</v>
      </c>
      <c r="AQ15" s="133" t="s">
        <v>115</v>
      </c>
      <c r="AR15" s="6">
        <v>22938.564570724386</v>
      </c>
      <c r="AS15" s="6">
        <v>21028.943034088737</v>
      </c>
      <c r="AT15" s="154">
        <f t="shared" ref="AT15:AT22" si="14">AS15-AR15</f>
        <v>-1909.6215366356482</v>
      </c>
      <c r="AU15" s="68">
        <f t="shared" si="4"/>
        <v>3</v>
      </c>
      <c r="AV15" s="79" t="s">
        <v>116</v>
      </c>
      <c r="AW15" s="155"/>
      <c r="AX15" s="155"/>
      <c r="AY15" s="114">
        <f>SUM(AY13:AY14)</f>
        <v>-17901.10630472796</v>
      </c>
      <c r="AZ15" s="68">
        <f>+AZ14+1</f>
        <v>3</v>
      </c>
      <c r="BA15" s="72" t="s">
        <v>117</v>
      </c>
      <c r="BB15" s="72"/>
      <c r="BD15" s="156">
        <f>-BD13</f>
        <v>-30708.659753503118</v>
      </c>
      <c r="BE15" s="95">
        <f t="shared" si="5"/>
        <v>3</v>
      </c>
      <c r="BF15" s="80" t="s">
        <v>118</v>
      </c>
      <c r="BG15" s="157">
        <v>1040000</v>
      </c>
      <c r="BH15" s="158"/>
      <c r="BI15" s="102">
        <f t="shared" ref="BI15:BI28" si="15">BI14+1</f>
        <v>3</v>
      </c>
      <c r="BJ15" s="2" t="s">
        <v>119</v>
      </c>
      <c r="BK15" s="2"/>
      <c r="BL15" s="159">
        <f>SUM(BL13:BL14)</f>
        <v>124690.76999999984</v>
      </c>
      <c r="BM15" s="68">
        <f t="shared" si="6"/>
        <v>3</v>
      </c>
      <c r="BN15" s="80" t="s">
        <v>101</v>
      </c>
      <c r="BO15" s="160">
        <f>SUM(BO13:BO14)</f>
        <v>1514508.4813715923</v>
      </c>
      <c r="BP15" s="160">
        <f>BO15+BQ15</f>
        <v>1445009.6347552887</v>
      </c>
      <c r="BQ15" s="160">
        <f>SUM(BQ13:BQ14)</f>
        <v>-69498.846616303519</v>
      </c>
      <c r="BR15" s="68">
        <f t="shared" ref="BR15:BR18" si="16">BR14+1</f>
        <v>3</v>
      </c>
      <c r="BS15" s="80"/>
      <c r="BV15" s="6"/>
      <c r="BW15" s="68">
        <f t="shared" si="7"/>
        <v>3</v>
      </c>
      <c r="BX15" s="133" t="s">
        <v>115</v>
      </c>
      <c r="BY15" s="80"/>
      <c r="BZ15" s="80"/>
      <c r="CA15" s="161">
        <v>318407.04418792826</v>
      </c>
      <c r="CB15" s="161">
        <v>328605.72865901311</v>
      </c>
      <c r="CC15" s="138">
        <f t="shared" ref="CC15:CC22" si="17">CB15-CA15</f>
        <v>10198.684471084853</v>
      </c>
      <c r="CD15" s="68">
        <f t="shared" si="8"/>
        <v>3</v>
      </c>
      <c r="CE15" s="107" t="s">
        <v>120</v>
      </c>
      <c r="CF15" s="162">
        <v>3.3500000000000002E-2</v>
      </c>
      <c r="CG15" s="163">
        <f>CG14*CF15</f>
        <v>121031.78960056802</v>
      </c>
      <c r="CH15" s="140"/>
      <c r="CI15" s="68">
        <f t="shared" ref="CI15:CI24" si="18">CI14+1</f>
        <v>3</v>
      </c>
      <c r="CJ15" s="3" t="s">
        <v>121</v>
      </c>
      <c r="CK15" s="110"/>
      <c r="CL15" s="128">
        <v>4441873.2750779204</v>
      </c>
      <c r="CM15" s="68">
        <f t="shared" ref="CM15:CM27" si="19">CM14+1</f>
        <v>3</v>
      </c>
      <c r="CN15" s="164" t="s">
        <v>122</v>
      </c>
      <c r="CO15" s="165">
        <v>72192483.439999983</v>
      </c>
      <c r="CP15" s="166"/>
      <c r="CQ15" s="68">
        <v>3</v>
      </c>
      <c r="CR15" s="79" t="s">
        <v>123</v>
      </c>
      <c r="CS15" s="155">
        <f>SUM(CS14)</f>
        <v>755448.80925399996</v>
      </c>
      <c r="CT15" s="155">
        <f>SUM(CT14)</f>
        <v>602573.07018549996</v>
      </c>
      <c r="CU15" s="114">
        <f>SUM(CU13:CU14)</f>
        <v>-152875.7390685</v>
      </c>
      <c r="CV15" s="68">
        <f t="shared" si="9"/>
        <v>3</v>
      </c>
      <c r="CW15" s="79" t="s">
        <v>124</v>
      </c>
      <c r="CX15" s="167">
        <v>1253528.7620250001</v>
      </c>
      <c r="CY15" s="167">
        <v>10065787.334999999</v>
      </c>
      <c r="CZ15" s="168">
        <f>CY15-CX15</f>
        <v>8812258.5729749985</v>
      </c>
      <c r="DA15" s="115">
        <v>3</v>
      </c>
      <c r="DB15" s="169" t="s">
        <v>125</v>
      </c>
      <c r="DC15" s="170">
        <f>DC13+DC14</f>
        <v>35266092.165802002</v>
      </c>
      <c r="DD15" s="170">
        <f>DD13+DD14</f>
        <v>35214539.00974001</v>
      </c>
      <c r="DE15" s="170">
        <f>DE13+DE14</f>
        <v>-51553.156061998103</v>
      </c>
    </row>
    <row r="16" spans="1:145" ht="15.75" thickTop="1" x14ac:dyDescent="0.25">
      <c r="A16" s="68">
        <f t="shared" si="10"/>
        <v>4</v>
      </c>
      <c r="B16" s="119" t="s">
        <v>126</v>
      </c>
      <c r="C16" s="2"/>
      <c r="D16" s="128">
        <v>-26236731.310160261</v>
      </c>
      <c r="E16" s="2"/>
      <c r="F16" s="68">
        <f t="shared" si="0"/>
        <v>4</v>
      </c>
      <c r="G16" s="171">
        <v>42308</v>
      </c>
      <c r="H16" s="172">
        <v>73139427.500000015</v>
      </c>
      <c r="I16" s="172">
        <v>86649729.500000015</v>
      </c>
      <c r="J16" s="173">
        <f t="shared" ref="J16:J27" si="20">+I16-H16</f>
        <v>13510302</v>
      </c>
      <c r="L16" s="124">
        <f t="shared" si="11"/>
        <v>4</v>
      </c>
      <c r="M16" s="79" t="s">
        <v>127</v>
      </c>
      <c r="N16" s="174"/>
      <c r="O16" s="6">
        <v>20149802.975724913</v>
      </c>
      <c r="P16" s="68">
        <f t="shared" si="12"/>
        <v>4</v>
      </c>
      <c r="Q16" s="80" t="s">
        <v>128</v>
      </c>
      <c r="R16" s="175" t="s">
        <v>23</v>
      </c>
      <c r="S16" s="175">
        <f>kp_FEDERAL_INCOME_TAX</f>
        <v>0.35</v>
      </c>
      <c r="T16" s="161">
        <f>T13*S16</f>
        <v>26587825.211927671</v>
      </c>
      <c r="U16" s="68">
        <f t="shared" si="13"/>
        <v>4</v>
      </c>
      <c r="X16" s="77" t="str">
        <f>IF(W16='[1]SEF-4'!AI51,"","NEEDS UPDATING")</f>
        <v/>
      </c>
      <c r="Y16" s="68">
        <f>Y15+1</f>
        <v>4</v>
      </c>
      <c r="Z16" s="92" t="s">
        <v>129</v>
      </c>
      <c r="AA16" s="137">
        <v>11632339.733118001</v>
      </c>
      <c r="AB16" s="137">
        <v>11632339.733118001</v>
      </c>
      <c r="AC16" s="137">
        <f>AB16-AA16</f>
        <v>0</v>
      </c>
      <c r="AD16" s="68">
        <f t="shared" si="1"/>
        <v>4</v>
      </c>
      <c r="AF16" s="176"/>
      <c r="AG16" s="176"/>
      <c r="AI16" s="95">
        <f>1+AI15</f>
        <v>4</v>
      </c>
      <c r="AJ16" s="130" t="s">
        <v>130</v>
      </c>
      <c r="AK16" s="6">
        <v>5107471.959999999</v>
      </c>
      <c r="AL16" s="6">
        <v>898177819.9799999</v>
      </c>
      <c r="AM16" s="6">
        <v>32301964.859999999</v>
      </c>
      <c r="AN16" s="153">
        <f>AL16-AM16</f>
        <v>865875855.11999989</v>
      </c>
      <c r="AO16" s="177">
        <f>ROUND(AK16/AN16,6)</f>
        <v>5.8989999999999997E-3</v>
      </c>
      <c r="AP16" s="68">
        <f>AP15+1</f>
        <v>4</v>
      </c>
      <c r="AQ16" s="133" t="s">
        <v>131</v>
      </c>
      <c r="AR16" s="6">
        <v>62067.795627173517</v>
      </c>
      <c r="AS16" s="6">
        <v>56849.984196193305</v>
      </c>
      <c r="AT16" s="154">
        <f t="shared" si="14"/>
        <v>-5217.8114309802113</v>
      </c>
      <c r="AU16" s="68">
        <f>AU15+1</f>
        <v>4</v>
      </c>
      <c r="AV16" s="79"/>
      <c r="AW16" s="178"/>
      <c r="AX16" s="178"/>
      <c r="AY16" s="178"/>
      <c r="AZ16" s="68"/>
      <c r="BA16" s="161"/>
      <c r="BB16" s="161"/>
      <c r="BC16" s="72"/>
      <c r="BD16" s="161"/>
      <c r="BE16" s="95">
        <f>+BE15+1</f>
        <v>4</v>
      </c>
      <c r="BF16" s="80"/>
      <c r="BG16" s="100"/>
      <c r="BH16" s="101"/>
      <c r="BI16" s="102">
        <f>BI15+1</f>
        <v>4</v>
      </c>
      <c r="BJ16" s="2"/>
      <c r="BK16" s="2"/>
      <c r="BL16" s="159"/>
      <c r="BM16" s="68">
        <f>BM15+1</f>
        <v>4</v>
      </c>
      <c r="BN16" s="80"/>
      <c r="BQ16" s="6"/>
      <c r="BR16" s="68">
        <f t="shared" si="16"/>
        <v>4</v>
      </c>
      <c r="BS16" s="179" t="s">
        <v>132</v>
      </c>
      <c r="BV16" s="93">
        <f>BV14</f>
        <v>880140.1518121101</v>
      </c>
      <c r="BW16" s="68">
        <f>BW15+1</f>
        <v>4</v>
      </c>
      <c r="BX16" s="133" t="s">
        <v>131</v>
      </c>
      <c r="BY16" s="80"/>
      <c r="BZ16" s="80"/>
      <c r="CA16" s="161">
        <v>861492.99098813464</v>
      </c>
      <c r="CB16" s="161">
        <v>888425.1733595382</v>
      </c>
      <c r="CC16" s="138">
        <f t="shared" si="17"/>
        <v>26932.182371403556</v>
      </c>
      <c r="CD16" s="68">
        <f>CD15+1</f>
        <v>4</v>
      </c>
      <c r="CE16" s="180" t="s">
        <v>133</v>
      </c>
      <c r="CF16" s="73"/>
      <c r="CG16" s="140"/>
      <c r="CH16" s="140">
        <f>SUM(CG14:CG15)</f>
        <v>3733921.0314085684</v>
      </c>
      <c r="CI16" s="68">
        <f>CI15+1</f>
        <v>4</v>
      </c>
      <c r="CJ16" s="3" t="s">
        <v>134</v>
      </c>
      <c r="CK16" s="126"/>
      <c r="CL16" s="159">
        <f>SUM(CL14:CL15)</f>
        <v>11814864.89656</v>
      </c>
      <c r="CM16" s="68">
        <f>CM15+1</f>
        <v>4</v>
      </c>
      <c r="CN16" s="2" t="s">
        <v>135</v>
      </c>
      <c r="CO16" s="126"/>
      <c r="CP16" s="118">
        <f>CO15/5</f>
        <v>14438496.687999997</v>
      </c>
      <c r="CQ16" s="68">
        <v>4</v>
      </c>
      <c r="CR16" s="79"/>
      <c r="CS16" s="178"/>
      <c r="CT16" s="178"/>
      <c r="CU16" s="178"/>
      <c r="CV16" s="68">
        <f t="shared" si="9"/>
        <v>4</v>
      </c>
      <c r="CW16" s="181" t="s">
        <v>136</v>
      </c>
      <c r="CX16" s="182">
        <v>1121972.34925</v>
      </c>
      <c r="CY16" s="182">
        <v>0</v>
      </c>
      <c r="CZ16" s="183">
        <f>CY16-CX16</f>
        <v>-1121972.34925</v>
      </c>
      <c r="DA16" s="115">
        <v>4</v>
      </c>
      <c r="DB16" s="169"/>
      <c r="DC16" s="82"/>
      <c r="DD16" s="184"/>
      <c r="DE16" s="184"/>
    </row>
    <row r="17" spans="1:145" ht="14.25" customHeight="1" x14ac:dyDescent="0.25">
      <c r="A17" s="68">
        <f t="shared" si="10"/>
        <v>5</v>
      </c>
      <c r="B17" s="119" t="s">
        <v>137</v>
      </c>
      <c r="C17" s="2"/>
      <c r="D17" s="128">
        <v>-271003.82433101535</v>
      </c>
      <c r="E17" s="2"/>
      <c r="F17" s="68">
        <f t="shared" si="0"/>
        <v>5</v>
      </c>
      <c r="G17" s="171">
        <v>42309</v>
      </c>
      <c r="H17" s="172">
        <v>123121515.845</v>
      </c>
      <c r="I17" s="172">
        <v>114711801.84499998</v>
      </c>
      <c r="J17" s="185">
        <f t="shared" si="20"/>
        <v>-8409714.0000000149</v>
      </c>
      <c r="K17" s="126"/>
      <c r="L17" s="124">
        <f t="shared" si="11"/>
        <v>5</v>
      </c>
      <c r="M17" s="79" t="s">
        <v>138</v>
      </c>
      <c r="N17" s="125"/>
      <c r="O17" s="6">
        <v>-26488407.126521312</v>
      </c>
      <c r="P17" s="68">
        <f t="shared" si="12"/>
        <v>5</v>
      </c>
      <c r="Q17" s="80" t="s">
        <v>139</v>
      </c>
      <c r="R17" s="80" t="s">
        <v>23</v>
      </c>
      <c r="S17" s="90"/>
      <c r="T17" s="161">
        <v>38564775.619999997</v>
      </c>
      <c r="U17" s="68">
        <f t="shared" si="13"/>
        <v>5</v>
      </c>
      <c r="V17" s="76" t="s">
        <v>140</v>
      </c>
      <c r="W17" s="186">
        <f>+'[1]SEF-3'!J13</f>
        <v>2.9899999999999999E-2</v>
      </c>
      <c r="X17" s="125" t="s">
        <v>23</v>
      </c>
      <c r="Y17" s="68">
        <f>Y16+1</f>
        <v>5</v>
      </c>
      <c r="Z17" s="92" t="s">
        <v>141</v>
      </c>
      <c r="AA17" s="93">
        <f>SUM(AA13:AA16)</f>
        <v>133078761.09259801</v>
      </c>
      <c r="AB17" s="93">
        <f>SUM(AB13:AB16)</f>
        <v>113128149.72993767</v>
      </c>
      <c r="AC17" s="93">
        <f>SUM(AC13:AC16)</f>
        <v>-19950611.362660345</v>
      </c>
      <c r="AD17" s="68">
        <f t="shared" si="1"/>
        <v>5</v>
      </c>
      <c r="AE17" s="88" t="s">
        <v>142</v>
      </c>
      <c r="AF17" s="139"/>
      <c r="AH17" s="139">
        <f>AH15</f>
        <v>88826.625337333404</v>
      </c>
      <c r="AI17" s="95">
        <f t="shared" si="2"/>
        <v>5</v>
      </c>
      <c r="AJ17" s="187" t="s">
        <v>143</v>
      </c>
      <c r="AK17" s="188"/>
      <c r="AL17" s="188"/>
      <c r="AM17" s="188"/>
      <c r="AN17" s="189"/>
      <c r="AO17" s="132">
        <f>ROUND(SUM(AO14:AO16)/3,6)</f>
        <v>5.1399999999999996E-3</v>
      </c>
      <c r="AP17" s="68">
        <f t="shared" si="3"/>
        <v>5</v>
      </c>
      <c r="AQ17" s="133" t="s">
        <v>144</v>
      </c>
      <c r="AR17" s="6">
        <v>0</v>
      </c>
      <c r="AS17" s="6">
        <v>0</v>
      </c>
      <c r="AT17" s="154">
        <f t="shared" si="14"/>
        <v>0</v>
      </c>
      <c r="AU17" s="68">
        <f>AU16+1</f>
        <v>5</v>
      </c>
      <c r="AV17" s="79" t="s">
        <v>145</v>
      </c>
      <c r="AW17" s="178"/>
      <c r="AX17" s="178"/>
      <c r="AY17" s="153">
        <f>AY15</f>
        <v>-17901.10630472796</v>
      </c>
      <c r="AZ17" s="68"/>
      <c r="BE17" s="95">
        <f t="shared" si="5"/>
        <v>5</v>
      </c>
      <c r="BF17" s="190" t="s">
        <v>146</v>
      </c>
      <c r="BG17" s="191">
        <f>BG15/2</f>
        <v>520000</v>
      </c>
      <c r="BI17" s="102">
        <f t="shared" si="15"/>
        <v>5</v>
      </c>
      <c r="BJ17" s="2" t="s">
        <v>147</v>
      </c>
      <c r="BK17" s="2"/>
      <c r="BL17" s="88">
        <v>-92024.8</v>
      </c>
      <c r="BM17" s="68">
        <f t="shared" si="6"/>
        <v>5</v>
      </c>
      <c r="BQ17" s="126"/>
      <c r="BR17" s="68">
        <f t="shared" si="16"/>
        <v>5</v>
      </c>
      <c r="BS17" s="80" t="s">
        <v>148</v>
      </c>
      <c r="BT17" s="175">
        <f>kp_FEDERAL_INCOME_TAX</f>
        <v>0.35</v>
      </c>
      <c r="BU17" s="151"/>
      <c r="BV17" s="138">
        <f>BT17*-BV16</f>
        <v>-308049.05313423852</v>
      </c>
      <c r="BW17" s="68">
        <f t="shared" si="7"/>
        <v>5</v>
      </c>
      <c r="BX17" s="133" t="s">
        <v>144</v>
      </c>
      <c r="BY17" s="80"/>
      <c r="BZ17" s="80"/>
      <c r="CA17" s="161">
        <v>0</v>
      </c>
      <c r="CB17" s="161">
        <v>0</v>
      </c>
      <c r="CC17" s="138">
        <f t="shared" si="17"/>
        <v>0</v>
      </c>
      <c r="CD17" s="68">
        <f t="shared" si="8"/>
        <v>5</v>
      </c>
      <c r="CE17" s="180"/>
      <c r="CF17" s="107"/>
      <c r="CG17" s="140"/>
      <c r="CH17" s="140"/>
      <c r="CI17" s="68">
        <f t="shared" si="18"/>
        <v>5</v>
      </c>
      <c r="CK17" s="126"/>
      <c r="CL17" s="192"/>
      <c r="CM17" s="68">
        <f t="shared" si="19"/>
        <v>5</v>
      </c>
      <c r="CN17" s="2"/>
      <c r="CO17" s="166"/>
      <c r="CP17" s="193"/>
      <c r="CQ17" s="68">
        <v>5</v>
      </c>
      <c r="CR17" s="79"/>
      <c r="CS17" s="17"/>
      <c r="CT17" s="17"/>
      <c r="CU17" s="194"/>
      <c r="CV17" s="68">
        <f t="shared" si="9"/>
        <v>5</v>
      </c>
      <c r="CW17" s="79" t="s">
        <v>149</v>
      </c>
      <c r="CX17" s="153">
        <v>-20066.577730892186</v>
      </c>
      <c r="CY17" s="153">
        <v>-585831.69338917825</v>
      </c>
      <c r="CZ17" s="183">
        <f t="shared" ref="CZ17:CZ21" si="21">CY17-CX17</f>
        <v>-565765.11565828603</v>
      </c>
      <c r="DA17" s="115">
        <v>5</v>
      </c>
      <c r="DB17" s="79" t="s">
        <v>150</v>
      </c>
      <c r="DC17" s="82"/>
      <c r="DD17" s="184"/>
      <c r="DE17" s="195">
        <f>DE15</f>
        <v>-51553.156061998103</v>
      </c>
    </row>
    <row r="18" spans="1:145" ht="14.45" thickBot="1" x14ac:dyDescent="0.3">
      <c r="A18" s="68">
        <f t="shared" si="10"/>
        <v>6</v>
      </c>
      <c r="B18" s="119" t="s">
        <v>151</v>
      </c>
      <c r="C18" s="196"/>
      <c r="D18" s="128">
        <v>2772307.0595804784</v>
      </c>
      <c r="E18" s="2"/>
      <c r="F18" s="68">
        <f t="shared" si="0"/>
        <v>6</v>
      </c>
      <c r="G18" s="171">
        <v>42339</v>
      </c>
      <c r="H18" s="172">
        <v>156989623.97599998</v>
      </c>
      <c r="I18" s="172">
        <v>165319960.97600001</v>
      </c>
      <c r="J18" s="185">
        <f t="shared" si="20"/>
        <v>8330337.0000000298</v>
      </c>
      <c r="L18" s="124">
        <f t="shared" si="11"/>
        <v>6</v>
      </c>
      <c r="M18" s="79" t="s">
        <v>152</v>
      </c>
      <c r="N18" s="125"/>
      <c r="O18" s="6">
        <v>97440.859999999986</v>
      </c>
      <c r="P18" s="68">
        <f t="shared" si="12"/>
        <v>6</v>
      </c>
      <c r="Q18" s="3" t="s">
        <v>153</v>
      </c>
      <c r="S18" s="90"/>
      <c r="T18" s="139"/>
      <c r="U18" s="68">
        <f t="shared" si="13"/>
        <v>6</v>
      </c>
      <c r="V18" s="76" t="s">
        <v>154</v>
      </c>
      <c r="W18" s="197"/>
      <c r="X18" s="114">
        <f>W15*W17</f>
        <v>52644739.634749003</v>
      </c>
      <c r="Y18" s="68">
        <f t="shared" ref="Y18:Y42" si="22">Y17+1</f>
        <v>6</v>
      </c>
      <c r="Z18" s="92"/>
      <c r="AA18" s="198"/>
      <c r="AB18" s="126"/>
      <c r="AC18" s="88"/>
      <c r="AD18" s="68">
        <f t="shared" si="1"/>
        <v>6</v>
      </c>
      <c r="AE18" s="88" t="s">
        <v>148</v>
      </c>
      <c r="AF18" s="139"/>
      <c r="AG18" s="175">
        <v>0.35</v>
      </c>
      <c r="AH18" s="129">
        <f>ROUND(-AH17*AG18,0)</f>
        <v>-31089</v>
      </c>
      <c r="AI18" s="95">
        <f t="shared" si="2"/>
        <v>6</v>
      </c>
      <c r="AK18" s="188"/>
      <c r="AL18" s="188"/>
      <c r="AM18" s="188"/>
      <c r="AN18" s="189"/>
      <c r="AP18" s="68">
        <f t="shared" si="3"/>
        <v>6</v>
      </c>
      <c r="AQ18" s="133" t="s">
        <v>155</v>
      </c>
      <c r="AR18" s="6">
        <v>1884332.6697433374</v>
      </c>
      <c r="AS18" s="6">
        <v>1724487.9238056608</v>
      </c>
      <c r="AT18" s="154">
        <f t="shared" si="14"/>
        <v>-159844.74593767663</v>
      </c>
      <c r="AU18" s="68">
        <f t="shared" si="4"/>
        <v>6</v>
      </c>
      <c r="AV18" s="79"/>
      <c r="AW18" s="178"/>
      <c r="AX18" s="178"/>
      <c r="AY18" s="153"/>
      <c r="BE18" s="95">
        <f t="shared" si="5"/>
        <v>6</v>
      </c>
      <c r="BF18" s="199" t="s">
        <v>156</v>
      </c>
      <c r="BG18" s="191">
        <v>88281.067356</v>
      </c>
      <c r="BI18" s="102">
        <f t="shared" si="15"/>
        <v>6</v>
      </c>
      <c r="BJ18" s="2" t="s">
        <v>157</v>
      </c>
      <c r="BK18" s="2"/>
      <c r="BL18" s="137">
        <v>316253.37</v>
      </c>
      <c r="BM18" s="68">
        <f t="shared" si="6"/>
        <v>6</v>
      </c>
      <c r="BN18" s="80" t="s">
        <v>148</v>
      </c>
      <c r="BO18" s="175">
        <f>kp_FEDERAL_INCOME_TAX</f>
        <v>0.35</v>
      </c>
      <c r="BP18" s="151"/>
      <c r="BQ18" s="138">
        <f>BO18*-BQ15</f>
        <v>24324.596315706229</v>
      </c>
      <c r="BR18" s="68">
        <f t="shared" si="16"/>
        <v>6</v>
      </c>
      <c r="BS18" s="80" t="s">
        <v>117</v>
      </c>
      <c r="BV18" s="200">
        <f>-BV14-BV17</f>
        <v>-572091.09867787152</v>
      </c>
      <c r="BW18" s="68">
        <f t="shared" si="7"/>
        <v>6</v>
      </c>
      <c r="BX18" s="133" t="s">
        <v>155</v>
      </c>
      <c r="BY18" s="80"/>
      <c r="BZ18" s="80"/>
      <c r="CA18" s="161">
        <v>26154848.534069598</v>
      </c>
      <c r="CB18" s="161">
        <v>26948764.950638987</v>
      </c>
      <c r="CC18" s="138">
        <f t="shared" si="17"/>
        <v>793916.4165693894</v>
      </c>
      <c r="CD18" s="68">
        <f t="shared" si="8"/>
        <v>6</v>
      </c>
      <c r="CE18" s="106" t="s">
        <v>158</v>
      </c>
      <c r="CF18" s="201"/>
      <c r="CG18" s="140"/>
      <c r="CH18" s="140"/>
      <c r="CI18" s="68">
        <f t="shared" si="18"/>
        <v>6</v>
      </c>
      <c r="CJ18" s="3" t="s">
        <v>159</v>
      </c>
      <c r="CK18" s="162">
        <v>0.54659120593235488</v>
      </c>
      <c r="CL18" s="202">
        <f>CL16*CK18</f>
        <v>6457901.2517385781</v>
      </c>
      <c r="CM18" s="68">
        <f t="shared" si="19"/>
        <v>6</v>
      </c>
      <c r="CN18" s="111" t="s">
        <v>160</v>
      </c>
      <c r="CO18" s="166"/>
      <c r="CP18" s="193"/>
      <c r="CQ18" s="68">
        <v>6</v>
      </c>
      <c r="CR18" s="87" t="s">
        <v>161</v>
      </c>
      <c r="CS18" s="178"/>
      <c r="CT18" s="178"/>
      <c r="CU18" s="153"/>
      <c r="CV18" s="68">
        <f t="shared" si="9"/>
        <v>6</v>
      </c>
      <c r="CW18" s="79" t="s">
        <v>162</v>
      </c>
      <c r="CX18" s="153">
        <v>15174.160163641776</v>
      </c>
      <c r="CY18" s="153"/>
      <c r="CZ18" s="183">
        <f t="shared" si="21"/>
        <v>-15174.160163641776</v>
      </c>
      <c r="DA18" s="115">
        <v>6</v>
      </c>
      <c r="DB18" s="79" t="s">
        <v>163</v>
      </c>
      <c r="DC18" s="151">
        <v>0.35</v>
      </c>
      <c r="DD18" s="184"/>
      <c r="DE18" s="161">
        <f>ROUND(-DE17*DC18,0)</f>
        <v>18044</v>
      </c>
    </row>
    <row r="19" spans="1:145" ht="14.25" customHeight="1" thickTop="1" thickBot="1" x14ac:dyDescent="0.3">
      <c r="A19" s="68">
        <f t="shared" si="10"/>
        <v>7</v>
      </c>
      <c r="B19" s="2" t="s">
        <v>164</v>
      </c>
      <c r="C19" s="2"/>
      <c r="D19" s="203">
        <f>SUM(D14:D18)</f>
        <v>-54715828.899718225</v>
      </c>
      <c r="E19" s="88">
        <f>D19</f>
        <v>-54715828.899718225</v>
      </c>
      <c r="F19" s="68">
        <f t="shared" si="0"/>
        <v>7</v>
      </c>
      <c r="G19" s="171">
        <v>42370</v>
      </c>
      <c r="H19" s="172">
        <v>151262374.11699998</v>
      </c>
      <c r="I19" s="172">
        <v>159895881.11700004</v>
      </c>
      <c r="J19" s="185">
        <f t="shared" si="20"/>
        <v>8633507.0000000596</v>
      </c>
      <c r="L19" s="124">
        <f>L18+1</f>
        <v>7</v>
      </c>
      <c r="M19" s="79" t="s">
        <v>165</v>
      </c>
      <c r="N19" s="125"/>
      <c r="O19" s="6">
        <v>-25090.45</v>
      </c>
      <c r="P19" s="68">
        <f>P18+1</f>
        <v>7</v>
      </c>
      <c r="Q19" s="3" t="s">
        <v>166</v>
      </c>
      <c r="S19" s="90"/>
      <c r="T19" s="104"/>
      <c r="U19" s="68">
        <f>+U18+1</f>
        <v>7</v>
      </c>
      <c r="V19" s="76"/>
      <c r="W19" s="204"/>
      <c r="X19" s="205" t="s">
        <v>23</v>
      </c>
      <c r="Y19" s="68">
        <f t="shared" si="22"/>
        <v>7</v>
      </c>
      <c r="Z19" s="92" t="s">
        <v>167</v>
      </c>
      <c r="AA19" s="88">
        <v>173994.92</v>
      </c>
      <c r="AB19" s="88">
        <v>153458.2561230502</v>
      </c>
      <c r="AC19" s="88">
        <f t="shared" ref="AC19" si="23">AB19-AA19</f>
        <v>-20536.663876949809</v>
      </c>
      <c r="AD19" s="68">
        <f t="shared" si="1"/>
        <v>7</v>
      </c>
      <c r="AE19" s="2"/>
      <c r="AF19" s="176"/>
      <c r="AG19" s="176"/>
      <c r="AH19" s="176"/>
      <c r="AI19" s="95">
        <f>1+AI18</f>
        <v>7</v>
      </c>
      <c r="AJ19" s="206" t="s">
        <v>168</v>
      </c>
      <c r="AL19" s="131">
        <v>895472598.58000004</v>
      </c>
      <c r="AM19" s="131">
        <v>37980142.479999997</v>
      </c>
      <c r="AN19" s="131">
        <f>AL19-AM19</f>
        <v>857492456.10000002</v>
      </c>
      <c r="AP19" s="68">
        <f>AP18+1</f>
        <v>7</v>
      </c>
      <c r="AQ19" s="133" t="s">
        <v>169</v>
      </c>
      <c r="AR19" s="6">
        <v>542498.12432720035</v>
      </c>
      <c r="AS19" s="6">
        <v>488720.47298540262</v>
      </c>
      <c r="AT19" s="154">
        <f t="shared" si="14"/>
        <v>-53777.651341797726</v>
      </c>
      <c r="AU19" s="68">
        <f>AU18+1</f>
        <v>7</v>
      </c>
      <c r="AV19" s="79" t="s">
        <v>148</v>
      </c>
      <c r="AW19" s="178"/>
      <c r="AX19" s="198">
        <f>kp_FEDERAL_INCOME_TAX</f>
        <v>0.35</v>
      </c>
      <c r="AY19" s="183">
        <f>-AY17*AX19</f>
        <v>6265.3872066547856</v>
      </c>
      <c r="BE19" s="95">
        <f>+BE18+1</f>
        <v>7</v>
      </c>
      <c r="BF19" s="199"/>
      <c r="BG19" s="207"/>
      <c r="BH19" s="101"/>
      <c r="BI19" s="102">
        <f>BI18+1</f>
        <v>7</v>
      </c>
      <c r="BJ19" s="2" t="s">
        <v>170</v>
      </c>
      <c r="BK19" s="2"/>
      <c r="BL19" s="159">
        <f>SUM(BL17:BL18)</f>
        <v>224228.57</v>
      </c>
      <c r="BM19" s="68">
        <f>BM18+1</f>
        <v>7</v>
      </c>
      <c r="BN19" s="80" t="s">
        <v>117</v>
      </c>
      <c r="BQ19" s="200">
        <f>-BQ15-BQ18</f>
        <v>45174.25030059729</v>
      </c>
      <c r="BR19" s="99"/>
      <c r="BS19" s="99"/>
      <c r="BT19" s="99"/>
      <c r="BU19" s="99"/>
      <c r="BV19" s="99"/>
      <c r="BW19" s="68">
        <f>BW18+1</f>
        <v>7</v>
      </c>
      <c r="BX19" s="133" t="s">
        <v>169</v>
      </c>
      <c r="BY19" s="80"/>
      <c r="BZ19" s="80"/>
      <c r="CA19" s="161">
        <v>7529966.0535140662</v>
      </c>
      <c r="CB19" s="161">
        <v>7637304.3781785369</v>
      </c>
      <c r="CC19" s="138">
        <f t="shared" si="17"/>
        <v>107338.32466447074</v>
      </c>
      <c r="CD19" s="68">
        <f>CD18+1</f>
        <v>7</v>
      </c>
      <c r="CE19" s="79" t="s">
        <v>171</v>
      </c>
      <c r="CF19" s="73"/>
      <c r="CG19" s="140">
        <v>1319812.7623999999</v>
      </c>
      <c r="CH19" s="140"/>
      <c r="CI19" s="68">
        <f>CI18+1</f>
        <v>7</v>
      </c>
      <c r="CJ19" s="103" t="s">
        <v>172</v>
      </c>
      <c r="CK19" s="151"/>
      <c r="CL19" s="137">
        <v>6367468.685411375</v>
      </c>
      <c r="CM19" s="68">
        <f>CM18+1</f>
        <v>7</v>
      </c>
      <c r="CN19" s="141"/>
      <c r="CO19" s="166"/>
      <c r="CP19" s="193"/>
      <c r="CQ19" s="68">
        <v>7</v>
      </c>
      <c r="CR19" s="208" t="s">
        <v>173</v>
      </c>
      <c r="CS19" s="113">
        <v>0</v>
      </c>
      <c r="CT19" s="113">
        <v>1784913.9752952412</v>
      </c>
      <c r="CU19" s="97">
        <f>CT19-CS19</f>
        <v>1784913.9752952412</v>
      </c>
      <c r="CV19" s="68">
        <f t="shared" si="9"/>
        <v>7</v>
      </c>
      <c r="CW19" s="79" t="s">
        <v>174</v>
      </c>
      <c r="CX19" s="153">
        <v>-531419.38875000004</v>
      </c>
      <c r="CY19" s="153">
        <v>0</v>
      </c>
      <c r="CZ19" s="183">
        <f t="shared" si="21"/>
        <v>531419.38875000004</v>
      </c>
      <c r="DA19" s="115">
        <v>7</v>
      </c>
      <c r="DB19" s="79" t="s">
        <v>175</v>
      </c>
      <c r="DC19" s="82"/>
      <c r="DD19" s="184"/>
      <c r="DE19" s="209">
        <f>-DE17-DE18</f>
        <v>33509.156061998103</v>
      </c>
    </row>
    <row r="20" spans="1:145" ht="15.95" customHeight="1" thickTop="1" thickBot="1" x14ac:dyDescent="0.3">
      <c r="A20" s="68">
        <f t="shared" si="10"/>
        <v>8</v>
      </c>
      <c r="B20" s="2"/>
      <c r="C20" s="2"/>
      <c r="D20" s="210"/>
      <c r="E20" s="2"/>
      <c r="F20" s="68">
        <f t="shared" si="0"/>
        <v>8</v>
      </c>
      <c r="G20" s="171">
        <v>42401</v>
      </c>
      <c r="H20" s="172">
        <v>118408550.68799998</v>
      </c>
      <c r="I20" s="172">
        <v>138019004.68799999</v>
      </c>
      <c r="J20" s="185">
        <f t="shared" si="20"/>
        <v>19610454.000000015</v>
      </c>
      <c r="L20" s="124">
        <f t="shared" si="11"/>
        <v>8</v>
      </c>
      <c r="M20" s="211" t="s">
        <v>176</v>
      </c>
      <c r="N20" s="125"/>
      <c r="O20" s="6">
        <v>270440.65000000002</v>
      </c>
      <c r="P20" s="68">
        <f t="shared" si="12"/>
        <v>8</v>
      </c>
      <c r="Q20" s="3" t="s">
        <v>177</v>
      </c>
      <c r="T20" s="91">
        <f>SUM(T16:T19)</f>
        <v>65152600.831927672</v>
      </c>
      <c r="U20" s="68">
        <f t="shared" si="13"/>
        <v>8</v>
      </c>
      <c r="V20" s="3" t="s">
        <v>178</v>
      </c>
      <c r="W20" s="197"/>
      <c r="X20" s="139">
        <f>-X18</f>
        <v>-52644739.634749003</v>
      </c>
      <c r="Y20" s="68">
        <f>Y19+1</f>
        <v>8</v>
      </c>
      <c r="Z20" s="199" t="s">
        <v>179</v>
      </c>
      <c r="AA20" s="137">
        <v>51680.669399999999</v>
      </c>
      <c r="AB20" s="137">
        <v>0</v>
      </c>
      <c r="AC20" s="137">
        <f>AB20-AA20</f>
        <v>-51680.669399999999</v>
      </c>
      <c r="AD20" s="68">
        <f t="shared" si="1"/>
        <v>8</v>
      </c>
      <c r="AE20" s="88" t="s">
        <v>117</v>
      </c>
      <c r="AF20" s="139"/>
      <c r="AG20" s="139"/>
      <c r="AH20" s="212">
        <f>-AH17-AH18</f>
        <v>-57737.625337333404</v>
      </c>
      <c r="AI20" s="95">
        <f>1+AI19</f>
        <v>8</v>
      </c>
      <c r="AJ20" s="206" t="s">
        <v>180</v>
      </c>
      <c r="AN20" s="6">
        <f>K42</f>
        <v>58088569.543246187</v>
      </c>
      <c r="AP20" s="68">
        <f t="shared" si="3"/>
        <v>8</v>
      </c>
      <c r="AQ20" s="133" t="s">
        <v>181</v>
      </c>
      <c r="AR20" s="6">
        <v>74580.714692630994</v>
      </c>
      <c r="AS20" s="6">
        <v>68242.838582208162</v>
      </c>
      <c r="AT20" s="154">
        <f t="shared" si="14"/>
        <v>-6337.8761104228324</v>
      </c>
      <c r="AU20" s="68">
        <f t="shared" si="4"/>
        <v>8</v>
      </c>
      <c r="AV20" s="79" t="s">
        <v>117</v>
      </c>
      <c r="AW20" s="178"/>
      <c r="AX20" s="178"/>
      <c r="AY20" s="213">
        <f>-AY17-AY19</f>
        <v>11635.719098073176</v>
      </c>
      <c r="BE20" s="95">
        <f t="shared" si="5"/>
        <v>8</v>
      </c>
      <c r="BF20" s="80" t="s">
        <v>182</v>
      </c>
      <c r="BG20" s="214">
        <f>BG17-BG18</f>
        <v>431718.93264399999</v>
      </c>
      <c r="BH20" s="157">
        <f>BG20</f>
        <v>431718.93264399999</v>
      </c>
      <c r="BI20" s="102">
        <f t="shared" si="15"/>
        <v>8</v>
      </c>
      <c r="BJ20" s="2"/>
      <c r="BK20" s="2"/>
      <c r="BL20" s="88"/>
      <c r="BR20" s="215"/>
      <c r="BV20" s="3" t="s">
        <v>23</v>
      </c>
      <c r="BW20" s="68">
        <f t="shared" si="7"/>
        <v>8</v>
      </c>
      <c r="BX20" s="133" t="s">
        <v>181</v>
      </c>
      <c r="BY20" s="80"/>
      <c r="BZ20" s="80"/>
      <c r="CA20" s="161">
        <v>1035196.5402749601</v>
      </c>
      <c r="CB20" s="161">
        <v>1066415.4927500868</v>
      </c>
      <c r="CC20" s="138">
        <f t="shared" si="17"/>
        <v>31218.952475126716</v>
      </c>
      <c r="CD20" s="68">
        <f t="shared" si="8"/>
        <v>8</v>
      </c>
      <c r="CE20" s="107" t="s">
        <v>183</v>
      </c>
      <c r="CF20" s="216">
        <v>6.875E-3</v>
      </c>
      <c r="CG20" s="163">
        <f>CG19*CF20</f>
        <v>9073.7127414999995</v>
      </c>
      <c r="CH20" s="140"/>
      <c r="CI20" s="68">
        <f t="shared" si="18"/>
        <v>8</v>
      </c>
      <c r="CJ20" s="80" t="s">
        <v>101</v>
      </c>
      <c r="CK20" s="68"/>
      <c r="CL20" s="202">
        <f>CL18-CL19</f>
        <v>90432.566327203065</v>
      </c>
      <c r="CM20" s="68">
        <f t="shared" si="19"/>
        <v>8</v>
      </c>
      <c r="CN20" s="2" t="s">
        <v>184</v>
      </c>
      <c r="CO20" s="118">
        <v>-29385478.858519975</v>
      </c>
      <c r="CP20" s="193"/>
      <c r="CQ20" s="68">
        <v>8</v>
      </c>
      <c r="CR20" s="208" t="s">
        <v>185</v>
      </c>
      <c r="CS20" s="217">
        <v>0</v>
      </c>
      <c r="CT20" s="217">
        <v>1792115.6450936967</v>
      </c>
      <c r="CU20" s="218">
        <f>CT20-CS20</f>
        <v>1792115.6450936967</v>
      </c>
      <c r="CV20" s="68">
        <f t="shared" si="9"/>
        <v>8</v>
      </c>
      <c r="CW20" s="79" t="s">
        <v>186</v>
      </c>
      <c r="CX20" s="153">
        <v>6619.0013300919836</v>
      </c>
      <c r="CY20" s="153">
        <v>138651.70953729711</v>
      </c>
      <c r="CZ20" s="183">
        <f t="shared" si="21"/>
        <v>132032.70820720511</v>
      </c>
    </row>
    <row r="21" spans="1:145" ht="13.5" thickTop="1" x14ac:dyDescent="0.2">
      <c r="A21" s="68">
        <f t="shared" si="10"/>
        <v>9</v>
      </c>
      <c r="B21" s="84" t="s">
        <v>187</v>
      </c>
      <c r="C21" s="2"/>
      <c r="D21" s="120"/>
      <c r="E21" s="2"/>
      <c r="F21" s="68">
        <f t="shared" si="0"/>
        <v>9</v>
      </c>
      <c r="G21" s="171">
        <v>42430</v>
      </c>
      <c r="H21" s="172">
        <v>112362332.25200005</v>
      </c>
      <c r="I21" s="172">
        <v>123218844.25200003</v>
      </c>
      <c r="J21" s="185">
        <f t="shared" si="20"/>
        <v>10856511.999999985</v>
      </c>
      <c r="L21" s="124">
        <f t="shared" si="11"/>
        <v>9</v>
      </c>
      <c r="M21" s="79"/>
      <c r="N21" s="125"/>
      <c r="O21" s="6"/>
      <c r="P21" s="68">
        <f t="shared" si="12"/>
        <v>9</v>
      </c>
      <c r="U21" s="68">
        <f t="shared" si="13"/>
        <v>9</v>
      </c>
      <c r="V21" s="3" t="s">
        <v>23</v>
      </c>
      <c r="X21" s="77" t="s">
        <v>23</v>
      </c>
      <c r="Y21" s="68">
        <f t="shared" si="22"/>
        <v>9</v>
      </c>
      <c r="Z21" s="92" t="s">
        <v>188</v>
      </c>
      <c r="AA21" s="93">
        <f>SUM(AA19:AA20)</f>
        <v>225675.5894</v>
      </c>
      <c r="AB21" s="93">
        <f>SUM(AB19:AB20)</f>
        <v>153458.2561230502</v>
      </c>
      <c r="AC21" s="93">
        <f>SUM(AC19:AC20)</f>
        <v>-72217.333276949808</v>
      </c>
      <c r="AD21" s="68"/>
      <c r="AE21" s="2"/>
      <c r="AF21" s="176"/>
      <c r="AG21" s="176"/>
      <c r="AH21" s="176"/>
      <c r="AI21" s="95">
        <f t="shared" ref="AI21:AI29" si="24">1+AI20</f>
        <v>9</v>
      </c>
      <c r="AJ21" s="206" t="s">
        <v>189</v>
      </c>
      <c r="AN21" s="219">
        <f>SUM(AN19:AN20)</f>
        <v>915581025.64324617</v>
      </c>
      <c r="AP21" s="68">
        <f>AP20+1</f>
        <v>9</v>
      </c>
      <c r="AQ21" s="133" t="s">
        <v>190</v>
      </c>
      <c r="AR21" s="6">
        <v>121.5193511069849</v>
      </c>
      <c r="AS21" s="6">
        <v>111.02237005574798</v>
      </c>
      <c r="AT21" s="154">
        <f t="shared" si="14"/>
        <v>-10.496981051236915</v>
      </c>
      <c r="AU21" s="6"/>
      <c r="AV21" s="6"/>
      <c r="AW21" s="6"/>
      <c r="AX21" s="6"/>
      <c r="AY21" s="6"/>
      <c r="BE21" s="95">
        <f>+BE20+1</f>
        <v>9</v>
      </c>
      <c r="BF21" s="80"/>
      <c r="BG21" s="220"/>
      <c r="BH21" s="221"/>
      <c r="BI21" s="102">
        <f>BI20+1</f>
        <v>9</v>
      </c>
      <c r="BJ21" s="2" t="s">
        <v>191</v>
      </c>
      <c r="BK21" s="2"/>
      <c r="BL21" s="88">
        <f>BL15+BL19</f>
        <v>348919.33999999985</v>
      </c>
      <c r="BM21" s="215"/>
      <c r="BR21" s="158"/>
      <c r="BS21" s="158"/>
      <c r="BT21" s="158"/>
      <c r="BU21" s="158"/>
      <c r="BV21" s="222" t="s">
        <v>23</v>
      </c>
      <c r="BW21" s="68">
        <f>BW20+1</f>
        <v>9</v>
      </c>
      <c r="BX21" s="133" t="s">
        <v>190</v>
      </c>
      <c r="BY21" s="80"/>
      <c r="BZ21" s="80"/>
      <c r="CA21" s="161">
        <v>1679.4190263789349</v>
      </c>
      <c r="CB21" s="161">
        <v>1735.6795637626294</v>
      </c>
      <c r="CC21" s="138">
        <f t="shared" si="17"/>
        <v>56.260537383694555</v>
      </c>
      <c r="CD21" s="68">
        <f>CD20+1</f>
        <v>9</v>
      </c>
      <c r="CE21" s="180" t="s">
        <v>192</v>
      </c>
      <c r="CF21" s="180"/>
      <c r="CG21" s="140"/>
      <c r="CH21" s="140">
        <f>SUM(CG19:CG20)</f>
        <v>1328886.4751414999</v>
      </c>
      <c r="CI21" s="68">
        <f>CI20+1</f>
        <v>9</v>
      </c>
      <c r="CK21" s="68"/>
      <c r="CL21" s="142"/>
      <c r="CM21" s="68">
        <f>CM20+1</f>
        <v>9</v>
      </c>
      <c r="CN21" s="2" t="s">
        <v>193</v>
      </c>
      <c r="CO21" s="166"/>
      <c r="CP21" s="195">
        <f>CO20/5</f>
        <v>-5877095.7717039948</v>
      </c>
      <c r="CQ21" s="68">
        <v>9</v>
      </c>
      <c r="CR21" s="79" t="s">
        <v>123</v>
      </c>
      <c r="CS21" s="223">
        <f>SUM(CS19:CS20)</f>
        <v>0</v>
      </c>
      <c r="CT21" s="223">
        <f>SUM(CT19:CT20)</f>
        <v>3577029.6203889381</v>
      </c>
      <c r="CU21" s="223">
        <f>SUM(CU19:CU20)</f>
        <v>3577029.6203889381</v>
      </c>
      <c r="CV21" s="68">
        <f t="shared" si="9"/>
        <v>9</v>
      </c>
      <c r="CW21" s="181" t="s">
        <v>194</v>
      </c>
      <c r="CX21" s="153">
        <v>-2316.6504655321942</v>
      </c>
      <c r="CY21" s="153"/>
      <c r="CZ21" s="183">
        <f t="shared" si="21"/>
        <v>2316.6504655321942</v>
      </c>
      <c r="EO21" s="161"/>
    </row>
    <row r="22" spans="1:145" ht="13.5" thickBot="1" x14ac:dyDescent="0.25">
      <c r="A22" s="68">
        <f t="shared" si="10"/>
        <v>10</v>
      </c>
      <c r="B22" s="119" t="s">
        <v>91</v>
      </c>
      <c r="C22" s="2"/>
      <c r="D22" s="88">
        <v>28151.220000000005</v>
      </c>
      <c r="E22" s="2"/>
      <c r="F22" s="68">
        <f t="shared" si="0"/>
        <v>10</v>
      </c>
      <c r="G22" s="171">
        <v>42461</v>
      </c>
      <c r="H22" s="172">
        <v>72229905.327999994</v>
      </c>
      <c r="I22" s="172">
        <v>91155981.327999994</v>
      </c>
      <c r="J22" s="185">
        <f t="shared" si="20"/>
        <v>18926076</v>
      </c>
      <c r="L22" s="124">
        <f t="shared" si="11"/>
        <v>10</v>
      </c>
      <c r="M22" s="79" t="s">
        <v>195</v>
      </c>
      <c r="N22" s="125"/>
      <c r="O22" s="6">
        <v>40067188.970000006</v>
      </c>
      <c r="P22" s="68">
        <f t="shared" si="12"/>
        <v>10</v>
      </c>
      <c r="Q22" s="3" t="s">
        <v>196</v>
      </c>
      <c r="R22" s="3" t="s">
        <v>23</v>
      </c>
      <c r="T22" s="126"/>
      <c r="U22" s="68">
        <f t="shared" si="13"/>
        <v>10</v>
      </c>
      <c r="V22" s="3" t="s">
        <v>197</v>
      </c>
      <c r="W22" s="175">
        <f>kp_FEDERAL_INCOME_TAX</f>
        <v>0.35</v>
      </c>
      <c r="X22" s="93">
        <f>X20*W22</f>
        <v>-18425658.872162148</v>
      </c>
      <c r="Y22" s="68">
        <f>Y21+1</f>
        <v>10</v>
      </c>
      <c r="Z22" s="92"/>
      <c r="AA22" s="224"/>
      <c r="AB22" s="88"/>
      <c r="AC22" s="99"/>
      <c r="AD22" s="68"/>
      <c r="AE22" s="2"/>
      <c r="AF22" s="139"/>
      <c r="AG22" s="139"/>
      <c r="AH22" s="91"/>
      <c r="AI22" s="95">
        <f t="shared" si="24"/>
        <v>10</v>
      </c>
      <c r="AJ22" s="3" t="s">
        <v>198</v>
      </c>
      <c r="AN22" s="225">
        <f>AO17</f>
        <v>5.1399999999999996E-3</v>
      </c>
      <c r="AP22" s="68">
        <f t="shared" si="3"/>
        <v>10</v>
      </c>
      <c r="AQ22" s="133" t="s">
        <v>199</v>
      </c>
      <c r="AR22" s="137">
        <v>980493.18080095551</v>
      </c>
      <c r="AS22" s="137">
        <v>899444.46564281709</v>
      </c>
      <c r="AT22" s="226">
        <f t="shared" si="14"/>
        <v>-81048.715158138424</v>
      </c>
      <c r="AU22" s="215"/>
      <c r="AV22" s="138"/>
      <c r="AW22" s="138"/>
      <c r="AX22" s="138"/>
      <c r="AY22" s="138"/>
      <c r="BE22" s="95">
        <f t="shared" si="5"/>
        <v>10</v>
      </c>
      <c r="BF22" s="80"/>
      <c r="BG22" s="224"/>
      <c r="BH22" s="75"/>
      <c r="BI22" s="102">
        <f t="shared" si="15"/>
        <v>10</v>
      </c>
      <c r="BJ22" s="2"/>
      <c r="BK22" s="2"/>
      <c r="BL22" s="88"/>
      <c r="BM22" s="158"/>
      <c r="BN22" s="158"/>
      <c r="BO22" s="158"/>
      <c r="BP22" s="158"/>
      <c r="BQ22" s="222"/>
      <c r="BR22" s="227"/>
      <c r="BS22" s="227"/>
      <c r="BT22" s="158"/>
      <c r="BU22" s="158"/>
      <c r="BV22" s="222" t="s">
        <v>23</v>
      </c>
      <c r="BW22" s="68">
        <f t="shared" si="7"/>
        <v>10</v>
      </c>
      <c r="BX22" s="133" t="s">
        <v>199</v>
      </c>
      <c r="BY22" s="80"/>
      <c r="BZ22" s="80"/>
      <c r="CA22" s="129">
        <v>13609380.119610026</v>
      </c>
      <c r="CB22" s="129">
        <v>14055710.521142324</v>
      </c>
      <c r="CC22" s="129">
        <f t="shared" si="17"/>
        <v>446330.40153229795</v>
      </c>
      <c r="CD22" s="68">
        <f t="shared" si="8"/>
        <v>10</v>
      </c>
      <c r="CE22" s="107"/>
      <c r="CF22" s="107"/>
      <c r="CG22" s="140"/>
      <c r="CH22" s="140"/>
      <c r="CI22" s="68">
        <f t="shared" si="18"/>
        <v>10</v>
      </c>
      <c r="CJ22" s="80" t="s">
        <v>163</v>
      </c>
      <c r="CK22" s="151">
        <f>kp_FEDERAL_INCOME_TAX</f>
        <v>0.35</v>
      </c>
      <c r="CL22" s="228">
        <f>-CL20*CK22</f>
        <v>-31651.398214521072</v>
      </c>
      <c r="CM22" s="68">
        <f t="shared" si="19"/>
        <v>10</v>
      </c>
      <c r="CN22" s="229"/>
      <c r="CO22" s="166"/>
      <c r="CP22" s="230"/>
      <c r="CQ22" s="68">
        <v>10</v>
      </c>
      <c r="CR22" s="79"/>
      <c r="CS22" s="166"/>
      <c r="CT22" s="166"/>
      <c r="CU22" s="166"/>
      <c r="CV22" s="68">
        <f t="shared" si="9"/>
        <v>10</v>
      </c>
      <c r="CW22" s="79" t="s">
        <v>200</v>
      </c>
      <c r="CX22" s="231">
        <f>SUM(CX15:CX21)</f>
        <v>1843491.6558223097</v>
      </c>
      <c r="CY22" s="231">
        <f>SUM(CY15:CY21)</f>
        <v>9618607.3511481173</v>
      </c>
      <c r="CZ22" s="231">
        <f>SUM(CZ15:CZ21)</f>
        <v>7775115.6953258077</v>
      </c>
      <c r="EO22" s="128"/>
    </row>
    <row r="23" spans="1:145" ht="15.95" customHeight="1" thickTop="1" thickBot="1" x14ac:dyDescent="0.25">
      <c r="A23" s="68">
        <f t="shared" si="10"/>
        <v>11</v>
      </c>
      <c r="B23" s="119" t="s">
        <v>107</v>
      </c>
      <c r="C23" s="2"/>
      <c r="D23" s="128">
        <v>-498561.63999999996</v>
      </c>
      <c r="E23" s="2"/>
      <c r="F23" s="68">
        <f t="shared" si="0"/>
        <v>11</v>
      </c>
      <c r="G23" s="171">
        <v>42491</v>
      </c>
      <c r="H23" s="172">
        <v>59674800.405000009</v>
      </c>
      <c r="I23" s="172">
        <v>68300515.404999986</v>
      </c>
      <c r="J23" s="185">
        <f t="shared" si="20"/>
        <v>8625714.9999999776</v>
      </c>
      <c r="L23" s="124">
        <f t="shared" si="11"/>
        <v>11</v>
      </c>
      <c r="M23" s="2" t="s">
        <v>201</v>
      </c>
      <c r="N23" s="125"/>
      <c r="O23" s="6">
        <v>367127.93</v>
      </c>
      <c r="P23" s="68">
        <f t="shared" si="12"/>
        <v>11</v>
      </c>
      <c r="Q23" s="80" t="s">
        <v>128</v>
      </c>
      <c r="R23" s="125"/>
      <c r="S23" s="77"/>
      <c r="T23" s="93"/>
      <c r="U23" s="68">
        <f t="shared" si="13"/>
        <v>11</v>
      </c>
      <c r="V23" s="3" t="s">
        <v>117</v>
      </c>
      <c r="W23" s="197"/>
      <c r="X23" s="200">
        <f>-X22</f>
        <v>18425658.872162148</v>
      </c>
      <c r="Y23" s="68">
        <f t="shared" si="22"/>
        <v>11</v>
      </c>
      <c r="Z23" s="3" t="s">
        <v>202</v>
      </c>
      <c r="AA23" s="232">
        <f>AA17+AA21</f>
        <v>133304436.681998</v>
      </c>
      <c r="AB23" s="232">
        <f>AB17+AB21</f>
        <v>113281607.98606072</v>
      </c>
      <c r="AC23" s="232">
        <f>AB23-AA23</f>
        <v>-20022828.695937276</v>
      </c>
      <c r="AD23" s="68"/>
      <c r="AE23" s="2"/>
      <c r="AF23" s="172"/>
      <c r="AG23" s="172"/>
      <c r="AH23" s="176"/>
      <c r="AI23" s="95">
        <f t="shared" si="24"/>
        <v>11</v>
      </c>
      <c r="AJ23" s="3" t="s">
        <v>203</v>
      </c>
      <c r="AN23" s="131">
        <f>AN21*AN22</f>
        <v>4706086.471806285</v>
      </c>
      <c r="AP23" s="68">
        <f t="shared" si="3"/>
        <v>11</v>
      </c>
      <c r="AQ23" s="233" t="s">
        <v>204</v>
      </c>
      <c r="AR23" s="93">
        <f>SUM(AR14:AR22)</f>
        <v>3574098.5619701445</v>
      </c>
      <c r="AS23" s="93">
        <f>SUM(AS14:AS22)</f>
        <v>3265364.1324455617</v>
      </c>
      <c r="AT23" s="93">
        <f>+AS23-AR23</f>
        <v>-308734.42952458281</v>
      </c>
      <c r="AU23" s="6"/>
      <c r="AV23" s="6"/>
      <c r="AW23" s="6"/>
      <c r="AX23" s="6"/>
      <c r="AY23" s="6"/>
      <c r="BE23" s="95">
        <f t="shared" si="5"/>
        <v>11</v>
      </c>
      <c r="BF23" s="80" t="s">
        <v>205</v>
      </c>
      <c r="BG23" s="224"/>
      <c r="BH23" s="157">
        <f>+BH20</f>
        <v>431718.93264399999</v>
      </c>
      <c r="BI23" s="102">
        <f t="shared" si="15"/>
        <v>11</v>
      </c>
      <c r="BJ23" s="2" t="s">
        <v>206</v>
      </c>
      <c r="BK23" s="172"/>
      <c r="BL23" s="128">
        <f>BL21/36*12</f>
        <v>116306.44666666663</v>
      </c>
      <c r="BM23" s="227"/>
      <c r="BN23" s="227"/>
      <c r="BO23" s="227"/>
      <c r="BP23" s="227"/>
      <c r="BQ23" s="227"/>
      <c r="BR23" s="99"/>
      <c r="BS23" s="99"/>
      <c r="BT23" s="158"/>
      <c r="BU23" s="158"/>
      <c r="BV23" s="222" t="s">
        <v>23</v>
      </c>
      <c r="BW23" s="68">
        <f t="shared" si="7"/>
        <v>11</v>
      </c>
      <c r="BX23" s="80" t="s">
        <v>207</v>
      </c>
      <c r="BY23" s="80"/>
      <c r="BZ23" s="80"/>
      <c r="CA23" s="94">
        <f>SUM(CA13:CA22)</f>
        <v>49609037.574553519</v>
      </c>
      <c r="CB23" s="94">
        <f>SUM(CB13:CB22)</f>
        <v>51028181.085498899</v>
      </c>
      <c r="CC23" s="91">
        <f>SUM(CC13:CC22)</f>
        <v>1419143.5109453853</v>
      </c>
      <c r="CD23" s="68">
        <f t="shared" si="8"/>
        <v>11</v>
      </c>
      <c r="CE23" s="106" t="s">
        <v>208</v>
      </c>
      <c r="CF23" s="201"/>
      <c r="CG23" s="140"/>
      <c r="CH23" s="140"/>
      <c r="CI23" s="68">
        <f t="shared" si="18"/>
        <v>11</v>
      </c>
      <c r="CL23" s="234"/>
      <c r="CM23" s="68">
        <f t="shared" si="19"/>
        <v>11</v>
      </c>
      <c r="CN23" s="235" t="s">
        <v>209</v>
      </c>
      <c r="CO23" s="166"/>
      <c r="CP23" s="117">
        <f>SUM(CP16:CP21)</f>
        <v>8561400.9162960015</v>
      </c>
      <c r="CQ23" s="68">
        <v>11</v>
      </c>
      <c r="CR23" s="115" t="s">
        <v>210</v>
      </c>
      <c r="CS23" s="166"/>
      <c r="CT23" s="166"/>
      <c r="CU23" s="223">
        <f>CU15+CU21</f>
        <v>3424153.8813204383</v>
      </c>
      <c r="CV23" s="68">
        <f t="shared" si="9"/>
        <v>11</v>
      </c>
      <c r="CW23" s="79" t="s">
        <v>23</v>
      </c>
      <c r="CX23" s="153"/>
      <c r="CY23" s="128"/>
      <c r="CZ23" s="128"/>
      <c r="EO23" s="128"/>
    </row>
    <row r="24" spans="1:145" ht="14.25" customHeight="1" thickTop="1" thickBot="1" x14ac:dyDescent="0.25">
      <c r="A24" s="68">
        <f t="shared" si="10"/>
        <v>12</v>
      </c>
      <c r="B24" s="236" t="s">
        <v>211</v>
      </c>
      <c r="C24" s="2"/>
      <c r="D24" s="128">
        <v>-7451.2299999999668</v>
      </c>
      <c r="E24" s="2"/>
      <c r="F24" s="68">
        <f t="shared" si="0"/>
        <v>12</v>
      </c>
      <c r="G24" s="171">
        <v>42522</v>
      </c>
      <c r="H24" s="172">
        <v>50540839.056999996</v>
      </c>
      <c r="I24" s="172">
        <v>52674574.057000004</v>
      </c>
      <c r="J24" s="185">
        <f t="shared" si="20"/>
        <v>2133735.0000000075</v>
      </c>
      <c r="L24" s="124">
        <f t="shared" si="11"/>
        <v>12</v>
      </c>
      <c r="M24" s="125" t="s">
        <v>212</v>
      </c>
      <c r="N24" s="125"/>
      <c r="O24" s="237">
        <f>ROUND(SUM(O14:O23),0)</f>
        <v>52425199</v>
      </c>
      <c r="P24" s="68">
        <f t="shared" si="12"/>
        <v>12</v>
      </c>
      <c r="Q24" s="80" t="s">
        <v>213</v>
      </c>
      <c r="R24" s="125"/>
      <c r="S24" s="238"/>
      <c r="T24" s="93">
        <v>262308679.19999999</v>
      </c>
      <c r="U24" s="239"/>
      <c r="V24" s="234"/>
      <c r="W24" s="234"/>
      <c r="X24" s="234"/>
      <c r="Y24" s="68">
        <f t="shared" si="22"/>
        <v>12</v>
      </c>
      <c r="Z24" s="240"/>
      <c r="AA24" s="240"/>
      <c r="AB24" s="240"/>
      <c r="AC24" s="240"/>
      <c r="AD24" s="68"/>
      <c r="AE24" s="79"/>
      <c r="AF24" s="241"/>
      <c r="AG24" s="241"/>
      <c r="AH24" s="242"/>
      <c r="AI24" s="95">
        <f t="shared" si="24"/>
        <v>12</v>
      </c>
      <c r="AP24" s="68">
        <f t="shared" si="3"/>
        <v>12</v>
      </c>
      <c r="AQ24" s="6"/>
      <c r="AU24" s="88"/>
      <c r="AV24" s="88"/>
      <c r="AW24" s="88"/>
      <c r="AX24" s="88"/>
      <c r="AY24" s="88"/>
      <c r="BE24" s="95">
        <f t="shared" si="5"/>
        <v>12</v>
      </c>
      <c r="BF24" s="243"/>
      <c r="BG24" s="224"/>
      <c r="BH24" s="244"/>
      <c r="BI24" s="102">
        <f t="shared" si="15"/>
        <v>12</v>
      </c>
      <c r="BJ24" s="2"/>
      <c r="BK24" s="22"/>
      <c r="BL24" s="88"/>
      <c r="BM24" s="99"/>
      <c r="BN24" s="99"/>
      <c r="BO24" s="99"/>
      <c r="BP24" s="99"/>
      <c r="BQ24" s="99"/>
      <c r="BR24" s="126"/>
      <c r="BS24" s="126"/>
      <c r="BT24" s="158"/>
      <c r="BU24" s="158"/>
      <c r="BV24" s="222" t="s">
        <v>23</v>
      </c>
      <c r="BW24" s="68">
        <f t="shared" si="7"/>
        <v>12</v>
      </c>
      <c r="CA24" s="138"/>
      <c r="CB24" s="138"/>
      <c r="CC24" s="138"/>
      <c r="CD24" s="68">
        <f t="shared" si="8"/>
        <v>12</v>
      </c>
      <c r="CE24" s="79" t="s">
        <v>214</v>
      </c>
      <c r="CF24" s="73"/>
      <c r="CG24" s="140">
        <v>489150.71963999997</v>
      </c>
      <c r="CH24" s="140"/>
      <c r="CI24" s="68">
        <f t="shared" si="18"/>
        <v>12</v>
      </c>
      <c r="CJ24" s="80" t="s">
        <v>175</v>
      </c>
      <c r="CL24" s="245">
        <f>-CL20-CL22</f>
        <v>-58781.168112681989</v>
      </c>
      <c r="CM24" s="68">
        <f t="shared" si="19"/>
        <v>12</v>
      </c>
      <c r="CN24" s="235"/>
      <c r="CO24" s="166"/>
      <c r="CQ24" s="68">
        <v>12</v>
      </c>
      <c r="CR24" s="115"/>
      <c r="CS24" s="166"/>
      <c r="CT24" s="166"/>
      <c r="CU24" s="166"/>
      <c r="CV24" s="68">
        <f t="shared" si="9"/>
        <v>12</v>
      </c>
      <c r="CW24" s="87" t="s">
        <v>215</v>
      </c>
      <c r="CX24" s="153"/>
      <c r="CY24" s="182"/>
      <c r="CZ24" s="182"/>
      <c r="EO24" s="72"/>
    </row>
    <row r="25" spans="1:145" ht="13.5" thickTop="1" x14ac:dyDescent="0.2">
      <c r="A25" s="68">
        <f t="shared" si="10"/>
        <v>13</v>
      </c>
      <c r="B25" s="236" t="s">
        <v>216</v>
      </c>
      <c r="C25" s="2"/>
      <c r="D25" s="128">
        <v>-40606072.07</v>
      </c>
      <c r="E25" s="2"/>
      <c r="F25" s="68">
        <f t="shared" si="0"/>
        <v>13</v>
      </c>
      <c r="G25" s="171">
        <v>42552</v>
      </c>
      <c r="H25" s="172">
        <v>45432546.435000002</v>
      </c>
      <c r="I25" s="172">
        <v>46002541.435000002</v>
      </c>
      <c r="J25" s="185">
        <f t="shared" si="20"/>
        <v>569995</v>
      </c>
      <c r="L25" s="124">
        <f>L24+1</f>
        <v>13</v>
      </c>
      <c r="M25" s="125"/>
      <c r="N25" s="125"/>
      <c r="O25" s="125"/>
      <c r="P25" s="68">
        <f>P24+1</f>
        <v>13</v>
      </c>
      <c r="Q25" s="3" t="s">
        <v>217</v>
      </c>
      <c r="R25" s="125"/>
      <c r="S25" s="77"/>
      <c r="T25" s="6">
        <v>-196455256.45999998</v>
      </c>
      <c r="U25" s="166"/>
      <c r="V25" s="166"/>
      <c r="W25" s="166"/>
      <c r="X25" s="166"/>
      <c r="Y25" s="68">
        <f t="shared" si="22"/>
        <v>13</v>
      </c>
      <c r="Z25" s="246" t="s">
        <v>218</v>
      </c>
      <c r="AA25" s="93"/>
      <c r="AB25" s="93"/>
      <c r="AD25" s="247"/>
      <c r="AE25" s="79"/>
      <c r="AF25" s="241"/>
      <c r="AG25" s="241"/>
      <c r="AH25" s="172"/>
      <c r="AI25" s="95">
        <f t="shared" si="24"/>
        <v>13</v>
      </c>
      <c r="AJ25" s="80" t="s">
        <v>219</v>
      </c>
      <c r="AN25" s="248">
        <v>4461725.8499999996</v>
      </c>
      <c r="AP25" s="68">
        <f>AP24+1</f>
        <v>13</v>
      </c>
      <c r="AQ25" s="249" t="s">
        <v>220</v>
      </c>
      <c r="AR25" s="250">
        <v>220502.81398365862</v>
      </c>
      <c r="AS25" s="250">
        <f>(AS23/(AR23/AR25))</f>
        <v>201455.54673474311</v>
      </c>
      <c r="AT25" s="251">
        <f>AS25-AR25</f>
        <v>-19047.267248915508</v>
      </c>
      <c r="AZ25" s="68"/>
      <c r="BA25" s="72"/>
      <c r="BB25" s="72"/>
      <c r="BC25" s="99"/>
      <c r="BD25" s="72"/>
      <c r="BE25" s="95">
        <f>+BE24+1</f>
        <v>13</v>
      </c>
      <c r="BF25" s="243" t="s">
        <v>163</v>
      </c>
      <c r="BG25" s="252">
        <f>kp_FEDERAL_INCOME_TAX</f>
        <v>0.35</v>
      </c>
      <c r="BH25" s="191">
        <f>-BH23*BG25</f>
        <v>-151101.6264254</v>
      </c>
      <c r="BI25" s="102">
        <f>BI24+1</f>
        <v>13</v>
      </c>
      <c r="BJ25" s="3" t="s">
        <v>221</v>
      </c>
      <c r="BL25" s="253">
        <v>-45370.199999999983</v>
      </c>
      <c r="BM25" s="126"/>
      <c r="BN25" s="126"/>
      <c r="BO25" s="126"/>
      <c r="BP25" s="126"/>
      <c r="BQ25" s="126"/>
      <c r="BR25" s="126"/>
      <c r="BS25" s="126"/>
      <c r="BT25" s="158"/>
      <c r="BU25" s="158"/>
      <c r="BV25" s="222" t="s">
        <v>23</v>
      </c>
      <c r="BW25" s="68">
        <f t="shared" si="7"/>
        <v>13</v>
      </c>
      <c r="BX25" s="80" t="s">
        <v>222</v>
      </c>
      <c r="BY25" s="80"/>
      <c r="BZ25" s="80"/>
      <c r="CA25" s="254">
        <v>4455802.8209743248</v>
      </c>
      <c r="CB25" s="254">
        <v>4532301.5982538164</v>
      </c>
      <c r="CC25" s="104">
        <f>CB25-CA25</f>
        <v>76498.777279491536</v>
      </c>
      <c r="CD25" s="68">
        <f>CD24+1</f>
        <v>13</v>
      </c>
      <c r="CE25" s="107" t="s">
        <v>223</v>
      </c>
      <c r="CF25" s="216">
        <v>0.03</v>
      </c>
      <c r="CG25" s="163">
        <f>CG24*CF25</f>
        <v>14674.521589199998</v>
      </c>
      <c r="CH25" s="140"/>
      <c r="CM25" s="68">
        <f>CM24+1</f>
        <v>13</v>
      </c>
      <c r="CN25" s="107" t="s">
        <v>224</v>
      </c>
      <c r="CO25" s="151">
        <f>kp_FEDERAL_INCOME_TAX</f>
        <v>0.35</v>
      </c>
      <c r="CP25" s="228">
        <f>-CP23*CO25</f>
        <v>-2996490.3207036005</v>
      </c>
      <c r="CQ25" s="68">
        <v>13</v>
      </c>
      <c r="CR25" s="115" t="s">
        <v>148</v>
      </c>
      <c r="CS25" s="166"/>
      <c r="CT25" s="198">
        <f>kp_FEDERAL_INCOME_TAX</f>
        <v>0.35</v>
      </c>
      <c r="CU25" s="228">
        <f>-CU23*CT25</f>
        <v>-1198453.8584621532</v>
      </c>
      <c r="CV25" s="68">
        <f t="shared" si="9"/>
        <v>13</v>
      </c>
      <c r="CW25" s="79" t="s">
        <v>225</v>
      </c>
      <c r="CX25" s="118">
        <v>177705.85300030193</v>
      </c>
      <c r="CY25" s="118">
        <v>0</v>
      </c>
      <c r="CZ25" s="118">
        <f>CY25-CX25</f>
        <v>-177705.85300030193</v>
      </c>
    </row>
    <row r="26" spans="1:145" ht="13.5" thickBot="1" x14ac:dyDescent="0.25">
      <c r="A26" s="68">
        <f t="shared" si="10"/>
        <v>14</v>
      </c>
      <c r="B26" s="236" t="s">
        <v>226</v>
      </c>
      <c r="C26" s="2"/>
      <c r="D26" s="128">
        <v>16583944.49</v>
      </c>
      <c r="E26" s="2"/>
      <c r="F26" s="68">
        <f t="shared" si="0"/>
        <v>14</v>
      </c>
      <c r="G26" s="171">
        <v>42583</v>
      </c>
      <c r="H26" s="172">
        <v>44532806.316000007</v>
      </c>
      <c r="I26" s="172">
        <v>44532806.316</v>
      </c>
      <c r="J26" s="185">
        <f t="shared" si="20"/>
        <v>0</v>
      </c>
      <c r="L26" s="124">
        <f t="shared" si="11"/>
        <v>14</v>
      </c>
      <c r="M26" s="255" t="s">
        <v>227</v>
      </c>
      <c r="N26" s="125"/>
      <c r="O26" s="125"/>
      <c r="P26" s="68">
        <f>P25+1</f>
        <v>14</v>
      </c>
      <c r="Q26" s="3" t="s">
        <v>166</v>
      </c>
      <c r="R26" s="125"/>
      <c r="S26" s="125"/>
      <c r="T26" s="253"/>
      <c r="U26" s="16"/>
      <c r="V26" s="16"/>
      <c r="W26" s="16"/>
      <c r="X26" s="16"/>
      <c r="Y26" s="68">
        <f>Y25+1</f>
        <v>14</v>
      </c>
      <c r="Z26" s="92" t="s">
        <v>228</v>
      </c>
      <c r="AA26" s="128">
        <v>28810.3</v>
      </c>
      <c r="AB26" s="128">
        <v>25409.813093289809</v>
      </c>
      <c r="AC26" s="128">
        <f>AB26-AA26</f>
        <v>-3400.4869067101899</v>
      </c>
      <c r="AD26" s="247"/>
      <c r="AE26" s="79"/>
      <c r="AF26" s="241"/>
      <c r="AG26" s="241"/>
      <c r="AH26" s="172"/>
      <c r="AI26" s="95">
        <f t="shared" si="24"/>
        <v>14</v>
      </c>
      <c r="AJ26" s="256" t="s">
        <v>182</v>
      </c>
      <c r="AO26" s="93">
        <f>ROUND(AN23-AN25,0)</f>
        <v>244361</v>
      </c>
      <c r="AP26" s="68">
        <f t="shared" si="3"/>
        <v>14</v>
      </c>
      <c r="AQ26" s="3" t="s">
        <v>101</v>
      </c>
      <c r="AR26" s="223">
        <f>SUM(AR23:AR25)</f>
        <v>3794601.3759538033</v>
      </c>
      <c r="AS26" s="223">
        <f>SUM(AS23:AS25)</f>
        <v>3466819.679180305</v>
      </c>
      <c r="AT26" s="223">
        <f>SUM(AT23:AT25)</f>
        <v>-327781.69677349832</v>
      </c>
      <c r="AZ26" s="68"/>
      <c r="BA26" s="72"/>
      <c r="BB26" s="72"/>
      <c r="BC26" s="128"/>
      <c r="BD26" s="72"/>
      <c r="BE26" s="95">
        <f t="shared" si="5"/>
        <v>14</v>
      </c>
      <c r="BF26" s="243" t="s">
        <v>175</v>
      </c>
      <c r="BG26" s="224"/>
      <c r="BH26" s="257">
        <f>-BH23-BH25</f>
        <v>-280617.30621860002</v>
      </c>
      <c r="BI26" s="102">
        <f t="shared" si="15"/>
        <v>14</v>
      </c>
      <c r="BL26" s="93"/>
      <c r="BM26" s="126"/>
      <c r="BN26" s="126"/>
      <c r="BO26" s="126"/>
      <c r="BP26" s="126"/>
      <c r="BQ26" s="173"/>
      <c r="BR26" s="99"/>
      <c r="BS26" s="99"/>
      <c r="BT26" s="99"/>
      <c r="BU26" s="99"/>
      <c r="BW26" s="68">
        <f t="shared" si="7"/>
        <v>14</v>
      </c>
      <c r="BX26" s="80" t="s">
        <v>229</v>
      </c>
      <c r="BY26" s="80"/>
      <c r="BZ26" s="80"/>
      <c r="CA26" s="91">
        <f>+CA25+CA23</f>
        <v>54064840.395527847</v>
      </c>
      <c r="CB26" s="91">
        <f>+CB25+CB23</f>
        <v>55560482.683752716</v>
      </c>
      <c r="CC26" s="91">
        <f>CB26-CA26</f>
        <v>1495642.2882248685</v>
      </c>
      <c r="CD26" s="68">
        <f t="shared" si="8"/>
        <v>14</v>
      </c>
      <c r="CE26" s="180" t="s">
        <v>230</v>
      </c>
      <c r="CF26" s="180"/>
      <c r="CG26" s="140"/>
      <c r="CH26" s="258">
        <f>SUM(CG24:CG25)</f>
        <v>503825.24122919998</v>
      </c>
      <c r="CI26" s="215"/>
      <c r="CM26" s="68">
        <f t="shared" si="19"/>
        <v>14</v>
      </c>
      <c r="CN26" s="259"/>
      <c r="CP26" s="234"/>
      <c r="CQ26" s="68">
        <v>14</v>
      </c>
      <c r="CR26" s="115"/>
      <c r="CS26" s="166"/>
      <c r="CT26" s="166"/>
      <c r="CU26" s="234"/>
      <c r="CV26" s="68">
        <f t="shared" si="9"/>
        <v>14</v>
      </c>
      <c r="CW26" s="79" t="s">
        <v>231</v>
      </c>
      <c r="CX26" s="82">
        <v>25547.529515152495</v>
      </c>
      <c r="CY26" s="82">
        <v>49829.795145332253</v>
      </c>
      <c r="CZ26" s="82">
        <f t="shared" ref="CZ26:CZ28" si="25">CY26-CX26</f>
        <v>24282.265630179758</v>
      </c>
    </row>
    <row r="27" spans="1:145" ht="14.25" customHeight="1" thickTop="1" thickBot="1" x14ac:dyDescent="0.25">
      <c r="A27" s="68">
        <f t="shared" si="10"/>
        <v>15</v>
      </c>
      <c r="B27" s="236" t="s">
        <v>137</v>
      </c>
      <c r="C27" s="2"/>
      <c r="D27" s="128">
        <v>129801.18999999948</v>
      </c>
      <c r="E27" s="2"/>
      <c r="F27" s="68">
        <f t="shared" si="0"/>
        <v>15</v>
      </c>
      <c r="G27" s="171">
        <v>42614</v>
      </c>
      <c r="H27" s="172">
        <v>51851549.111000001</v>
      </c>
      <c r="I27" s="172">
        <v>52069111.110999994</v>
      </c>
      <c r="J27" s="260">
        <f t="shared" si="20"/>
        <v>217561.99999999255</v>
      </c>
      <c r="L27" s="124">
        <f t="shared" si="11"/>
        <v>15</v>
      </c>
      <c r="M27" s="261" t="s">
        <v>32</v>
      </c>
      <c r="N27" s="262">
        <f>'[1]SEF-3'!O13</f>
        <v>5.1399999999999996E-3</v>
      </c>
      <c r="O27" s="139">
        <f>-ROUND($O$24*N27,0)</f>
        <v>-269466</v>
      </c>
      <c r="P27" s="68">
        <f t="shared" si="12"/>
        <v>15</v>
      </c>
      <c r="Q27" s="109" t="s">
        <v>23</v>
      </c>
      <c r="R27" s="125"/>
      <c r="S27" s="125"/>
      <c r="T27" s="101"/>
      <c r="U27" s="16"/>
      <c r="V27" s="16"/>
      <c r="W27" s="16"/>
      <c r="X27" s="16"/>
      <c r="Y27" s="68">
        <f t="shared" si="22"/>
        <v>15</v>
      </c>
      <c r="Z27" s="92" t="s">
        <v>232</v>
      </c>
      <c r="AA27" s="137">
        <v>4852.6339200000002</v>
      </c>
      <c r="AB27" s="137">
        <v>0</v>
      </c>
      <c r="AC27" s="137">
        <f>AB27-AA27</f>
        <v>-4852.6339200000002</v>
      </c>
      <c r="AD27" s="68"/>
      <c r="AE27" s="79"/>
      <c r="AF27" s="241"/>
      <c r="AG27" s="158"/>
      <c r="AH27" s="172"/>
      <c r="AI27" s="95">
        <f t="shared" si="24"/>
        <v>15</v>
      </c>
      <c r="AJ27" s="263"/>
      <c r="AP27" s="68">
        <f t="shared" si="3"/>
        <v>15</v>
      </c>
      <c r="AR27" s="6"/>
      <c r="AS27" s="6"/>
      <c r="AT27" s="6"/>
      <c r="AZ27" s="239"/>
      <c r="BA27" s="264"/>
      <c r="BB27" s="264"/>
      <c r="BC27" s="265"/>
      <c r="BD27" s="265"/>
      <c r="BE27" s="95"/>
      <c r="BI27" s="102">
        <f t="shared" si="15"/>
        <v>15</v>
      </c>
      <c r="BJ27" s="256" t="s">
        <v>182</v>
      </c>
      <c r="BL27" s="88">
        <f>BL23-BL25</f>
        <v>161676.64666666661</v>
      </c>
      <c r="BM27" s="99"/>
      <c r="BN27" s="99"/>
      <c r="BO27" s="99"/>
      <c r="BP27" s="99"/>
      <c r="BQ27" s="99"/>
      <c r="BR27" s="234"/>
      <c r="BS27" s="234"/>
      <c r="BT27" s="234"/>
      <c r="BU27" s="234"/>
      <c r="BV27" s="234"/>
      <c r="BW27" s="68">
        <f t="shared" si="7"/>
        <v>15</v>
      </c>
      <c r="BX27" s="80"/>
      <c r="BY27" s="80"/>
      <c r="BZ27" s="80"/>
      <c r="CA27" s="77"/>
      <c r="CB27" s="77"/>
      <c r="CC27" s="77"/>
      <c r="CD27" s="68">
        <f t="shared" si="8"/>
        <v>15</v>
      </c>
      <c r="CE27" s="107"/>
      <c r="CF27" s="107"/>
      <c r="CG27" s="140"/>
      <c r="CH27" s="140"/>
      <c r="CM27" s="68">
        <f t="shared" si="19"/>
        <v>15</v>
      </c>
      <c r="CN27" s="259" t="s">
        <v>117</v>
      </c>
      <c r="CP27" s="245">
        <f>-CP23-CP25</f>
        <v>-5564910.595592401</v>
      </c>
      <c r="CQ27" s="68">
        <v>15</v>
      </c>
      <c r="CR27" s="115" t="s">
        <v>117</v>
      </c>
      <c r="CS27" s="166"/>
      <c r="CT27" s="166"/>
      <c r="CU27" s="245">
        <f>-CU23-CU25</f>
        <v>-2225700.0228582853</v>
      </c>
      <c r="CV27" s="68">
        <f t="shared" si="9"/>
        <v>15</v>
      </c>
      <c r="CW27" s="79" t="s">
        <v>233</v>
      </c>
      <c r="CX27" s="82">
        <v>-19318.805121985963</v>
      </c>
      <c r="CY27" s="82">
        <v>0</v>
      </c>
      <c r="CZ27" s="82">
        <f t="shared" si="25"/>
        <v>19318.805121985963</v>
      </c>
      <c r="EO27" s="234"/>
    </row>
    <row r="28" spans="1:145" s="234" customFormat="1" ht="13.5" thickTop="1" x14ac:dyDescent="0.2">
      <c r="A28" s="68">
        <f t="shared" si="10"/>
        <v>16</v>
      </c>
      <c r="B28" s="236" t="s">
        <v>234</v>
      </c>
      <c r="C28" s="2"/>
      <c r="D28" s="128">
        <v>53666.38</v>
      </c>
      <c r="E28" s="2"/>
      <c r="F28" s="68">
        <f t="shared" si="0"/>
        <v>16</v>
      </c>
      <c r="G28" s="2"/>
      <c r="H28" s="266">
        <f>ROUND(SUM(H16:H27),0)</f>
        <v>1059546271</v>
      </c>
      <c r="I28" s="266">
        <f>ROUND(SUM(I16:I27),0)</f>
        <v>1142550752</v>
      </c>
      <c r="J28" s="266">
        <f>ROUND(SUM(J16:J27),0)</f>
        <v>83004481</v>
      </c>
      <c r="K28" s="3"/>
      <c r="L28" s="124">
        <f t="shared" si="11"/>
        <v>16</v>
      </c>
      <c r="M28" s="125" t="s">
        <v>235</v>
      </c>
      <c r="N28" s="262">
        <f>'[1]SEF-3'!O14</f>
        <v>2E-3</v>
      </c>
      <c r="O28" s="161">
        <f>-ROUND($O$24*N28,0)</f>
        <v>-104850</v>
      </c>
      <c r="P28" s="68">
        <f t="shared" si="12"/>
        <v>16</v>
      </c>
      <c r="Q28" s="234" t="s">
        <v>236</v>
      </c>
      <c r="R28" s="267"/>
      <c r="S28" s="268"/>
      <c r="T28" s="269">
        <f>SUM(T23:T27)</f>
        <v>65853422.74000001</v>
      </c>
      <c r="U28" s="16"/>
      <c r="V28" s="16"/>
      <c r="W28" s="16"/>
      <c r="X28" s="16"/>
      <c r="Y28" s="68">
        <f t="shared" si="22"/>
        <v>16</v>
      </c>
      <c r="Z28" s="92" t="s">
        <v>237</v>
      </c>
      <c r="AA28" s="93">
        <f>SUM(AA26:AA27)</f>
        <v>33662.933919999996</v>
      </c>
      <c r="AB28" s="93">
        <f>SUM(AB26:AB27)</f>
        <v>25409.813093289809</v>
      </c>
      <c r="AC28" s="93">
        <f>SUM(AC26:AC27)</f>
        <v>-8253.1208267101902</v>
      </c>
      <c r="AD28" s="68"/>
      <c r="AE28" s="79"/>
      <c r="AF28" s="241"/>
      <c r="AG28" s="241"/>
      <c r="AH28" s="242"/>
      <c r="AI28" s="95">
        <f t="shared" si="24"/>
        <v>16</v>
      </c>
      <c r="AJ28" s="256" t="s">
        <v>238</v>
      </c>
      <c r="AK28" s="3"/>
      <c r="AL28" s="3"/>
      <c r="AM28" s="3"/>
      <c r="AN28" s="151">
        <v>0.35</v>
      </c>
      <c r="AO28" s="270">
        <f>ROUND(-AO26*AN28,0)</f>
        <v>-85526</v>
      </c>
      <c r="AP28" s="68">
        <f t="shared" si="3"/>
        <v>16</v>
      </c>
      <c r="AQ28" s="80" t="s">
        <v>163</v>
      </c>
      <c r="AR28" s="6"/>
      <c r="AS28" s="175">
        <f>kp_FEDERAL_INCOME_TAX</f>
        <v>0.35</v>
      </c>
      <c r="AT28" s="137">
        <f>-AT26*AS28</f>
        <v>114723.59387072441</v>
      </c>
      <c r="AZ28" s="68"/>
      <c r="BA28" s="264"/>
      <c r="BB28" s="264"/>
      <c r="BC28" s="264"/>
      <c r="BD28" s="99"/>
      <c r="BE28" s="95"/>
      <c r="BF28" s="6"/>
      <c r="BG28" s="6"/>
      <c r="BH28" s="6"/>
      <c r="BI28" s="102">
        <f t="shared" si="15"/>
        <v>16</v>
      </c>
      <c r="BJ28" s="271"/>
      <c r="BK28" s="271"/>
      <c r="BL28" s="88"/>
      <c r="BR28" s="3"/>
      <c r="BS28" s="3"/>
      <c r="BT28" s="3"/>
      <c r="BU28" s="3"/>
      <c r="BV28" s="3"/>
      <c r="BW28" s="68">
        <f t="shared" si="7"/>
        <v>16</v>
      </c>
      <c r="BX28" s="272" t="s">
        <v>239</v>
      </c>
      <c r="BY28" s="272"/>
      <c r="BZ28" s="272"/>
      <c r="CA28" s="273"/>
      <c r="CB28" s="273"/>
      <c r="CC28" s="274">
        <f>CC26</f>
        <v>1495642.2882248685</v>
      </c>
      <c r="CD28" s="68">
        <f t="shared" si="8"/>
        <v>16</v>
      </c>
      <c r="CE28" s="275" t="s">
        <v>240</v>
      </c>
      <c r="CF28" s="276"/>
      <c r="CG28" s="140"/>
      <c r="CH28" s="140"/>
      <c r="CM28" s="68"/>
      <c r="CQ28" s="166"/>
      <c r="CR28" s="166"/>
      <c r="CS28" s="166"/>
      <c r="CT28" s="166"/>
      <c r="CU28" s="166"/>
      <c r="CV28" s="68">
        <f t="shared" si="9"/>
        <v>16</v>
      </c>
      <c r="CW28" s="79" t="s">
        <v>241</v>
      </c>
      <c r="CX28" s="82">
        <v>192123.35699999999</v>
      </c>
      <c r="CY28" s="82">
        <v>0</v>
      </c>
      <c r="CZ28" s="82">
        <f t="shared" si="25"/>
        <v>-192123.35699999999</v>
      </c>
      <c r="EO28" s="3"/>
    </row>
    <row r="29" spans="1:145" ht="28.15" customHeight="1" thickBot="1" x14ac:dyDescent="0.3">
      <c r="A29" s="68">
        <f t="shared" si="10"/>
        <v>17</v>
      </c>
      <c r="B29" s="2" t="s">
        <v>242</v>
      </c>
      <c r="C29" s="120"/>
      <c r="D29" s="277">
        <f>SUM(D22:D28)</f>
        <v>-24316521.66</v>
      </c>
      <c r="E29" s="93">
        <f>SUM(D22:D28)</f>
        <v>-24316521.66</v>
      </c>
      <c r="F29" s="68">
        <f t="shared" si="0"/>
        <v>17</v>
      </c>
      <c r="G29" s="2" t="s">
        <v>243</v>
      </c>
      <c r="H29" s="22"/>
      <c r="I29" s="278"/>
      <c r="J29" s="2"/>
      <c r="L29" s="124">
        <f t="shared" si="11"/>
        <v>17</v>
      </c>
      <c r="M29" s="125" t="s">
        <v>244</v>
      </c>
      <c r="N29" s="262">
        <f>'[1]SEF-3'!O15</f>
        <v>3.8322000000000002E-2</v>
      </c>
      <c r="O29" s="161">
        <f>-ROUND($O$24*N29,0)</f>
        <v>-2009038</v>
      </c>
      <c r="P29" s="68">
        <f t="shared" si="12"/>
        <v>17</v>
      </c>
      <c r="Q29" s="3" t="s">
        <v>23</v>
      </c>
      <c r="S29" s="279"/>
      <c r="T29" s="88" t="s">
        <v>23</v>
      </c>
      <c r="U29" s="16"/>
      <c r="V29" s="16"/>
      <c r="W29" s="16"/>
      <c r="X29" s="16"/>
      <c r="Y29" s="68">
        <f t="shared" si="22"/>
        <v>17</v>
      </c>
      <c r="Z29" s="280"/>
      <c r="AA29" s="88"/>
      <c r="AB29" s="88"/>
      <c r="AC29" s="88"/>
      <c r="AD29" s="68"/>
      <c r="AE29" s="79"/>
      <c r="AF29" s="241"/>
      <c r="AG29" s="241"/>
      <c r="AH29" s="172"/>
      <c r="AI29" s="95">
        <f t="shared" si="24"/>
        <v>17</v>
      </c>
      <c r="AJ29" s="256" t="s">
        <v>117</v>
      </c>
      <c r="AO29" s="200">
        <f>-AO26-AO28</f>
        <v>-158835</v>
      </c>
      <c r="AP29" s="68">
        <f t="shared" si="3"/>
        <v>17</v>
      </c>
      <c r="AQ29" s="80" t="s">
        <v>175</v>
      </c>
      <c r="AR29" s="80"/>
      <c r="AT29" s="200">
        <f>-AT26-AT28</f>
        <v>213058.10290277391</v>
      </c>
      <c r="AZ29" s="68"/>
      <c r="BA29" s="72"/>
      <c r="BB29" s="72"/>
      <c r="BC29" s="72"/>
      <c r="BD29" s="72"/>
      <c r="BE29" s="95"/>
      <c r="BI29" s="102">
        <f>BI28+1</f>
        <v>17</v>
      </c>
      <c r="BJ29" s="3" t="s">
        <v>245</v>
      </c>
      <c r="BK29" s="88"/>
      <c r="BL29" s="137">
        <f>-BL27*35%</f>
        <v>-56586.826333333309</v>
      </c>
      <c r="BQ29" s="126"/>
      <c r="BW29" s="68">
        <f t="shared" si="7"/>
        <v>17</v>
      </c>
      <c r="BX29" s="80" t="s">
        <v>238</v>
      </c>
      <c r="BY29" s="80" t="s">
        <v>246</v>
      </c>
      <c r="BZ29" s="281">
        <f>kp_FEDERAL_INCOME_TAX</f>
        <v>0.35</v>
      </c>
      <c r="CA29" s="77"/>
      <c r="CB29" s="77"/>
      <c r="CC29" s="129">
        <f>-CC28*BZ29</f>
        <v>-523474.80087870394</v>
      </c>
      <c r="CD29" s="68">
        <f t="shared" si="8"/>
        <v>17</v>
      </c>
      <c r="CE29" s="282" t="s">
        <v>247</v>
      </c>
      <c r="CF29" s="73"/>
      <c r="CG29" s="140"/>
      <c r="CH29" s="140">
        <f>+CH16+CH21+CH26</f>
        <v>5566632.7477792678</v>
      </c>
      <c r="CL29" s="173"/>
      <c r="CM29" s="68"/>
      <c r="CP29" s="173"/>
      <c r="CQ29" s="234"/>
      <c r="CR29" s="234"/>
      <c r="CS29" s="234"/>
      <c r="CT29" s="234"/>
      <c r="CU29" s="234"/>
      <c r="CV29" s="68">
        <f t="shared" si="9"/>
        <v>17</v>
      </c>
      <c r="CW29" s="283" t="s">
        <v>182</v>
      </c>
      <c r="CX29" s="284">
        <f>SUM(CX25:CX28)</f>
        <v>376057.93439346843</v>
      </c>
      <c r="CY29" s="284">
        <f>SUM(CY25:CY28)</f>
        <v>49829.795145332253</v>
      </c>
      <c r="CZ29" s="284">
        <f>SUM(CZ25:CZ28)</f>
        <v>-326228.1392481362</v>
      </c>
    </row>
    <row r="30" spans="1:145" ht="29.45" customHeight="1" thickTop="1" thickBot="1" x14ac:dyDescent="0.25">
      <c r="A30" s="68">
        <f t="shared" si="10"/>
        <v>18</v>
      </c>
      <c r="B30" s="85"/>
      <c r="C30" s="85"/>
      <c r="D30" s="128"/>
      <c r="E30" s="159"/>
      <c r="F30" s="68">
        <f t="shared" si="0"/>
        <v>18</v>
      </c>
      <c r="G30" s="80" t="s">
        <v>248</v>
      </c>
      <c r="I30" s="6"/>
      <c r="J30" s="88">
        <v>44523855</v>
      </c>
      <c r="K30" s="2"/>
      <c r="L30" s="124">
        <f>L29+1</f>
        <v>18</v>
      </c>
      <c r="M30" s="125" t="s">
        <v>205</v>
      </c>
      <c r="N30" s="285">
        <f>SUM(N27:N29)</f>
        <v>4.5462000000000002E-2</v>
      </c>
      <c r="O30" s="237">
        <f>SUM(O27:O29)</f>
        <v>-2383354</v>
      </c>
      <c r="P30" s="68">
        <f>P29+1</f>
        <v>18</v>
      </c>
      <c r="Q30" s="80" t="s">
        <v>249</v>
      </c>
      <c r="R30" s="80"/>
      <c r="S30" s="80"/>
      <c r="T30" s="88">
        <f>T16-T23</f>
        <v>26587825.211927671</v>
      </c>
      <c r="U30" s="16"/>
      <c r="V30" s="16"/>
      <c r="W30" s="16"/>
      <c r="X30" s="16"/>
      <c r="Y30" s="68">
        <f t="shared" si="22"/>
        <v>18</v>
      </c>
      <c r="Z30" s="280" t="s">
        <v>250</v>
      </c>
      <c r="AA30" s="88">
        <v>408687.72001800023</v>
      </c>
      <c r="AB30" s="88">
        <v>171927.16944286184</v>
      </c>
      <c r="AC30" s="88">
        <f>AB30-AA30</f>
        <v>-236760.55057513839</v>
      </c>
      <c r="AD30" s="68"/>
      <c r="AE30" s="79"/>
      <c r="AF30" s="241"/>
      <c r="AG30" s="241"/>
      <c r="AH30" s="172"/>
      <c r="AN30" s="262"/>
      <c r="AP30" s="68"/>
      <c r="BE30" s="95"/>
      <c r="BI30" s="102">
        <f>BI29+1</f>
        <v>18</v>
      </c>
      <c r="BL30" s="266"/>
      <c r="BO30" s="91"/>
      <c r="BP30" s="286"/>
      <c r="BQ30" s="126"/>
      <c r="BW30" s="68">
        <f t="shared" si="7"/>
        <v>18</v>
      </c>
      <c r="BX30" s="80" t="s">
        <v>117</v>
      </c>
      <c r="BY30" s="80"/>
      <c r="BZ30" s="80"/>
      <c r="CC30" s="200">
        <f>-CC28-CC29</f>
        <v>-972167.48734616453</v>
      </c>
      <c r="CD30" s="68">
        <f>CD29+1</f>
        <v>18</v>
      </c>
      <c r="CE30" s="282" t="s">
        <v>251</v>
      </c>
      <c r="CF30" s="151">
        <v>0.54659120593235488</v>
      </c>
      <c r="CG30" s="140"/>
      <c r="CH30" s="140">
        <f>+CH29*CF30</f>
        <v>3042672.5065912083</v>
      </c>
      <c r="CM30" s="68"/>
      <c r="CQ30" s="166"/>
      <c r="CR30" s="166"/>
      <c r="CS30" s="166"/>
      <c r="CT30" s="166"/>
      <c r="CU30" s="166"/>
      <c r="CV30" s="68">
        <f t="shared" si="9"/>
        <v>18</v>
      </c>
      <c r="CW30" s="166"/>
      <c r="CX30" s="166"/>
      <c r="CY30" s="166"/>
      <c r="CZ30" s="166"/>
    </row>
    <row r="31" spans="1:145" ht="15" customHeight="1" thickTop="1" thickBot="1" x14ac:dyDescent="0.25">
      <c r="A31" s="68">
        <f t="shared" si="10"/>
        <v>19</v>
      </c>
      <c r="B31" s="2" t="s">
        <v>252</v>
      </c>
      <c r="C31" s="85"/>
      <c r="D31" s="88"/>
      <c r="E31" s="88">
        <f>SUM(E14:E30)</f>
        <v>-79032350.559718221</v>
      </c>
      <c r="F31" s="68">
        <f t="shared" si="0"/>
        <v>19</v>
      </c>
      <c r="G31" s="80" t="s">
        <v>253</v>
      </c>
      <c r="I31" s="6"/>
      <c r="J31" s="172">
        <v>11244974.079640001</v>
      </c>
      <c r="K31" s="2"/>
      <c r="L31" s="124">
        <f t="shared" si="11"/>
        <v>19</v>
      </c>
      <c r="M31" s="125"/>
      <c r="N31" s="125"/>
      <c r="O31" s="125"/>
      <c r="P31" s="68">
        <f t="shared" si="12"/>
        <v>19</v>
      </c>
      <c r="Q31" s="80" t="s">
        <v>254</v>
      </c>
      <c r="T31" s="161">
        <f>T17-T24-T25</f>
        <v>-27288647.120000005</v>
      </c>
      <c r="U31" s="16"/>
      <c r="V31" s="16"/>
      <c r="W31" s="16"/>
      <c r="X31" s="16"/>
      <c r="Y31" s="68">
        <f t="shared" si="22"/>
        <v>19</v>
      </c>
      <c r="Z31" s="280"/>
      <c r="AA31" s="88"/>
      <c r="AB31" s="88"/>
      <c r="AC31" s="88"/>
      <c r="AD31" s="68"/>
      <c r="AE31" s="287"/>
      <c r="AF31" s="241"/>
      <c r="AG31" s="241"/>
      <c r="AH31" s="172"/>
      <c r="AP31" s="68"/>
      <c r="BE31" s="95"/>
      <c r="BI31" s="102">
        <f>BI30+1</f>
        <v>19</v>
      </c>
      <c r="BJ31" s="3" t="s">
        <v>117</v>
      </c>
      <c r="BL31" s="288">
        <f>-BL27-BL29</f>
        <v>-105089.82033333331</v>
      </c>
      <c r="BO31" s="289"/>
      <c r="BP31" s="286"/>
      <c r="BQ31" s="126"/>
      <c r="CD31" s="68">
        <f>CD30+1</f>
        <v>19</v>
      </c>
      <c r="CE31" s="79" t="s">
        <v>255</v>
      </c>
      <c r="CG31" s="140"/>
      <c r="CH31" s="163">
        <f>(CG14+CG19+CG24)*CF30</f>
        <v>2963537.0187157015</v>
      </c>
      <c r="CQ31" s="166"/>
      <c r="CR31" s="166"/>
      <c r="CS31" s="166"/>
      <c r="CT31" s="166"/>
      <c r="CU31" s="166"/>
      <c r="CV31" s="68">
        <f t="shared" si="9"/>
        <v>19</v>
      </c>
      <c r="CW31" s="283" t="s">
        <v>148</v>
      </c>
      <c r="CX31" s="166"/>
      <c r="CY31" s="198">
        <f>kp_FEDERAL_INCOME_TAX</f>
        <v>0.35</v>
      </c>
      <c r="CZ31" s="228">
        <f>-CZ29*CY31</f>
        <v>114179.84873684766</v>
      </c>
    </row>
    <row r="32" spans="1:145" ht="13.5" thickTop="1" x14ac:dyDescent="0.2">
      <c r="A32" s="68">
        <f t="shared" si="10"/>
        <v>20</v>
      </c>
      <c r="B32" s="2"/>
      <c r="C32" s="85"/>
      <c r="D32" s="88"/>
      <c r="E32" s="128"/>
      <c r="F32" s="68">
        <f t="shared" si="0"/>
        <v>20</v>
      </c>
      <c r="G32" s="80" t="s">
        <v>256</v>
      </c>
      <c r="I32" s="6"/>
      <c r="J32" s="172">
        <v>1860803.7289885674</v>
      </c>
      <c r="K32" s="2"/>
      <c r="L32" s="124">
        <f t="shared" si="11"/>
        <v>20</v>
      </c>
      <c r="M32" s="255" t="s">
        <v>257</v>
      </c>
      <c r="N32" s="125"/>
      <c r="O32" s="125"/>
      <c r="P32" s="68">
        <f t="shared" si="12"/>
        <v>20</v>
      </c>
      <c r="Q32" s="3" t="s">
        <v>258</v>
      </c>
      <c r="T32" s="6">
        <v>0</v>
      </c>
      <c r="U32" s="16"/>
      <c r="V32" s="16"/>
      <c r="W32" s="16"/>
      <c r="X32" s="16"/>
      <c r="Y32" s="68">
        <f t="shared" si="22"/>
        <v>20</v>
      </c>
      <c r="Z32" s="280"/>
      <c r="AA32" s="88"/>
      <c r="AB32" s="88"/>
      <c r="AC32" s="88"/>
      <c r="AD32" s="68"/>
      <c r="AE32" s="79"/>
      <c r="AF32" s="175"/>
      <c r="AG32" s="2"/>
      <c r="AH32" s="242"/>
      <c r="BE32" s="95"/>
      <c r="BI32" s="102"/>
      <c r="BL32" s="99"/>
      <c r="BQ32" s="126"/>
      <c r="BW32" s="215"/>
      <c r="CA32" s="166"/>
      <c r="CB32" s="166"/>
      <c r="CC32" s="166"/>
      <c r="CD32" s="68">
        <f t="shared" si="8"/>
        <v>20</v>
      </c>
      <c r="CE32" s="290" t="s">
        <v>182</v>
      </c>
      <c r="CF32" s="291"/>
      <c r="CG32" s="140"/>
      <c r="CH32" s="140">
        <f>CH30-CH31</f>
        <v>79135.487875506748</v>
      </c>
      <c r="CQ32" s="166"/>
      <c r="CR32" s="166"/>
      <c r="CS32" s="166"/>
      <c r="CT32" s="166"/>
      <c r="CU32" s="166"/>
      <c r="CV32" s="68">
        <f t="shared" si="9"/>
        <v>20</v>
      </c>
      <c r="CW32" s="234"/>
      <c r="CX32" s="234"/>
      <c r="CY32" s="234"/>
      <c r="CZ32" s="234"/>
    </row>
    <row r="33" spans="1:145" ht="13.5" thickBot="1" x14ac:dyDescent="0.25">
      <c r="A33" s="68">
        <f t="shared" si="10"/>
        <v>21</v>
      </c>
      <c r="B33" s="2" t="s">
        <v>259</v>
      </c>
      <c r="C33" s="85"/>
      <c r="D33" s="88"/>
      <c r="E33" s="128"/>
      <c r="F33" s="68">
        <f t="shared" si="0"/>
        <v>21</v>
      </c>
      <c r="G33" s="80" t="s">
        <v>260</v>
      </c>
      <c r="I33" s="6"/>
      <c r="J33" s="172">
        <v>-155789.63152472442</v>
      </c>
      <c r="K33" s="2"/>
      <c r="L33" s="124">
        <f t="shared" si="11"/>
        <v>21</v>
      </c>
      <c r="M33" s="79" t="s">
        <v>261</v>
      </c>
      <c r="N33" s="125"/>
      <c r="O33" s="139">
        <v>-5670995.3100000005</v>
      </c>
      <c r="P33" s="68">
        <f t="shared" si="12"/>
        <v>21</v>
      </c>
      <c r="Q33" s="80" t="s">
        <v>262</v>
      </c>
      <c r="R33" s="80"/>
      <c r="S33" s="80"/>
      <c r="T33" s="200">
        <f>-SUM(T30:T32)</f>
        <v>700821.90807233378</v>
      </c>
      <c r="U33" s="16"/>
      <c r="V33" s="16"/>
      <c r="W33" s="16"/>
      <c r="X33" s="16"/>
      <c r="Y33" s="68">
        <f t="shared" si="22"/>
        <v>21</v>
      </c>
      <c r="Z33" s="3" t="s">
        <v>182</v>
      </c>
      <c r="AC33" s="93">
        <f>AC23+AC28+AC30</f>
        <v>-20267842.367339123</v>
      </c>
      <c r="AD33" s="68"/>
      <c r="AE33" s="79"/>
      <c r="AF33" s="292"/>
      <c r="AG33" s="292"/>
      <c r="AH33" s="172"/>
      <c r="AP33" s="215"/>
      <c r="BE33" s="95"/>
      <c r="BQ33" s="126"/>
      <c r="BR33" s="158"/>
      <c r="BS33" s="158"/>
      <c r="BT33" s="158"/>
      <c r="BU33" s="158"/>
      <c r="BX33" s="166"/>
      <c r="BY33" s="166"/>
      <c r="BZ33" s="166"/>
      <c r="CA33" s="166"/>
      <c r="CB33" s="166"/>
      <c r="CC33" s="166"/>
      <c r="CD33" s="68">
        <f t="shared" si="8"/>
        <v>21</v>
      </c>
      <c r="CE33" s="107"/>
      <c r="CF33" s="73"/>
      <c r="CG33" s="140"/>
      <c r="CH33" s="140"/>
      <c r="CQ33" s="166"/>
      <c r="CR33" s="166"/>
      <c r="CS33" s="166"/>
      <c r="CT33" s="166"/>
      <c r="CU33" s="166"/>
      <c r="CV33" s="68">
        <f t="shared" si="9"/>
        <v>21</v>
      </c>
      <c r="CW33" s="283" t="s">
        <v>117</v>
      </c>
      <c r="CX33" s="293"/>
      <c r="CY33" s="293"/>
      <c r="CZ33" s="245">
        <f>-CZ29-CZ31</f>
        <v>212048.29051128853</v>
      </c>
      <c r="EO33" s="158"/>
    </row>
    <row r="34" spans="1:145" s="158" customFormat="1" ht="13.5" thickTop="1" x14ac:dyDescent="0.2">
      <c r="A34" s="68">
        <f t="shared" si="10"/>
        <v>22</v>
      </c>
      <c r="B34" s="79" t="s">
        <v>263</v>
      </c>
      <c r="C34" s="2"/>
      <c r="D34" s="88">
        <v>-25080484.127216995</v>
      </c>
      <c r="E34" s="2"/>
      <c r="F34" s="68">
        <f t="shared" si="0"/>
        <v>22</v>
      </c>
      <c r="G34" s="80" t="s">
        <v>264</v>
      </c>
      <c r="I34" s="6"/>
      <c r="J34" s="172">
        <v>0</v>
      </c>
      <c r="K34" s="2"/>
      <c r="L34" s="124">
        <f t="shared" si="11"/>
        <v>22</v>
      </c>
      <c r="M34" s="79" t="s">
        <v>265</v>
      </c>
      <c r="N34" s="125"/>
      <c r="O34" s="161">
        <v>-12460807.43</v>
      </c>
      <c r="P34" s="68"/>
      <c r="Q34" s="80"/>
      <c r="R34" s="151"/>
      <c r="S34" s="22"/>
      <c r="T34" s="101"/>
      <c r="U34" s="16"/>
      <c r="V34" s="16"/>
      <c r="W34" s="16"/>
      <c r="X34" s="16"/>
      <c r="Y34" s="68">
        <f t="shared" si="22"/>
        <v>22</v>
      </c>
      <c r="Z34" s="3" t="s">
        <v>238</v>
      </c>
      <c r="AA34" s="3"/>
      <c r="AB34" s="3"/>
      <c r="AC34" s="128">
        <f>-AC33*0.35</f>
        <v>7093744.8285686923</v>
      </c>
      <c r="AD34" s="68"/>
      <c r="AE34" s="79"/>
      <c r="AF34" s="240"/>
      <c r="AG34" s="240"/>
      <c r="AH34" s="242"/>
      <c r="AP34" s="3"/>
      <c r="AQ34" s="3"/>
      <c r="AR34" s="3"/>
      <c r="AS34" s="128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95"/>
      <c r="BF34" s="6"/>
      <c r="BG34" s="6"/>
      <c r="BH34" s="6"/>
      <c r="BI34" s="3"/>
      <c r="BJ34" s="3"/>
      <c r="BK34" s="3"/>
      <c r="BL34" s="3"/>
      <c r="BQ34" s="294"/>
      <c r="BR34" s="3"/>
      <c r="BS34" s="3"/>
      <c r="BT34" s="3"/>
      <c r="BU34" s="3"/>
      <c r="BV34" s="3"/>
      <c r="BW34" s="3"/>
      <c r="BX34" s="166"/>
      <c r="BY34" s="166"/>
      <c r="BZ34" s="166"/>
      <c r="CA34" s="166"/>
      <c r="CB34" s="166"/>
      <c r="CC34" s="166"/>
      <c r="CD34" s="68">
        <f t="shared" si="8"/>
        <v>22</v>
      </c>
      <c r="CE34" s="79" t="s">
        <v>148</v>
      </c>
      <c r="CF34" s="151">
        <f>kp_FEDERAL_INCOME_TAX</f>
        <v>0.35</v>
      </c>
      <c r="CG34" s="140"/>
      <c r="CH34" s="101">
        <f>ROUND(-CH32*CF34,0)</f>
        <v>-27697</v>
      </c>
      <c r="CL34" s="173"/>
      <c r="CP34" s="173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EO34" s="3"/>
    </row>
    <row r="35" spans="1:145" ht="14.25" customHeight="1" thickBot="1" x14ac:dyDescent="0.25">
      <c r="A35" s="68">
        <f t="shared" si="10"/>
        <v>23</v>
      </c>
      <c r="B35" s="79" t="s">
        <v>266</v>
      </c>
      <c r="C35" s="2"/>
      <c r="D35" s="128">
        <v>519928.25640650652</v>
      </c>
      <c r="E35" s="2"/>
      <c r="F35" s="68">
        <f t="shared" si="0"/>
        <v>23</v>
      </c>
      <c r="G35" s="80" t="s">
        <v>267</v>
      </c>
      <c r="I35" s="6"/>
      <c r="J35" s="172">
        <v>-269744.48913688213</v>
      </c>
      <c r="K35" s="2"/>
      <c r="L35" s="124">
        <f>L34+1</f>
        <v>23</v>
      </c>
      <c r="M35" s="79" t="s">
        <v>268</v>
      </c>
      <c r="N35" s="295"/>
      <c r="O35" s="161">
        <v>-19519464.629999999</v>
      </c>
      <c r="P35" s="68"/>
      <c r="Q35" s="296"/>
      <c r="R35" s="22"/>
      <c r="S35" s="22"/>
      <c r="T35" s="101"/>
      <c r="U35" s="16"/>
      <c r="V35" s="16"/>
      <c r="W35" s="16"/>
      <c r="X35" s="16"/>
      <c r="Y35" s="68">
        <f t="shared" si="22"/>
        <v>23</v>
      </c>
      <c r="Z35" s="3" t="s">
        <v>117</v>
      </c>
      <c r="AC35" s="200">
        <f>-AC33-AC34</f>
        <v>13174097.53877043</v>
      </c>
      <c r="AD35" s="145"/>
      <c r="AF35" s="292"/>
      <c r="AG35" s="292"/>
      <c r="AH35" s="292"/>
      <c r="AS35" s="72"/>
      <c r="BE35" s="95"/>
      <c r="BF35" s="128"/>
      <c r="BG35" s="128"/>
      <c r="BH35" s="128"/>
      <c r="BQ35" s="126"/>
      <c r="BX35" s="166"/>
      <c r="BY35" s="166"/>
      <c r="BZ35" s="166"/>
      <c r="CA35" s="166"/>
      <c r="CB35" s="166"/>
      <c r="CC35" s="166"/>
      <c r="CD35" s="68">
        <f>CD34+1</f>
        <v>23</v>
      </c>
      <c r="CE35" s="79" t="s">
        <v>117</v>
      </c>
      <c r="CF35" s="73"/>
      <c r="CG35" s="73"/>
      <c r="CH35" s="297">
        <f>-CH32-CH34</f>
        <v>-51438.487875506748</v>
      </c>
      <c r="CQ35" s="158"/>
      <c r="CR35" s="158"/>
      <c r="CS35" s="158"/>
      <c r="CT35" s="158"/>
      <c r="CU35" s="158"/>
      <c r="CV35" s="166"/>
      <c r="CW35" s="166"/>
      <c r="CX35" s="166"/>
      <c r="CY35" s="166"/>
      <c r="CZ35" s="166"/>
    </row>
    <row r="36" spans="1:145" ht="14.25" customHeight="1" thickTop="1" x14ac:dyDescent="0.2">
      <c r="A36" s="68">
        <f t="shared" si="10"/>
        <v>24</v>
      </c>
      <c r="B36" s="79" t="s">
        <v>269</v>
      </c>
      <c r="C36" s="2"/>
      <c r="D36" s="128">
        <v>-610931.78843075037</v>
      </c>
      <c r="E36" s="2"/>
      <c r="F36" s="68">
        <f t="shared" si="0"/>
        <v>24</v>
      </c>
      <c r="G36" s="80" t="s">
        <v>270</v>
      </c>
      <c r="I36" s="6"/>
      <c r="J36" s="172">
        <v>209444.55109923612</v>
      </c>
      <c r="K36" s="2"/>
      <c r="L36" s="124">
        <f t="shared" si="11"/>
        <v>24</v>
      </c>
      <c r="M36" s="79" t="s">
        <v>271</v>
      </c>
      <c r="N36" s="125"/>
      <c r="O36" s="161">
        <v>25320257.07</v>
      </c>
      <c r="P36" s="68"/>
      <c r="T36" s="93"/>
      <c r="U36" s="16"/>
      <c r="V36" s="16"/>
      <c r="W36" s="16"/>
      <c r="X36" s="16"/>
      <c r="Y36" s="68">
        <f t="shared" si="22"/>
        <v>24</v>
      </c>
      <c r="AE36" s="145"/>
      <c r="AF36" s="145"/>
      <c r="AG36" s="91"/>
      <c r="AH36" s="145"/>
      <c r="AT36" s="93"/>
      <c r="AZ36" s="292"/>
      <c r="BA36" s="292"/>
      <c r="BB36" s="292"/>
      <c r="BC36" s="292"/>
      <c r="BD36" s="292"/>
      <c r="BE36" s="95"/>
      <c r="BF36" s="128"/>
      <c r="BG36" s="128"/>
      <c r="BH36" s="128"/>
      <c r="BQ36" s="126"/>
      <c r="BX36" s="166"/>
      <c r="BY36" s="166"/>
      <c r="BZ36" s="166"/>
      <c r="CA36" s="166"/>
      <c r="CB36" s="166"/>
      <c r="CC36" s="166"/>
      <c r="CD36" s="68"/>
      <c r="CI36" s="71"/>
      <c r="CJ36" s="72"/>
      <c r="CM36" s="71"/>
      <c r="CN36" s="72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</row>
    <row r="37" spans="1:145" ht="14.25" customHeight="1" x14ac:dyDescent="0.2">
      <c r="A37" s="68">
        <f t="shared" si="10"/>
        <v>25</v>
      </c>
      <c r="B37" s="283" t="s">
        <v>272</v>
      </c>
      <c r="C37" s="2"/>
      <c r="D37" s="298">
        <f>SUM(D34:D36)</f>
        <v>-25171487.659241237</v>
      </c>
      <c r="E37" s="2"/>
      <c r="F37" s="68">
        <f t="shared" si="0"/>
        <v>25</v>
      </c>
      <c r="G37" s="80" t="s">
        <v>273</v>
      </c>
      <c r="I37" s="6"/>
      <c r="J37" s="172">
        <v>373192.1501000002</v>
      </c>
      <c r="K37" s="2"/>
      <c r="L37" s="124">
        <f t="shared" si="11"/>
        <v>25</v>
      </c>
      <c r="M37" s="299" t="s">
        <v>274</v>
      </c>
      <c r="N37" s="125"/>
      <c r="O37" s="161">
        <v>-45481.5</v>
      </c>
      <c r="P37" s="68"/>
      <c r="U37" s="16"/>
      <c r="V37" s="16"/>
      <c r="W37" s="16"/>
      <c r="X37" s="16"/>
      <c r="Y37" s="68">
        <f t="shared" si="22"/>
        <v>25</v>
      </c>
      <c r="AD37" s="101"/>
      <c r="AG37" s="93"/>
      <c r="AI37" s="3" t="s">
        <v>275</v>
      </c>
      <c r="AP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95"/>
      <c r="BF37" s="128"/>
      <c r="BG37" s="128"/>
      <c r="BH37" s="128"/>
      <c r="BQ37" s="126"/>
      <c r="BX37" s="166"/>
      <c r="BY37" s="166"/>
      <c r="BZ37" s="166"/>
      <c r="CA37" s="166"/>
      <c r="CB37" s="166"/>
      <c r="CC37" s="166"/>
      <c r="CD37" s="68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</row>
    <row r="38" spans="1:145" x14ac:dyDescent="0.2">
      <c r="A38" s="68">
        <f t="shared" si="10"/>
        <v>26</v>
      </c>
      <c r="B38" s="2"/>
      <c r="C38" s="2"/>
      <c r="D38" s="155"/>
      <c r="E38" s="2"/>
      <c r="F38" s="68">
        <f t="shared" si="0"/>
        <v>26</v>
      </c>
      <c r="G38" s="80" t="s">
        <v>276</v>
      </c>
      <c r="I38" s="6"/>
      <c r="J38" s="172">
        <v>0</v>
      </c>
      <c r="K38" s="2"/>
      <c r="L38" s="124">
        <f t="shared" si="11"/>
        <v>26</v>
      </c>
      <c r="M38" s="299" t="s">
        <v>277</v>
      </c>
      <c r="N38" s="125"/>
      <c r="O38" s="161">
        <v>-22640.55</v>
      </c>
      <c r="U38" s="16"/>
      <c r="V38" s="16"/>
      <c r="W38" s="16"/>
      <c r="X38" s="16"/>
      <c r="Y38" s="68">
        <f t="shared" si="22"/>
        <v>26</v>
      </c>
      <c r="Z38" s="109" t="s">
        <v>278</v>
      </c>
      <c r="AD38" s="101"/>
      <c r="AE38" s="101"/>
      <c r="AF38" s="101"/>
      <c r="AG38" s="101"/>
      <c r="AH38" s="101"/>
      <c r="AP38" s="292"/>
      <c r="AU38" s="292"/>
      <c r="AV38" s="292"/>
      <c r="AW38" s="292"/>
      <c r="AX38" s="292"/>
      <c r="AY38" s="292"/>
      <c r="AZ38" s="240"/>
      <c r="BA38" s="240"/>
      <c r="BB38" s="240"/>
      <c r="BC38" s="240"/>
      <c r="BD38" s="240"/>
      <c r="BE38" s="95"/>
      <c r="BF38" s="128"/>
      <c r="BG38" s="128"/>
      <c r="BH38" s="128"/>
      <c r="BQ38" s="126"/>
      <c r="BX38" s="166"/>
      <c r="BY38" s="166"/>
      <c r="BZ38" s="166"/>
      <c r="CA38" s="166"/>
      <c r="CB38" s="166"/>
      <c r="CC38" s="166"/>
      <c r="CD38" s="68"/>
      <c r="CQ38" s="166"/>
      <c r="CR38" s="166"/>
      <c r="CS38" s="166"/>
      <c r="CT38" s="166"/>
      <c r="CU38" s="166"/>
      <c r="CV38" s="166"/>
      <c r="CW38" s="158"/>
      <c r="CX38" s="158"/>
      <c r="CY38" s="158"/>
      <c r="CZ38" s="158"/>
    </row>
    <row r="39" spans="1:145" x14ac:dyDescent="0.2">
      <c r="A39" s="68">
        <f t="shared" si="10"/>
        <v>27</v>
      </c>
      <c r="B39" s="79" t="s">
        <v>279</v>
      </c>
      <c r="C39" s="300">
        <f>'[1]SEF-3'!O13</f>
        <v>5.1399999999999996E-3</v>
      </c>
      <c r="D39" s="301">
        <f>+E31*C39</f>
        <v>-406226.28187695163</v>
      </c>
      <c r="E39" s="6"/>
      <c r="F39" s="68">
        <f t="shared" si="0"/>
        <v>27</v>
      </c>
      <c r="G39" s="80" t="s">
        <v>280</v>
      </c>
      <c r="I39" s="6"/>
      <c r="J39" s="172">
        <v>257955.61679999903</v>
      </c>
      <c r="L39" s="124">
        <f t="shared" si="11"/>
        <v>27</v>
      </c>
      <c r="M39" s="2" t="s">
        <v>281</v>
      </c>
      <c r="N39" s="125"/>
      <c r="O39" s="161">
        <v>-38775247.880000003</v>
      </c>
      <c r="P39" s="166"/>
      <c r="Q39" s="166"/>
      <c r="R39" s="166"/>
      <c r="S39" s="166"/>
      <c r="T39" s="166"/>
      <c r="U39" s="16"/>
      <c r="V39" s="16"/>
      <c r="W39" s="16"/>
      <c r="X39" s="16"/>
      <c r="Y39" s="68">
        <f t="shared" si="22"/>
        <v>27</v>
      </c>
      <c r="Z39" s="158" t="s">
        <v>282</v>
      </c>
      <c r="AA39" s="302">
        <v>0.5</v>
      </c>
      <c r="AB39" s="158"/>
      <c r="AC39" s="93">
        <f>-AC33*AA39</f>
        <v>10133921.183669562</v>
      </c>
      <c r="AD39" s="101"/>
      <c r="AE39" s="101"/>
      <c r="AF39" s="101"/>
      <c r="AG39" s="101"/>
      <c r="AH39" s="101"/>
      <c r="AP39" s="240"/>
      <c r="AQ39" s="292"/>
      <c r="AR39" s="292"/>
      <c r="AS39" s="292"/>
      <c r="AT39" s="292"/>
      <c r="AU39" s="240"/>
      <c r="AV39" s="240"/>
      <c r="AW39" s="240"/>
      <c r="AX39" s="240"/>
      <c r="AY39" s="240"/>
      <c r="AZ39" s="292"/>
      <c r="BA39" s="292"/>
      <c r="BB39" s="292"/>
      <c r="BC39" s="292"/>
      <c r="BD39" s="292"/>
      <c r="BE39" s="95"/>
      <c r="BF39" s="128"/>
      <c r="BG39" s="128"/>
      <c r="BH39" s="128"/>
      <c r="BQ39" s="126"/>
      <c r="BX39" s="166"/>
      <c r="BY39" s="166"/>
      <c r="BZ39" s="166"/>
      <c r="CA39" s="166"/>
      <c r="CB39" s="166"/>
      <c r="CC39" s="166"/>
      <c r="CD39" s="68"/>
      <c r="CJ39" s="303"/>
      <c r="CK39" s="303"/>
      <c r="CN39" s="303"/>
      <c r="CO39" s="303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</row>
    <row r="40" spans="1:145" ht="14.25" customHeight="1" x14ac:dyDescent="0.2">
      <c r="A40" s="68">
        <f t="shared" si="10"/>
        <v>28</v>
      </c>
      <c r="B40" s="79" t="s">
        <v>283</v>
      </c>
      <c r="C40" s="300">
        <f>keep_WUTC_FILING_FEE</f>
        <v>2E-3</v>
      </c>
      <c r="D40" s="260">
        <f>+E31*C40</f>
        <v>-158064.70111943645</v>
      </c>
      <c r="E40" s="6"/>
      <c r="F40" s="68">
        <f t="shared" si="0"/>
        <v>28</v>
      </c>
      <c r="G40" s="80" t="s">
        <v>284</v>
      </c>
      <c r="I40" s="6"/>
      <c r="J40" s="172">
        <v>23923.69840000011</v>
      </c>
      <c r="L40" s="124">
        <f t="shared" si="11"/>
        <v>28</v>
      </c>
      <c r="M40" s="125" t="s">
        <v>205</v>
      </c>
      <c r="N40" s="125"/>
      <c r="O40" s="237">
        <f>SUM(O33:O39)</f>
        <v>-51174380.230000004</v>
      </c>
      <c r="P40" s="166"/>
      <c r="Q40" s="166"/>
      <c r="R40" s="166"/>
      <c r="S40" s="166"/>
      <c r="T40" s="166"/>
      <c r="U40" s="16"/>
      <c r="V40" s="16"/>
      <c r="W40" s="16"/>
      <c r="X40" s="16"/>
      <c r="Y40" s="68">
        <f t="shared" si="22"/>
        <v>28</v>
      </c>
      <c r="Z40" s="158" t="s">
        <v>139</v>
      </c>
      <c r="AA40" s="302"/>
      <c r="AB40" s="158"/>
      <c r="AC40" s="137">
        <v>-3546872.4142843462</v>
      </c>
      <c r="AD40" s="101"/>
      <c r="AE40" s="101"/>
      <c r="AF40" s="101"/>
      <c r="AG40" s="101"/>
      <c r="AH40" s="101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145"/>
      <c r="BA40" s="145"/>
      <c r="BB40" s="145"/>
      <c r="BC40" s="145"/>
      <c r="BD40" s="145"/>
      <c r="BE40" s="95"/>
      <c r="BI40" s="292"/>
      <c r="BJ40" s="292"/>
      <c r="BK40" s="292"/>
      <c r="BL40" s="292"/>
      <c r="BR40" s="10"/>
      <c r="BX40" s="166"/>
      <c r="BY40" s="166"/>
      <c r="BZ40" s="166"/>
      <c r="CA40" s="166"/>
      <c r="CB40" s="166"/>
      <c r="CC40" s="166"/>
      <c r="CD40" s="68"/>
      <c r="CI40" s="304"/>
      <c r="CJ40" s="101"/>
      <c r="CK40" s="101"/>
      <c r="CM40" s="304"/>
      <c r="CN40" s="101"/>
      <c r="CO40" s="101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</row>
    <row r="41" spans="1:145" ht="14.25" customHeight="1" x14ac:dyDescent="0.2">
      <c r="A41" s="68">
        <f t="shared" si="10"/>
        <v>29</v>
      </c>
      <c r="B41" s="305" t="s">
        <v>285</v>
      </c>
      <c r="C41" s="300"/>
      <c r="D41" s="306"/>
      <c r="E41" s="88">
        <f>SUM(D37:D41)</f>
        <v>-25735778.642237626</v>
      </c>
      <c r="F41" s="68">
        <f t="shared" si="0"/>
        <v>29</v>
      </c>
      <c r="G41" s="80" t="s">
        <v>286</v>
      </c>
      <c r="I41" s="6"/>
      <c r="J41" s="172">
        <v>19954.838879999937</v>
      </c>
      <c r="L41" s="124">
        <f t="shared" si="11"/>
        <v>29</v>
      </c>
      <c r="M41" s="125"/>
      <c r="N41" s="125"/>
      <c r="O41" s="205"/>
      <c r="P41" s="166"/>
      <c r="Q41" s="166"/>
      <c r="R41" s="166"/>
      <c r="S41" s="166"/>
      <c r="T41" s="166"/>
      <c r="U41" s="16"/>
      <c r="V41" s="16"/>
      <c r="W41" s="16"/>
      <c r="X41" s="16"/>
      <c r="Y41" s="68">
        <f t="shared" si="22"/>
        <v>29</v>
      </c>
      <c r="Z41" s="158"/>
      <c r="AA41" s="302"/>
      <c r="AB41" s="158"/>
      <c r="AC41" s="101"/>
      <c r="AD41" s="101"/>
      <c r="AE41" s="101"/>
      <c r="AF41" s="101"/>
      <c r="AG41" s="101"/>
      <c r="AH41" s="101"/>
      <c r="AP41" s="145"/>
      <c r="AQ41" s="240"/>
      <c r="AR41" s="240"/>
      <c r="AS41" s="240"/>
      <c r="AT41" s="240"/>
      <c r="AU41" s="145"/>
      <c r="AV41" s="145"/>
      <c r="AW41" s="145"/>
      <c r="AX41" s="145"/>
      <c r="AY41" s="145"/>
      <c r="BE41" s="95"/>
      <c r="BI41" s="292"/>
      <c r="BJ41" s="292"/>
      <c r="BK41" s="292"/>
      <c r="BL41" s="292"/>
      <c r="BX41" s="166"/>
      <c r="BY41" s="166"/>
      <c r="BZ41" s="166"/>
      <c r="CA41" s="166"/>
      <c r="CB41" s="166"/>
      <c r="CC41" s="166"/>
      <c r="CI41" s="304"/>
      <c r="CJ41" s="101"/>
      <c r="CK41" s="101"/>
      <c r="CL41" s="145"/>
      <c r="CM41" s="304"/>
      <c r="CN41" s="101"/>
      <c r="CO41" s="101"/>
      <c r="CP41" s="145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</row>
    <row r="42" spans="1:145" ht="14.25" customHeight="1" thickBot="1" x14ac:dyDescent="0.25">
      <c r="A42" s="68">
        <f t="shared" si="10"/>
        <v>30</v>
      </c>
      <c r="B42" s="79"/>
      <c r="C42" s="300"/>
      <c r="D42" s="101"/>
      <c r="E42" s="6"/>
      <c r="F42" s="68">
        <f t="shared" si="0"/>
        <v>30</v>
      </c>
      <c r="G42" s="2" t="s">
        <v>287</v>
      </c>
      <c r="H42" s="2"/>
      <c r="I42" s="2"/>
      <c r="J42" s="159"/>
      <c r="K42" s="219">
        <f>SUM(J30:J41)</f>
        <v>58088569.543246187</v>
      </c>
      <c r="L42" s="124">
        <f t="shared" si="11"/>
        <v>30</v>
      </c>
      <c r="M42" s="125" t="s">
        <v>288</v>
      </c>
      <c r="N42" s="125"/>
      <c r="O42" s="139">
        <f>-O24-O30-O40</f>
        <v>1132535.2300000042</v>
      </c>
      <c r="P42" s="166"/>
      <c r="Q42" s="166"/>
      <c r="R42" s="166"/>
      <c r="S42" s="166"/>
      <c r="T42" s="166"/>
      <c r="U42" s="166"/>
      <c r="V42" s="166"/>
      <c r="W42" s="166"/>
      <c r="X42" s="166"/>
      <c r="Y42" s="68">
        <f t="shared" si="22"/>
        <v>30</v>
      </c>
      <c r="Z42" s="3" t="s">
        <v>289</v>
      </c>
      <c r="AC42" s="307">
        <f>SUM(AC39:AC41)</f>
        <v>6587048.7693852149</v>
      </c>
      <c r="AD42" s="101"/>
      <c r="AE42" s="101"/>
      <c r="AF42" s="101"/>
      <c r="AG42" s="101"/>
      <c r="AH42" s="101"/>
      <c r="AQ42" s="292"/>
      <c r="AR42" s="292"/>
      <c r="AS42" s="292"/>
      <c r="AT42" s="292"/>
      <c r="AZ42" s="101"/>
      <c r="BA42" s="101"/>
      <c r="BB42" s="101"/>
      <c r="BC42" s="101"/>
      <c r="BD42" s="101"/>
      <c r="BE42" s="95"/>
      <c r="BI42" s="240"/>
      <c r="BJ42" s="240"/>
      <c r="BK42" s="240"/>
      <c r="BL42" s="240"/>
      <c r="BX42" s="166"/>
      <c r="BY42" s="166"/>
      <c r="BZ42" s="166"/>
      <c r="CA42" s="166"/>
      <c r="CB42" s="166"/>
      <c r="CC42" s="166"/>
      <c r="CD42" s="215"/>
      <c r="CI42" s="304"/>
      <c r="CJ42" s="101"/>
      <c r="CK42" s="101"/>
      <c r="CM42" s="304"/>
      <c r="CN42" s="101"/>
      <c r="CO42" s="101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</row>
    <row r="43" spans="1:145" ht="14.25" customHeight="1" thickTop="1" x14ac:dyDescent="0.25">
      <c r="A43" s="68">
        <f t="shared" si="10"/>
        <v>31</v>
      </c>
      <c r="B43" s="79" t="s">
        <v>290</v>
      </c>
      <c r="C43" s="300">
        <f>'[1]SEF-3'!O15</f>
        <v>3.8322000000000002E-2</v>
      </c>
      <c r="D43" s="88">
        <f>+E31*C43</f>
        <v>-3028677.7381495219</v>
      </c>
      <c r="E43" s="6"/>
      <c r="F43" s="68">
        <f t="shared" si="0"/>
        <v>31</v>
      </c>
      <c r="G43" s="308"/>
      <c r="H43" s="22"/>
      <c r="I43" s="278"/>
      <c r="J43" s="2"/>
      <c r="K43" s="2"/>
      <c r="L43" s="124">
        <f t="shared" si="11"/>
        <v>31</v>
      </c>
      <c r="M43" s="3" t="s">
        <v>238</v>
      </c>
      <c r="O43" s="161">
        <f>O42*0.35</f>
        <v>396387.33050000144</v>
      </c>
      <c r="P43" s="166"/>
      <c r="Q43" s="166"/>
      <c r="R43" s="166"/>
      <c r="S43" s="166"/>
      <c r="T43" s="166"/>
      <c r="U43" s="166"/>
      <c r="V43" s="166"/>
      <c r="W43" s="166"/>
      <c r="X43" s="166"/>
      <c r="AD43" s="101"/>
      <c r="AE43" s="101"/>
      <c r="AF43" s="101"/>
      <c r="AG43" s="101"/>
      <c r="AH43" s="101"/>
      <c r="AP43" s="101"/>
      <c r="AQ43" s="145"/>
      <c r="AR43" s="145"/>
      <c r="AS43" s="145"/>
      <c r="AT43" s="145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95"/>
      <c r="BF43" s="128"/>
      <c r="BG43" s="128"/>
      <c r="BH43" s="128"/>
      <c r="BI43" s="292"/>
      <c r="BJ43" s="292"/>
      <c r="BK43" s="292"/>
      <c r="BL43" s="292"/>
      <c r="BX43" s="166"/>
      <c r="BY43" s="166"/>
      <c r="BZ43" s="166"/>
      <c r="CA43" s="166"/>
      <c r="CB43" s="166"/>
      <c r="CC43" s="166"/>
      <c r="CJ43" s="304"/>
      <c r="CK43" s="101"/>
      <c r="CL43" s="101"/>
      <c r="CN43" s="304"/>
      <c r="CO43" s="101"/>
      <c r="CP43" s="101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</row>
    <row r="44" spans="1:145" ht="14.25" customHeight="1" thickBot="1" x14ac:dyDescent="0.25">
      <c r="A44" s="68">
        <f t="shared" si="10"/>
        <v>32</v>
      </c>
      <c r="B44" s="305"/>
      <c r="C44" s="2"/>
      <c r="D44" s="136"/>
      <c r="E44" s="6"/>
      <c r="F44" s="68">
        <f t="shared" si="0"/>
        <v>32</v>
      </c>
      <c r="G44" s="309" t="s">
        <v>291</v>
      </c>
      <c r="H44" s="310"/>
      <c r="I44" s="311"/>
      <c r="J44" s="312">
        <v>30724733.927239694</v>
      </c>
      <c r="K44" s="313"/>
      <c r="L44" s="124">
        <f t="shared" si="11"/>
        <v>32</v>
      </c>
      <c r="M44" s="3" t="s">
        <v>117</v>
      </c>
      <c r="O44" s="314">
        <f>O42-O43</f>
        <v>736147.89950000274</v>
      </c>
      <c r="P44" s="166"/>
      <c r="Q44" s="166"/>
      <c r="R44" s="166"/>
      <c r="S44" s="166"/>
      <c r="T44" s="166"/>
      <c r="U44" s="166"/>
      <c r="V44" s="166"/>
      <c r="W44" s="166"/>
      <c r="X44" s="166"/>
      <c r="AC44" s="93"/>
      <c r="AD44" s="101"/>
      <c r="AE44" s="101"/>
      <c r="AF44" s="101"/>
      <c r="AG44" s="101"/>
      <c r="AH44" s="101"/>
      <c r="AP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95"/>
      <c r="BI44" s="145"/>
      <c r="BJ44" s="145"/>
      <c r="BK44" s="145"/>
      <c r="BL44" s="145"/>
      <c r="BX44" s="166"/>
      <c r="BY44" s="166"/>
      <c r="BZ44" s="166"/>
      <c r="CA44" s="166"/>
      <c r="CB44" s="166"/>
      <c r="CC44" s="166"/>
      <c r="CJ44" s="304"/>
      <c r="CK44" s="101"/>
      <c r="CL44" s="101"/>
      <c r="CN44" s="304"/>
      <c r="CO44" s="101"/>
      <c r="CP44" s="101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</row>
    <row r="45" spans="1:145" ht="14.25" customHeight="1" thickTop="1" x14ac:dyDescent="0.2">
      <c r="A45" s="68">
        <f t="shared" si="10"/>
        <v>33</v>
      </c>
      <c r="B45" s="305" t="s">
        <v>292</v>
      </c>
      <c r="C45" s="2"/>
      <c r="D45" s="101"/>
      <c r="E45" s="88">
        <f>SUM(D43:D44)</f>
        <v>-3028677.7381495219</v>
      </c>
      <c r="F45" s="68">
        <f t="shared" si="0"/>
        <v>33</v>
      </c>
      <c r="G45" s="309" t="s">
        <v>293</v>
      </c>
      <c r="H45" s="310"/>
      <c r="I45" s="311"/>
      <c r="J45" s="159"/>
      <c r="K45" s="219">
        <f>J44</f>
        <v>30724733.927239694</v>
      </c>
      <c r="P45" s="166"/>
      <c r="Q45" s="166"/>
      <c r="R45" s="166"/>
      <c r="S45" s="166"/>
      <c r="T45" s="166"/>
      <c r="U45" s="166"/>
      <c r="V45" s="166"/>
      <c r="W45" s="166"/>
      <c r="X45" s="166"/>
      <c r="AC45" s="93"/>
      <c r="AD45" s="101"/>
      <c r="AE45" s="101"/>
      <c r="AF45" s="101"/>
      <c r="AG45" s="101"/>
      <c r="AH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95"/>
      <c r="BX45" s="166"/>
      <c r="BY45" s="166"/>
      <c r="BZ45" s="166"/>
      <c r="CA45" s="166"/>
      <c r="CB45" s="166"/>
      <c r="CC45" s="166"/>
      <c r="CJ45" s="304"/>
      <c r="CK45" s="101"/>
      <c r="CL45" s="101"/>
      <c r="CN45" s="304"/>
      <c r="CO45" s="101"/>
      <c r="CP45" s="101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</row>
    <row r="46" spans="1:145" ht="14.25" customHeight="1" x14ac:dyDescent="0.2">
      <c r="A46" s="68">
        <f t="shared" si="10"/>
        <v>34</v>
      </c>
      <c r="B46" s="79"/>
      <c r="C46" s="2"/>
      <c r="D46" s="2"/>
      <c r="E46" s="159"/>
      <c r="F46" s="68">
        <f t="shared" si="0"/>
        <v>34</v>
      </c>
      <c r="G46" s="309"/>
      <c r="H46" s="310"/>
      <c r="I46" s="311"/>
      <c r="J46" s="315"/>
      <c r="K46" s="316"/>
      <c r="O46" s="6"/>
      <c r="P46" s="166"/>
      <c r="Q46" s="166"/>
      <c r="R46" s="166"/>
      <c r="S46" s="166"/>
      <c r="T46" s="166"/>
      <c r="U46" s="166"/>
      <c r="V46" s="166"/>
      <c r="W46" s="166"/>
      <c r="X46" s="166"/>
      <c r="Y46" s="292"/>
      <c r="AC46" s="93"/>
      <c r="AD46" s="101"/>
      <c r="AE46" s="101"/>
      <c r="AF46" s="101"/>
      <c r="AG46" s="101"/>
      <c r="AH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28"/>
      <c r="BI46" s="101"/>
      <c r="BJ46" s="101"/>
      <c r="BK46" s="101"/>
      <c r="BL46" s="101"/>
      <c r="BX46" s="166"/>
      <c r="BY46" s="166"/>
      <c r="BZ46" s="166"/>
      <c r="CA46" s="166"/>
      <c r="CB46" s="166"/>
      <c r="CC46" s="166"/>
      <c r="CJ46" s="304"/>
      <c r="CK46" s="101"/>
      <c r="CL46" s="101"/>
      <c r="CN46" s="304"/>
      <c r="CO46" s="101"/>
      <c r="CP46" s="101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</row>
    <row r="47" spans="1:145" ht="14.25" customHeight="1" x14ac:dyDescent="0.2">
      <c r="A47" s="68">
        <f t="shared" si="10"/>
        <v>35</v>
      </c>
      <c r="B47" s="79" t="s">
        <v>178</v>
      </c>
      <c r="C47" s="2"/>
      <c r="D47" s="126"/>
      <c r="E47" s="88">
        <f>E31-E41-E45</f>
        <v>-50267894.179331072</v>
      </c>
      <c r="F47" s="68">
        <f t="shared" si="0"/>
        <v>35</v>
      </c>
      <c r="G47" s="317" t="s">
        <v>279</v>
      </c>
      <c r="H47" s="310"/>
      <c r="I47" s="318">
        <f>'[1]SEF-3'!O13</f>
        <v>5.1399999999999996E-3</v>
      </c>
      <c r="J47" s="319">
        <f>ROUND(K42*I47,0)</f>
        <v>298575</v>
      </c>
      <c r="K47" s="313"/>
      <c r="O47" s="93"/>
      <c r="P47" s="166"/>
      <c r="Q47" s="166"/>
      <c r="R47" s="166"/>
      <c r="S47" s="166"/>
      <c r="T47" s="166"/>
      <c r="U47" s="166"/>
      <c r="V47" s="166"/>
      <c r="W47" s="166"/>
      <c r="X47" s="166"/>
      <c r="Y47" s="292"/>
      <c r="Z47" s="292"/>
      <c r="AA47" s="292"/>
      <c r="AB47" s="292"/>
      <c r="AC47" s="292"/>
      <c r="AD47" s="101"/>
      <c r="AE47" s="101"/>
      <c r="AF47" s="101"/>
      <c r="AG47" s="101"/>
      <c r="AH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215"/>
      <c r="BI47" s="101"/>
      <c r="BJ47" s="101"/>
      <c r="BK47" s="101"/>
      <c r="BL47" s="101"/>
      <c r="BX47" s="166"/>
      <c r="BY47" s="166"/>
      <c r="BZ47" s="166"/>
      <c r="CA47" s="166"/>
      <c r="CB47" s="166"/>
      <c r="CC47" s="166"/>
      <c r="CJ47" s="304"/>
      <c r="CK47" s="101"/>
      <c r="CL47" s="101"/>
      <c r="CN47" s="304"/>
      <c r="CO47" s="101"/>
      <c r="CP47" s="101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</row>
    <row r="48" spans="1:145" ht="15" customHeight="1" x14ac:dyDescent="0.2">
      <c r="A48" s="68">
        <f t="shared" si="10"/>
        <v>36</v>
      </c>
      <c r="B48" s="79" t="s">
        <v>148</v>
      </c>
      <c r="C48" s="198">
        <v>0.35</v>
      </c>
      <c r="D48" s="126"/>
      <c r="E48" s="128">
        <f>ROUND(E47*C48,0)</f>
        <v>-17593763</v>
      </c>
      <c r="F48" s="68">
        <f t="shared" si="0"/>
        <v>36</v>
      </c>
      <c r="G48" s="317" t="s">
        <v>283</v>
      </c>
      <c r="H48" s="317"/>
      <c r="I48" s="318">
        <f>keep_WUTC_FILING_FEE</f>
        <v>2E-3</v>
      </c>
      <c r="J48" s="320">
        <f>ROUND(K42*I48,0)</f>
        <v>116177</v>
      </c>
      <c r="K48" s="321"/>
      <c r="P48" s="166"/>
      <c r="Q48" s="166"/>
      <c r="R48" s="166"/>
      <c r="S48" s="166"/>
      <c r="T48" s="166"/>
      <c r="U48" s="166"/>
      <c r="W48" s="322"/>
      <c r="X48" s="125"/>
      <c r="Y48" s="240"/>
      <c r="Z48" s="145"/>
      <c r="AA48" s="145"/>
      <c r="AB48" s="145"/>
      <c r="AC48" s="145"/>
      <c r="AD48" s="101"/>
      <c r="AE48" s="101"/>
      <c r="AF48" s="101"/>
      <c r="AG48" s="101"/>
      <c r="AH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I48" s="101"/>
      <c r="BJ48" s="101"/>
      <c r="BK48" s="101"/>
      <c r="BL48" s="101"/>
      <c r="BX48" s="166"/>
      <c r="BY48" s="166"/>
      <c r="BZ48" s="166"/>
      <c r="CA48" s="166"/>
      <c r="CB48" s="166"/>
      <c r="CC48" s="166"/>
      <c r="CJ48" s="304"/>
      <c r="CK48" s="101"/>
      <c r="CL48" s="101"/>
      <c r="CN48" s="304"/>
      <c r="CO48" s="101"/>
      <c r="CP48" s="101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</row>
    <row r="49" spans="1:145" ht="13.5" thickBot="1" x14ac:dyDescent="0.25">
      <c r="A49" s="68">
        <f t="shared" si="10"/>
        <v>37</v>
      </c>
      <c r="B49" s="79" t="s">
        <v>117</v>
      </c>
      <c r="C49" s="2"/>
      <c r="D49" s="126"/>
      <c r="E49" s="200">
        <f>E47-E48</f>
        <v>-32674131.179331072</v>
      </c>
      <c r="F49" s="68">
        <f t="shared" si="0"/>
        <v>37</v>
      </c>
      <c r="G49" s="323" t="s">
        <v>285</v>
      </c>
      <c r="H49" s="317"/>
      <c r="I49" s="324"/>
      <c r="J49" s="325"/>
      <c r="K49" s="277">
        <f>SUM(J47:J48)</f>
        <v>414752</v>
      </c>
      <c r="O49" s="3" t="s">
        <v>23</v>
      </c>
      <c r="P49" s="166"/>
      <c r="Q49" s="166"/>
      <c r="R49" s="166"/>
      <c r="S49" s="166"/>
      <c r="T49" s="166"/>
      <c r="U49" s="166"/>
      <c r="Y49" s="292"/>
      <c r="AD49" s="101"/>
      <c r="AE49" s="101"/>
      <c r="AF49" s="101"/>
      <c r="AG49" s="101"/>
      <c r="AH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I49" s="101"/>
      <c r="BJ49" s="101"/>
      <c r="BK49" s="101"/>
      <c r="BL49" s="101"/>
      <c r="BX49" s="166"/>
      <c r="BY49" s="166"/>
      <c r="BZ49" s="166"/>
      <c r="CA49" s="166"/>
      <c r="CB49" s="166"/>
      <c r="CC49" s="166"/>
      <c r="CJ49" s="304"/>
      <c r="CK49" s="101"/>
      <c r="CL49" s="101"/>
      <c r="CN49" s="304"/>
      <c r="CO49" s="101"/>
      <c r="CP49" s="101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</row>
    <row r="50" spans="1:145" ht="12.75" customHeight="1" thickTop="1" x14ac:dyDescent="0.2">
      <c r="A50" s="68"/>
      <c r="F50" s="68">
        <f t="shared" si="0"/>
        <v>38</v>
      </c>
      <c r="G50" s="317"/>
      <c r="H50" s="317"/>
      <c r="I50" s="326"/>
      <c r="J50" s="327"/>
      <c r="K50" s="324"/>
      <c r="P50" s="166"/>
      <c r="Q50" s="166"/>
      <c r="R50" s="166"/>
      <c r="S50" s="166"/>
      <c r="T50" s="166"/>
      <c r="U50" s="166"/>
      <c r="Y50" s="145"/>
      <c r="Z50" s="101"/>
      <c r="AA50" s="101"/>
      <c r="AB50" s="101"/>
      <c r="AC50" s="101"/>
      <c r="AD50" s="72"/>
      <c r="AE50" s="101"/>
      <c r="AF50" s="101"/>
      <c r="AG50" s="101"/>
      <c r="AH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I50" s="101"/>
      <c r="BJ50" s="101"/>
      <c r="BK50" s="101"/>
      <c r="BL50" s="101"/>
      <c r="BX50" s="166"/>
      <c r="BY50" s="166"/>
      <c r="BZ50" s="166"/>
      <c r="CA50" s="166"/>
      <c r="CB50" s="166"/>
      <c r="CC50" s="166"/>
      <c r="CJ50" s="304"/>
      <c r="CK50" s="101"/>
      <c r="CL50" s="101"/>
      <c r="CN50" s="304"/>
      <c r="CO50" s="101"/>
      <c r="CP50" s="101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</row>
    <row r="51" spans="1:145" ht="12.75" customHeight="1" x14ac:dyDescent="0.2">
      <c r="A51" s="68"/>
      <c r="F51" s="68">
        <f t="shared" si="0"/>
        <v>39</v>
      </c>
      <c r="G51" s="317" t="s">
        <v>290</v>
      </c>
      <c r="H51" s="317"/>
      <c r="I51" s="318">
        <f>'[1]SEF-3'!O15</f>
        <v>3.8322000000000002E-2</v>
      </c>
      <c r="J51" s="328">
        <f>ROUND(K42*I51,0)</f>
        <v>2226070</v>
      </c>
      <c r="K51" s="321"/>
      <c r="P51" s="166"/>
      <c r="Q51" s="166"/>
      <c r="R51" s="166"/>
      <c r="S51" s="166"/>
      <c r="T51" s="166"/>
      <c r="U51" s="166"/>
      <c r="Z51" s="101"/>
      <c r="AA51" s="101"/>
      <c r="AB51" s="101"/>
      <c r="AC51" s="101"/>
      <c r="AD51" s="72"/>
      <c r="AE51" s="72"/>
      <c r="AF51" s="72"/>
      <c r="AG51" s="72"/>
      <c r="AH51" s="72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I51" s="101"/>
      <c r="BJ51" s="101"/>
      <c r="BK51" s="101"/>
      <c r="BL51" s="101"/>
      <c r="BX51" s="166"/>
      <c r="BY51" s="166"/>
      <c r="BZ51" s="166"/>
      <c r="CA51" s="166"/>
      <c r="CB51" s="166"/>
      <c r="CC51" s="166"/>
      <c r="CJ51" s="304"/>
      <c r="CK51" s="101"/>
      <c r="CL51" s="101"/>
      <c r="CN51" s="304"/>
      <c r="CO51" s="101"/>
      <c r="CP51" s="101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</row>
    <row r="52" spans="1:145" ht="12.75" customHeight="1" x14ac:dyDescent="0.2">
      <c r="A52" s="68"/>
      <c r="B52" s="72"/>
      <c r="C52" s="72"/>
      <c r="D52" s="72"/>
      <c r="E52" s="72"/>
      <c r="F52" s="68">
        <f t="shared" si="0"/>
        <v>40</v>
      </c>
      <c r="G52" s="323" t="s">
        <v>292</v>
      </c>
      <c r="H52" s="317"/>
      <c r="I52" s="324"/>
      <c r="J52" s="325"/>
      <c r="K52" s="329">
        <f>SUM(J51:J51)</f>
        <v>2226070</v>
      </c>
      <c r="P52" s="166"/>
      <c r="Q52" s="166"/>
      <c r="R52" s="166"/>
      <c r="S52" s="166"/>
      <c r="T52" s="166"/>
      <c r="U52" s="166"/>
      <c r="W52" s="322"/>
      <c r="X52" s="125"/>
      <c r="Y52" s="101"/>
      <c r="Z52" s="101"/>
      <c r="AA52" s="101"/>
      <c r="AB52" s="101"/>
      <c r="AC52" s="101"/>
      <c r="AD52" s="72"/>
      <c r="AE52" s="72"/>
      <c r="AF52" s="72"/>
      <c r="AG52" s="72"/>
      <c r="AH52" s="72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I52" s="101"/>
      <c r="BJ52" s="101"/>
      <c r="BK52" s="101"/>
      <c r="BL52" s="101"/>
      <c r="BX52" s="166"/>
      <c r="BY52" s="166"/>
      <c r="BZ52" s="166"/>
      <c r="CA52" s="166"/>
      <c r="CB52" s="166"/>
      <c r="CC52" s="166"/>
      <c r="CJ52" s="304"/>
      <c r="CK52" s="101"/>
      <c r="CL52" s="101"/>
      <c r="CN52" s="304"/>
      <c r="CO52" s="101"/>
      <c r="CP52" s="101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</row>
    <row r="53" spans="1:145" ht="12.75" customHeight="1" x14ac:dyDescent="0.2">
      <c r="A53" s="68"/>
      <c r="B53" s="233"/>
      <c r="C53" s="72"/>
      <c r="D53" s="72"/>
      <c r="F53" s="68">
        <f t="shared" si="0"/>
        <v>41</v>
      </c>
      <c r="G53" s="317"/>
      <c r="H53" s="317"/>
      <c r="I53" s="313"/>
      <c r="J53" s="313"/>
      <c r="K53" s="324"/>
      <c r="P53" s="166"/>
      <c r="Q53" s="166"/>
      <c r="R53" s="166"/>
      <c r="S53" s="166"/>
      <c r="T53" s="166"/>
      <c r="U53" s="166"/>
      <c r="W53" s="322"/>
      <c r="X53" s="125"/>
      <c r="Y53" s="101"/>
      <c r="Z53" s="101"/>
      <c r="AA53" s="101"/>
      <c r="AB53" s="101"/>
      <c r="AC53" s="101"/>
      <c r="AD53" s="126"/>
      <c r="AE53" s="72"/>
      <c r="AF53" s="72"/>
      <c r="AG53" s="72"/>
      <c r="AH53" s="72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28"/>
      <c r="BI53" s="101"/>
      <c r="BJ53" s="101"/>
      <c r="BK53" s="101"/>
      <c r="BL53" s="101"/>
      <c r="CJ53" s="304"/>
      <c r="CK53" s="101"/>
      <c r="CL53" s="101"/>
      <c r="CN53" s="304"/>
      <c r="CO53" s="101"/>
      <c r="CP53" s="101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</row>
    <row r="54" spans="1:145" ht="14.25" customHeight="1" x14ac:dyDescent="0.2">
      <c r="A54" s="68"/>
      <c r="B54" s="233"/>
      <c r="C54" s="330"/>
      <c r="D54" s="72"/>
      <c r="F54" s="68">
        <f t="shared" si="0"/>
        <v>42</v>
      </c>
      <c r="G54" s="317" t="s">
        <v>178</v>
      </c>
      <c r="H54" s="317"/>
      <c r="I54" s="313"/>
      <c r="J54" s="331"/>
      <c r="K54" s="332">
        <f>K42-K45-K49-K52</f>
        <v>24723013.616006494</v>
      </c>
      <c r="P54" s="166"/>
      <c r="Q54" s="166"/>
      <c r="R54" s="166"/>
      <c r="S54" s="166"/>
      <c r="T54" s="166"/>
      <c r="U54" s="166"/>
      <c r="V54" s="72"/>
      <c r="W54" s="72"/>
      <c r="X54" s="72"/>
      <c r="Y54" s="101"/>
      <c r="Z54" s="101"/>
      <c r="AA54" s="101"/>
      <c r="AB54" s="101"/>
      <c r="AC54" s="101"/>
      <c r="AD54" s="126"/>
      <c r="AE54" s="126"/>
      <c r="AF54" s="126"/>
      <c r="AG54" s="126"/>
      <c r="AH54" s="126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28"/>
      <c r="BI54" s="101"/>
      <c r="BJ54" s="101"/>
      <c r="BK54" s="101"/>
      <c r="BL54" s="101"/>
      <c r="CK54" s="101"/>
      <c r="CL54" s="101"/>
      <c r="CO54" s="101"/>
      <c r="CP54" s="101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</row>
    <row r="55" spans="1:145" ht="14.25" customHeight="1" x14ac:dyDescent="0.2">
      <c r="A55" s="68"/>
      <c r="B55" s="233"/>
      <c r="C55" s="72"/>
      <c r="D55" s="72"/>
      <c r="F55" s="68">
        <f t="shared" si="0"/>
        <v>43</v>
      </c>
      <c r="G55" s="317"/>
      <c r="H55" s="317"/>
      <c r="I55" s="313"/>
      <c r="J55" s="331"/>
      <c r="K55" s="324"/>
      <c r="P55" s="166"/>
      <c r="Q55" s="166"/>
      <c r="R55" s="166"/>
      <c r="S55" s="166"/>
      <c r="T55" s="166"/>
      <c r="U55" s="166"/>
      <c r="V55" s="72"/>
      <c r="W55" s="72"/>
      <c r="X55" s="72"/>
      <c r="Y55" s="101"/>
      <c r="Z55" s="101"/>
      <c r="AA55" s="101"/>
      <c r="AB55" s="101"/>
      <c r="AC55" s="101"/>
      <c r="AD55" s="126"/>
      <c r="AE55" s="126"/>
      <c r="AF55" s="126"/>
      <c r="AG55" s="126"/>
      <c r="AH55" s="126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72"/>
      <c r="BA55" s="72"/>
      <c r="BB55" s="72"/>
      <c r="BC55" s="72"/>
      <c r="BD55" s="72"/>
      <c r="BE55" s="128"/>
      <c r="BI55" s="101"/>
      <c r="BJ55" s="101"/>
      <c r="BK55" s="101"/>
      <c r="BL55" s="101"/>
      <c r="CK55" s="101"/>
      <c r="CL55" s="101"/>
      <c r="CO55" s="101"/>
      <c r="CP55" s="101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</row>
    <row r="56" spans="1:145" ht="15" customHeight="1" x14ac:dyDescent="0.2">
      <c r="A56" s="68"/>
      <c r="F56" s="68">
        <f t="shared" si="0"/>
        <v>44</v>
      </c>
      <c r="G56" s="317" t="s">
        <v>148</v>
      </c>
      <c r="H56" s="317"/>
      <c r="I56" s="333">
        <v>0.35</v>
      </c>
      <c r="J56" s="331"/>
      <c r="K56" s="334">
        <f>ROUND(K54*I56,0)</f>
        <v>8653055</v>
      </c>
      <c r="P56" s="166"/>
      <c r="Q56" s="166"/>
      <c r="R56" s="166"/>
      <c r="S56" s="166"/>
      <c r="T56" s="166"/>
      <c r="U56" s="166"/>
      <c r="Y56" s="101"/>
      <c r="Z56" s="101"/>
      <c r="AA56" s="101"/>
      <c r="AB56" s="101"/>
      <c r="AC56" s="101"/>
      <c r="AD56" s="126"/>
      <c r="AE56" s="126"/>
      <c r="AF56" s="126"/>
      <c r="AG56" s="126"/>
      <c r="AH56" s="126"/>
      <c r="AP56" s="72"/>
      <c r="AQ56" s="101"/>
      <c r="AR56" s="101"/>
      <c r="AS56" s="101"/>
      <c r="AT56" s="101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128"/>
      <c r="BI56" s="101"/>
      <c r="BJ56" s="101"/>
      <c r="BK56" s="101"/>
      <c r="BL56" s="101"/>
      <c r="CK56" s="72"/>
      <c r="CL56" s="72"/>
      <c r="CO56" s="72"/>
      <c r="CP56" s="72"/>
      <c r="CQ56" s="166"/>
      <c r="CR56" s="166"/>
      <c r="CS56" s="166"/>
      <c r="CT56" s="166"/>
      <c r="CU56" s="166"/>
      <c r="CV56" s="166"/>
      <c r="CW56" s="166"/>
      <c r="CX56" s="166"/>
      <c r="CY56" s="166"/>
      <c r="CZ56" s="166"/>
    </row>
    <row r="57" spans="1:145" ht="15" customHeight="1" thickBot="1" x14ac:dyDescent="0.25">
      <c r="A57" s="68"/>
      <c r="F57" s="68">
        <f t="shared" si="0"/>
        <v>45</v>
      </c>
      <c r="G57" s="317" t="s">
        <v>117</v>
      </c>
      <c r="H57" s="317"/>
      <c r="I57" s="313"/>
      <c r="J57" s="324"/>
      <c r="K57" s="335">
        <f>K54-K56</f>
        <v>16069958.616006494</v>
      </c>
      <c r="P57" s="166"/>
      <c r="Q57" s="166"/>
      <c r="R57" s="166"/>
      <c r="S57" s="166"/>
      <c r="T57" s="166"/>
      <c r="U57" s="166"/>
      <c r="V57" s="166"/>
      <c r="W57" s="166"/>
      <c r="X57" s="166"/>
      <c r="Y57" s="101"/>
      <c r="Z57" s="101"/>
      <c r="AA57" s="101"/>
      <c r="AB57" s="101"/>
      <c r="AC57" s="101"/>
      <c r="AD57" s="126"/>
      <c r="AE57" s="126"/>
      <c r="AF57" s="126"/>
      <c r="AG57" s="126"/>
      <c r="AH57" s="126"/>
      <c r="AP57" s="72"/>
      <c r="AQ57" s="101"/>
      <c r="AR57" s="101"/>
      <c r="AS57" s="101"/>
      <c r="AT57" s="101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128"/>
      <c r="BI57" s="101"/>
      <c r="BJ57" s="101"/>
      <c r="BK57" s="101"/>
      <c r="BL57" s="101"/>
      <c r="CK57" s="72"/>
      <c r="CL57" s="72"/>
      <c r="CO57" s="72"/>
      <c r="CP57" s="72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EO57" s="336"/>
    </row>
    <row r="58" spans="1:145" ht="15" customHeight="1" thickTop="1" x14ac:dyDescent="0.2">
      <c r="A58" s="337"/>
      <c r="F58" s="68"/>
      <c r="G58" s="166"/>
      <c r="H58" s="166"/>
      <c r="I58" s="166"/>
      <c r="J58" s="166"/>
      <c r="K58" s="166"/>
      <c r="P58" s="166"/>
      <c r="Q58" s="166"/>
      <c r="R58" s="166"/>
      <c r="S58" s="166"/>
      <c r="T58" s="166"/>
      <c r="U58" s="166"/>
      <c r="V58" s="166"/>
      <c r="W58" s="166"/>
      <c r="X58" s="166"/>
      <c r="Y58" s="101"/>
      <c r="Z58" s="101"/>
      <c r="AA58" s="101"/>
      <c r="AB58" s="101"/>
      <c r="AC58" s="101"/>
      <c r="AD58" s="126"/>
      <c r="AE58" s="126"/>
      <c r="AF58" s="126"/>
      <c r="AG58" s="126"/>
      <c r="AH58" s="126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126"/>
      <c r="BA58" s="126"/>
      <c r="BB58" s="126"/>
      <c r="BC58" s="126"/>
      <c r="BD58" s="126"/>
      <c r="BE58" s="128"/>
      <c r="BI58" s="101"/>
      <c r="BJ58" s="101"/>
      <c r="BK58" s="101"/>
      <c r="BL58" s="101"/>
      <c r="BM58" s="10"/>
      <c r="CK58" s="72"/>
      <c r="CL58" s="72"/>
      <c r="CO58" s="72"/>
      <c r="CP58" s="72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EO58" s="336"/>
    </row>
    <row r="59" spans="1:145" ht="13.5" customHeight="1" x14ac:dyDescent="0.2">
      <c r="A59" s="337"/>
      <c r="F59" s="68"/>
      <c r="K59" s="68"/>
      <c r="P59" s="166"/>
      <c r="Q59" s="166"/>
      <c r="R59" s="166"/>
      <c r="S59" s="166"/>
      <c r="T59" s="166"/>
      <c r="U59" s="166"/>
      <c r="V59" s="166"/>
      <c r="W59" s="166"/>
      <c r="X59" s="166"/>
      <c r="Y59" s="101"/>
      <c r="Z59" s="101"/>
      <c r="AA59" s="101"/>
      <c r="AB59" s="101"/>
      <c r="AC59" s="101"/>
      <c r="AE59" s="126"/>
      <c r="AF59" s="126"/>
      <c r="AG59" s="126"/>
      <c r="AH59" s="126"/>
      <c r="AP59" s="126"/>
      <c r="AQ59" s="72"/>
      <c r="AR59" s="72"/>
      <c r="AS59" s="72"/>
      <c r="AT59" s="72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I59" s="72"/>
      <c r="BJ59" s="72"/>
      <c r="BK59" s="72"/>
      <c r="BL59" s="72"/>
      <c r="CK59" s="126"/>
      <c r="CL59" s="126"/>
      <c r="CO59" s="126"/>
      <c r="CP59" s="12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</row>
    <row r="60" spans="1:145" ht="15.75" customHeight="1" x14ac:dyDescent="0.2">
      <c r="A60" s="337"/>
      <c r="B60" s="99"/>
      <c r="C60" s="99"/>
      <c r="D60" s="99"/>
      <c r="E60" s="99"/>
      <c r="F60" s="68"/>
      <c r="P60" s="166"/>
      <c r="Q60" s="166"/>
      <c r="R60" s="166"/>
      <c r="S60" s="166"/>
      <c r="T60" s="166"/>
      <c r="U60" s="166"/>
      <c r="V60" s="166"/>
      <c r="W60" s="166"/>
      <c r="X60" s="166"/>
      <c r="Y60" s="101"/>
      <c r="Z60" s="101"/>
      <c r="AA60" s="101"/>
      <c r="AB60" s="101"/>
      <c r="AC60" s="101"/>
      <c r="AP60" s="126"/>
      <c r="AQ60" s="72"/>
      <c r="AR60" s="72"/>
      <c r="AS60" s="72"/>
      <c r="AT60" s="72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I60" s="72"/>
      <c r="BJ60" s="72"/>
      <c r="BK60" s="72"/>
      <c r="BL60" s="72"/>
      <c r="CK60" s="126"/>
      <c r="CL60" s="126"/>
      <c r="CO60" s="126"/>
      <c r="CP60" s="12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</row>
    <row r="61" spans="1:145" ht="15.75" customHeight="1" x14ac:dyDescent="0.2">
      <c r="A61" s="72"/>
      <c r="B61" s="128"/>
      <c r="C61" s="128"/>
      <c r="D61" s="128"/>
      <c r="E61" s="128"/>
      <c r="F61" s="337"/>
      <c r="P61" s="166"/>
      <c r="Q61" s="166"/>
      <c r="R61" s="166"/>
      <c r="S61" s="166"/>
      <c r="T61" s="166"/>
      <c r="U61" s="166"/>
      <c r="V61" s="166"/>
      <c r="W61" s="166"/>
      <c r="X61" s="166"/>
      <c r="Y61" s="101"/>
      <c r="Z61" s="101"/>
      <c r="AA61" s="101"/>
      <c r="AB61" s="101"/>
      <c r="AC61" s="101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I61" s="72"/>
      <c r="BJ61" s="72"/>
      <c r="BK61" s="72"/>
      <c r="BL61" s="72"/>
      <c r="CK61" s="126"/>
      <c r="CL61" s="126"/>
      <c r="CO61" s="126"/>
      <c r="CP61" s="12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</row>
    <row r="62" spans="1:145" ht="15" customHeight="1" x14ac:dyDescent="0.2">
      <c r="A62" s="337"/>
      <c r="B62" s="128"/>
      <c r="C62" s="128"/>
      <c r="D62" s="128"/>
      <c r="E62" s="128"/>
      <c r="F62" s="337"/>
      <c r="P62" s="166"/>
      <c r="Q62" s="166"/>
      <c r="R62" s="166"/>
      <c r="S62" s="166"/>
      <c r="T62" s="166"/>
      <c r="U62" s="166"/>
      <c r="V62" s="166"/>
      <c r="W62" s="166"/>
      <c r="X62" s="166"/>
      <c r="Y62" s="101"/>
      <c r="Z62" s="101"/>
      <c r="AA62" s="101"/>
      <c r="AB62" s="101"/>
      <c r="AC62" s="101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I62" s="126"/>
      <c r="BJ62" s="126"/>
      <c r="BK62" s="126"/>
      <c r="BL62" s="126"/>
      <c r="CK62" s="126"/>
      <c r="CL62" s="126"/>
      <c r="CO62" s="126"/>
      <c r="CP62" s="12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</row>
    <row r="63" spans="1:145" ht="13.5" customHeight="1" x14ac:dyDescent="0.2">
      <c r="A63" s="337"/>
      <c r="B63" s="128"/>
      <c r="C63" s="128"/>
      <c r="D63" s="128"/>
      <c r="E63" s="128"/>
      <c r="F63" s="337"/>
      <c r="P63" s="166"/>
      <c r="Q63" s="166"/>
      <c r="R63" s="166"/>
      <c r="S63" s="166"/>
      <c r="T63" s="166"/>
      <c r="U63" s="166"/>
      <c r="V63" s="166"/>
      <c r="W63" s="166"/>
      <c r="X63" s="166"/>
      <c r="Y63" s="101"/>
      <c r="Z63" s="72"/>
      <c r="AA63" s="72"/>
      <c r="AB63" s="72"/>
      <c r="AC63" s="72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I63" s="126"/>
      <c r="BJ63" s="126"/>
      <c r="BK63" s="126"/>
      <c r="BL63" s="126"/>
      <c r="CK63" s="126"/>
      <c r="CL63" s="126"/>
      <c r="CO63" s="126"/>
      <c r="CP63" s="12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</row>
    <row r="64" spans="1:145" ht="13.5" customHeight="1" x14ac:dyDescent="0.2">
      <c r="A64" s="72"/>
      <c r="B64" s="128"/>
      <c r="C64" s="128"/>
      <c r="D64" s="128"/>
      <c r="E64" s="128"/>
      <c r="F64" s="72"/>
      <c r="P64" s="166"/>
      <c r="Q64" s="166"/>
      <c r="R64" s="166"/>
      <c r="S64" s="166"/>
      <c r="T64" s="166"/>
      <c r="U64" s="166"/>
      <c r="V64" s="166"/>
      <c r="W64" s="166"/>
      <c r="X64" s="166"/>
      <c r="Y64" s="101"/>
      <c r="Z64" s="72"/>
      <c r="AA64" s="72"/>
      <c r="AB64" s="72"/>
      <c r="AC64" s="72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BI64" s="126"/>
      <c r="BJ64" s="126"/>
      <c r="BK64" s="126"/>
      <c r="BL64" s="126"/>
      <c r="CK64" s="126"/>
      <c r="CL64" s="126"/>
      <c r="CO64" s="126"/>
      <c r="CP64" s="12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</row>
    <row r="65" spans="1:144" ht="14.25" customHeight="1" x14ac:dyDescent="0.2">
      <c r="A65" s="72"/>
      <c r="B65" s="88"/>
      <c r="C65" s="88"/>
      <c r="D65" s="88"/>
      <c r="E65" s="88"/>
      <c r="F65" s="337"/>
      <c r="P65" s="166"/>
      <c r="Q65" s="166"/>
      <c r="R65" s="166"/>
      <c r="S65" s="166"/>
      <c r="T65" s="166"/>
      <c r="U65" s="166"/>
      <c r="V65" s="166"/>
      <c r="W65" s="166"/>
      <c r="X65" s="166"/>
      <c r="Y65" s="72"/>
      <c r="Z65" s="72"/>
      <c r="AA65" s="72"/>
      <c r="AB65" s="72"/>
      <c r="AC65" s="72"/>
      <c r="AQ65" s="126"/>
      <c r="AR65" s="126"/>
      <c r="AS65" s="126"/>
      <c r="AT65" s="126"/>
      <c r="BI65" s="126"/>
      <c r="BJ65" s="126"/>
      <c r="BK65" s="126"/>
      <c r="BL65" s="126"/>
      <c r="CE65" s="338"/>
      <c r="CF65" s="338"/>
      <c r="CG65" s="338"/>
      <c r="CH65" s="338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</row>
    <row r="66" spans="1:144" ht="12.75" customHeight="1" x14ac:dyDescent="0.2">
      <c r="A66" s="72"/>
      <c r="B66" s="88"/>
      <c r="C66" s="88"/>
      <c r="D66" s="88"/>
      <c r="E66" s="88"/>
      <c r="F66" s="337"/>
      <c r="L66" s="124"/>
      <c r="P66" s="166"/>
      <c r="Q66" s="166"/>
      <c r="R66" s="166"/>
      <c r="S66" s="166"/>
      <c r="T66" s="166"/>
      <c r="U66" s="166"/>
      <c r="V66" s="166"/>
      <c r="W66" s="166"/>
      <c r="X66" s="166"/>
      <c r="Y66" s="72"/>
      <c r="Z66" s="126"/>
      <c r="AA66" s="126"/>
      <c r="AB66" s="126"/>
      <c r="AC66" s="126"/>
      <c r="AQ66" s="126"/>
      <c r="AR66" s="126"/>
      <c r="AS66" s="126"/>
      <c r="AT66" s="126"/>
      <c r="BI66" s="126"/>
      <c r="BJ66" s="126"/>
      <c r="BK66" s="126"/>
      <c r="BL66" s="12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</row>
    <row r="67" spans="1:144" ht="12.75" customHeight="1" x14ac:dyDescent="0.2">
      <c r="A67" s="72"/>
      <c r="B67" s="339"/>
      <c r="C67" s="339"/>
      <c r="D67" s="339"/>
      <c r="E67" s="339"/>
      <c r="F67" s="72"/>
      <c r="L67" s="124"/>
      <c r="M67" s="125"/>
      <c r="N67" s="125"/>
      <c r="O67" s="125"/>
      <c r="P67" s="166"/>
      <c r="Q67" s="166"/>
      <c r="R67" s="166"/>
      <c r="S67" s="166"/>
      <c r="T67" s="166"/>
      <c r="U67" s="166"/>
      <c r="V67" s="166"/>
      <c r="W67" s="166"/>
      <c r="X67" s="166"/>
      <c r="Y67" s="72"/>
      <c r="Z67" s="126"/>
      <c r="AA67" s="126"/>
      <c r="AB67" s="126"/>
      <c r="AC67" s="126"/>
      <c r="BI67" s="126"/>
      <c r="BJ67" s="126"/>
      <c r="BK67" s="126"/>
      <c r="BL67" s="12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</row>
    <row r="68" spans="1:144" ht="12.75" customHeight="1" x14ac:dyDescent="0.2">
      <c r="A68" s="72"/>
      <c r="B68" s="72"/>
      <c r="C68" s="72"/>
      <c r="D68" s="72"/>
      <c r="E68" s="72"/>
      <c r="F68" s="72"/>
      <c r="L68" s="124"/>
      <c r="M68" s="125"/>
      <c r="N68" s="125"/>
      <c r="O68" s="125"/>
      <c r="P68" s="166"/>
      <c r="Q68" s="166"/>
      <c r="R68" s="166"/>
      <c r="S68" s="166"/>
      <c r="T68" s="166"/>
      <c r="U68" s="166"/>
      <c r="V68" s="166"/>
      <c r="W68" s="166"/>
      <c r="X68" s="166"/>
      <c r="Y68" s="126"/>
      <c r="Z68" s="126"/>
      <c r="AA68" s="126"/>
      <c r="AB68" s="126"/>
      <c r="AC68" s="126"/>
      <c r="CQ68" s="166"/>
      <c r="CR68" s="166"/>
      <c r="CS68" s="166"/>
      <c r="CT68" s="166"/>
      <c r="CU68" s="166"/>
      <c r="CV68" s="166"/>
      <c r="CW68" s="166"/>
      <c r="CX68" s="166"/>
      <c r="CY68" s="166"/>
      <c r="CZ68" s="166"/>
    </row>
    <row r="69" spans="1:144" ht="12.75" customHeight="1" x14ac:dyDescent="0.2">
      <c r="A69" s="72"/>
      <c r="B69" s="128"/>
      <c r="C69" s="128"/>
      <c r="D69" s="128"/>
      <c r="E69" s="128"/>
      <c r="F69" s="72"/>
      <c r="L69" s="124"/>
      <c r="M69" s="125"/>
      <c r="N69" s="125"/>
      <c r="O69" s="125"/>
      <c r="P69" s="166"/>
      <c r="Q69" s="166"/>
      <c r="R69" s="166"/>
      <c r="S69" s="166"/>
      <c r="T69" s="166"/>
      <c r="U69" s="166"/>
      <c r="V69" s="166"/>
      <c r="W69" s="166"/>
      <c r="X69" s="166"/>
      <c r="Y69" s="126"/>
      <c r="Z69" s="126"/>
      <c r="AA69" s="126"/>
      <c r="AB69" s="126"/>
      <c r="AC69" s="12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EN69" s="72"/>
    </row>
    <row r="70" spans="1:144" ht="12.75" customHeight="1" x14ac:dyDescent="0.2">
      <c r="A70" s="72"/>
      <c r="B70" s="101"/>
      <c r="C70" s="101"/>
      <c r="D70" s="101"/>
      <c r="E70" s="101"/>
      <c r="F70" s="72"/>
      <c r="L70" s="72"/>
      <c r="M70" s="125"/>
      <c r="N70" s="125"/>
      <c r="O70" s="125"/>
      <c r="P70" s="166"/>
      <c r="Q70" s="166"/>
      <c r="R70" s="166"/>
      <c r="S70" s="166"/>
      <c r="T70" s="166"/>
      <c r="U70" s="166"/>
      <c r="V70" s="166"/>
      <c r="W70" s="166"/>
      <c r="X70" s="166"/>
      <c r="Y70" s="126"/>
      <c r="Z70" s="126"/>
      <c r="AA70" s="126"/>
      <c r="AB70" s="126"/>
      <c r="AC70" s="126"/>
      <c r="CD70" s="338"/>
      <c r="CQ70" s="166"/>
      <c r="CR70" s="166"/>
      <c r="CS70" s="166"/>
      <c r="CT70" s="166"/>
      <c r="CU70" s="166"/>
      <c r="CV70" s="166"/>
      <c r="CW70" s="166"/>
      <c r="CX70" s="166"/>
      <c r="CY70" s="166"/>
      <c r="CZ70" s="166"/>
      <c r="EN70" s="72"/>
    </row>
    <row r="71" spans="1:144" ht="12.75" customHeight="1" x14ac:dyDescent="0.2">
      <c r="A71" s="72"/>
      <c r="B71" s="340"/>
      <c r="C71" s="340"/>
      <c r="D71" s="340"/>
      <c r="E71" s="340"/>
      <c r="F71" s="72"/>
      <c r="M71" s="125"/>
      <c r="N71" s="125"/>
      <c r="O71" s="125"/>
      <c r="P71" s="166"/>
      <c r="Q71" s="166"/>
      <c r="R71" s="166"/>
      <c r="S71" s="166"/>
      <c r="T71" s="166"/>
      <c r="U71" s="166"/>
      <c r="V71" s="166"/>
      <c r="W71" s="166"/>
      <c r="X71" s="166"/>
      <c r="Y71" s="126"/>
      <c r="Z71" s="126"/>
      <c r="AA71" s="126"/>
      <c r="AB71" s="126"/>
      <c r="AC71" s="126"/>
      <c r="CQ71" s="166"/>
      <c r="CR71" s="166"/>
      <c r="CS71" s="166"/>
      <c r="CT71" s="166"/>
      <c r="CU71" s="166"/>
      <c r="CV71" s="166"/>
      <c r="CW71" s="166"/>
      <c r="CX71" s="166"/>
      <c r="CY71" s="166"/>
      <c r="CZ71" s="166"/>
      <c r="EN71" s="72"/>
    </row>
    <row r="72" spans="1:144" ht="12.75" customHeight="1" x14ac:dyDescent="0.2">
      <c r="A72" s="72"/>
      <c r="B72" s="340"/>
      <c r="C72" s="340"/>
      <c r="D72" s="340"/>
      <c r="E72" s="340"/>
      <c r="F72" s="72"/>
      <c r="M72" s="125"/>
      <c r="N72" s="125"/>
      <c r="O72" s="125"/>
      <c r="P72" s="166"/>
      <c r="Q72" s="166"/>
      <c r="R72" s="166"/>
      <c r="S72" s="166"/>
      <c r="T72" s="166"/>
      <c r="U72" s="166"/>
      <c r="V72" s="166"/>
      <c r="W72" s="166"/>
      <c r="X72" s="166"/>
      <c r="Y72" s="126"/>
      <c r="CQ72" s="166"/>
      <c r="CR72" s="166"/>
      <c r="CS72" s="166"/>
      <c r="CT72" s="166"/>
      <c r="CU72" s="166"/>
      <c r="CV72" s="166"/>
      <c r="CW72" s="166"/>
      <c r="CX72" s="166"/>
      <c r="CY72" s="166"/>
      <c r="CZ72" s="166"/>
      <c r="EN72" s="72"/>
    </row>
    <row r="73" spans="1:144" ht="12.75" customHeight="1" x14ac:dyDescent="0.2">
      <c r="A73" s="72"/>
      <c r="B73" s="341"/>
      <c r="C73" s="341"/>
      <c r="D73" s="341"/>
      <c r="E73" s="341"/>
      <c r="F73" s="72"/>
      <c r="M73" s="125"/>
      <c r="N73" s="125"/>
      <c r="O73" s="125"/>
      <c r="P73" s="166"/>
      <c r="Q73" s="166"/>
      <c r="R73" s="166"/>
      <c r="S73" s="166"/>
      <c r="T73" s="166"/>
      <c r="U73" s="166"/>
      <c r="V73" s="166"/>
      <c r="W73" s="166"/>
      <c r="X73" s="166"/>
      <c r="Y73" s="12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EN73" s="72"/>
    </row>
    <row r="74" spans="1:144" ht="12.75" customHeight="1" x14ac:dyDescent="0.2">
      <c r="A74" s="72"/>
      <c r="B74" s="161"/>
      <c r="C74" s="161"/>
      <c r="D74" s="161"/>
      <c r="E74" s="161"/>
      <c r="F74" s="72"/>
      <c r="M74" s="125"/>
      <c r="N74" s="125"/>
      <c r="O74" s="125"/>
      <c r="P74" s="166"/>
      <c r="Q74" s="166"/>
      <c r="R74" s="166"/>
      <c r="S74" s="166"/>
      <c r="T74" s="166"/>
      <c r="U74" s="166"/>
      <c r="V74" s="166"/>
      <c r="W74" s="166"/>
      <c r="X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EN74" s="72"/>
    </row>
    <row r="75" spans="1:144" ht="12.75" customHeight="1" x14ac:dyDescent="0.2">
      <c r="A75" s="72"/>
      <c r="B75" s="161"/>
      <c r="C75" s="161"/>
      <c r="D75" s="161"/>
      <c r="E75" s="161"/>
      <c r="F75" s="72"/>
      <c r="M75" s="125"/>
      <c r="N75" s="125"/>
      <c r="O75" s="125"/>
      <c r="P75" s="166"/>
      <c r="Q75" s="166"/>
      <c r="R75" s="166"/>
      <c r="S75" s="166"/>
      <c r="T75" s="166"/>
      <c r="U75" s="166"/>
      <c r="V75" s="166"/>
      <c r="W75" s="166"/>
      <c r="X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EM75" s="72"/>
      <c r="EN75" s="72"/>
    </row>
    <row r="76" spans="1:144" x14ac:dyDescent="0.2">
      <c r="A76" s="72"/>
      <c r="B76" s="161"/>
      <c r="C76" s="161"/>
      <c r="D76" s="161"/>
      <c r="E76" s="161"/>
      <c r="F76" s="72"/>
      <c r="L76" s="72"/>
      <c r="M76" s="125"/>
      <c r="N76" s="125"/>
      <c r="O76" s="125"/>
      <c r="P76" s="166"/>
      <c r="Q76" s="166"/>
      <c r="R76" s="166"/>
      <c r="S76" s="166"/>
      <c r="T76" s="166"/>
      <c r="U76" s="166"/>
      <c r="W76" s="72"/>
      <c r="X76" s="72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EM76" s="342"/>
      <c r="EN76" s="72"/>
    </row>
    <row r="77" spans="1:144" ht="12.75" customHeight="1" x14ac:dyDescent="0.2">
      <c r="A77" s="72"/>
      <c r="B77" s="341"/>
      <c r="C77" s="341"/>
      <c r="D77" s="341"/>
      <c r="E77" s="341"/>
      <c r="F77" s="72"/>
      <c r="L77" s="72"/>
      <c r="M77" s="125"/>
      <c r="N77" s="125"/>
      <c r="O77" s="125"/>
      <c r="P77" s="166"/>
      <c r="Q77" s="166"/>
      <c r="R77" s="166"/>
      <c r="S77" s="166"/>
      <c r="T77" s="166"/>
      <c r="U77" s="166"/>
      <c r="W77" s="72"/>
      <c r="X77" s="72"/>
      <c r="CQ77" s="166"/>
      <c r="CR77" s="166"/>
      <c r="CS77" s="166"/>
      <c r="CT77" s="166"/>
      <c r="CU77" s="166"/>
      <c r="CV77" s="166"/>
      <c r="CW77" s="166"/>
      <c r="CX77" s="166"/>
      <c r="CY77" s="166"/>
      <c r="CZ77" s="166"/>
      <c r="EM77" s="72"/>
      <c r="EN77" s="72"/>
    </row>
    <row r="78" spans="1:144" ht="12.75" customHeight="1" x14ac:dyDescent="0.2">
      <c r="A78" s="72"/>
      <c r="B78" s="341"/>
      <c r="C78" s="341"/>
      <c r="D78" s="341"/>
      <c r="E78" s="341"/>
      <c r="F78" s="72"/>
      <c r="L78" s="72"/>
      <c r="M78" s="125"/>
      <c r="N78" s="125"/>
      <c r="O78" s="125"/>
      <c r="P78" s="166"/>
      <c r="Q78" s="166"/>
      <c r="R78" s="166"/>
      <c r="S78" s="166"/>
      <c r="T78" s="166"/>
      <c r="U78" s="166"/>
      <c r="V78" s="72"/>
      <c r="W78" s="72"/>
      <c r="X78" s="72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EM78" s="72"/>
      <c r="EN78" s="72"/>
    </row>
    <row r="79" spans="1:144" ht="12.75" customHeight="1" x14ac:dyDescent="0.2">
      <c r="A79" s="72"/>
      <c r="B79" s="341"/>
      <c r="C79" s="341"/>
      <c r="D79" s="341"/>
      <c r="E79" s="341"/>
      <c r="F79" s="72"/>
      <c r="L79" s="72"/>
      <c r="M79" s="125"/>
      <c r="N79" s="125"/>
      <c r="O79" s="125"/>
      <c r="P79" s="166"/>
      <c r="Q79" s="166"/>
      <c r="R79" s="166"/>
      <c r="S79" s="166"/>
      <c r="T79" s="166"/>
      <c r="U79" s="166"/>
      <c r="V79" s="72"/>
      <c r="W79" s="72"/>
      <c r="X79" s="72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EM79" s="72"/>
      <c r="EN79" s="72"/>
    </row>
    <row r="80" spans="1:144" ht="12.75" customHeight="1" x14ac:dyDescent="0.2">
      <c r="A80" s="72"/>
      <c r="B80" s="341"/>
      <c r="C80" s="341"/>
      <c r="D80" s="341"/>
      <c r="E80" s="341"/>
      <c r="F80" s="72"/>
      <c r="L80" s="72"/>
      <c r="M80" s="125"/>
      <c r="N80" s="125"/>
      <c r="O80" s="125"/>
      <c r="P80" s="166"/>
      <c r="Q80" s="166"/>
      <c r="R80" s="166"/>
      <c r="S80" s="166"/>
      <c r="T80" s="166"/>
      <c r="U80" s="166"/>
      <c r="V80" s="72"/>
      <c r="W80" s="72"/>
      <c r="X80" s="72"/>
      <c r="CQ80" s="166"/>
      <c r="CR80" s="166"/>
      <c r="CS80" s="166"/>
      <c r="CT80" s="166"/>
      <c r="CU80" s="166"/>
      <c r="CV80" s="166"/>
      <c r="CW80" s="166"/>
      <c r="CX80" s="166"/>
      <c r="CY80" s="166"/>
      <c r="CZ80" s="166"/>
      <c r="EN80" s="72"/>
    </row>
    <row r="81" spans="1:144" ht="12.75" customHeight="1" x14ac:dyDescent="0.2">
      <c r="A81" s="72"/>
      <c r="B81" s="341"/>
      <c r="C81" s="341"/>
      <c r="D81" s="341"/>
      <c r="E81" s="341"/>
      <c r="F81" s="72"/>
      <c r="L81" s="72"/>
      <c r="M81" s="125"/>
      <c r="N81" s="125"/>
      <c r="O81" s="125"/>
      <c r="P81" s="166"/>
      <c r="Q81" s="166"/>
      <c r="R81" s="166"/>
      <c r="S81" s="166"/>
      <c r="T81" s="166"/>
      <c r="U81" s="166"/>
      <c r="V81" s="72"/>
      <c r="W81" s="72"/>
      <c r="X81" s="72"/>
      <c r="CQ81" s="166"/>
      <c r="CR81" s="166"/>
      <c r="CS81" s="166"/>
      <c r="CT81" s="166"/>
      <c r="CU81" s="166"/>
      <c r="CV81" s="166"/>
      <c r="CW81" s="166"/>
      <c r="CX81" s="166"/>
      <c r="CY81" s="166"/>
      <c r="CZ81" s="166"/>
      <c r="EN81" s="72"/>
    </row>
    <row r="82" spans="1:144" ht="12.75" customHeight="1" x14ac:dyDescent="0.2">
      <c r="A82" s="72"/>
      <c r="B82" s="341"/>
      <c r="C82" s="341"/>
      <c r="D82" s="341"/>
      <c r="E82" s="341"/>
      <c r="F82" s="72"/>
      <c r="L82" s="72"/>
      <c r="M82" s="125"/>
      <c r="N82" s="125"/>
      <c r="O82" s="125"/>
      <c r="P82" s="166"/>
      <c r="Q82" s="166"/>
      <c r="R82" s="166"/>
      <c r="S82" s="166"/>
      <c r="T82" s="166"/>
      <c r="U82" s="166"/>
      <c r="V82" s="72"/>
      <c r="W82" s="72"/>
      <c r="X82" s="72"/>
      <c r="CQ82" s="166"/>
      <c r="CR82" s="166"/>
      <c r="CS82" s="166"/>
      <c r="CT82" s="166"/>
      <c r="CU82" s="166"/>
      <c r="CV82" s="166"/>
      <c r="CW82" s="166"/>
      <c r="CX82" s="166"/>
      <c r="CY82" s="166"/>
      <c r="CZ82" s="166"/>
      <c r="EN82" s="342"/>
    </row>
    <row r="83" spans="1:144" ht="12.75" customHeight="1" x14ac:dyDescent="0.2">
      <c r="A83" s="72"/>
      <c r="B83" s="341"/>
      <c r="C83" s="341"/>
      <c r="D83" s="341"/>
      <c r="E83" s="341"/>
      <c r="F83" s="72"/>
      <c r="L83" s="72"/>
      <c r="M83" s="125"/>
      <c r="N83" s="125"/>
      <c r="O83" s="125"/>
      <c r="P83" s="166"/>
      <c r="Q83" s="166"/>
      <c r="R83" s="166"/>
      <c r="S83" s="166"/>
      <c r="T83" s="166"/>
      <c r="U83" s="166"/>
      <c r="V83" s="72"/>
      <c r="W83" s="72"/>
      <c r="X83" s="72"/>
      <c r="CQ83" s="166"/>
      <c r="CR83" s="166"/>
      <c r="CS83" s="166"/>
      <c r="CT83" s="166"/>
      <c r="CU83" s="166"/>
      <c r="CV83" s="166"/>
      <c r="CW83" s="166"/>
      <c r="CX83" s="166"/>
      <c r="CY83" s="166"/>
      <c r="CZ83" s="166"/>
      <c r="EN83" s="72"/>
    </row>
    <row r="84" spans="1:144" ht="12.75" customHeight="1" x14ac:dyDescent="0.2">
      <c r="A84" s="72"/>
      <c r="B84" s="341"/>
      <c r="C84" s="341"/>
      <c r="D84" s="341"/>
      <c r="E84" s="341"/>
      <c r="F84" s="72"/>
      <c r="L84" s="72"/>
      <c r="M84" s="125"/>
      <c r="N84" s="125"/>
      <c r="O84" s="125"/>
      <c r="P84" s="166"/>
      <c r="Q84" s="166"/>
      <c r="R84" s="166"/>
      <c r="S84" s="166"/>
      <c r="T84" s="166"/>
      <c r="U84" s="166"/>
      <c r="V84" s="72"/>
      <c r="W84" s="72"/>
      <c r="X84" s="72"/>
      <c r="CQ84" s="166"/>
      <c r="CR84" s="166"/>
      <c r="CS84" s="166"/>
      <c r="CT84" s="166"/>
      <c r="CU84" s="166"/>
      <c r="CV84" s="166"/>
      <c r="CW84" s="166"/>
      <c r="CX84" s="166"/>
      <c r="CY84" s="166"/>
      <c r="CZ84" s="166"/>
      <c r="EN84" s="72"/>
    </row>
    <row r="85" spans="1:144" ht="12.75" customHeight="1" x14ac:dyDescent="0.2">
      <c r="A85" s="72"/>
      <c r="B85" s="341"/>
      <c r="C85" s="341"/>
      <c r="D85" s="341"/>
      <c r="E85" s="341"/>
      <c r="F85" s="72"/>
      <c r="L85" s="72"/>
      <c r="M85" s="125"/>
      <c r="N85" s="125"/>
      <c r="O85" s="125"/>
      <c r="P85" s="166"/>
      <c r="Q85" s="166"/>
      <c r="R85" s="166"/>
      <c r="S85" s="166"/>
      <c r="T85" s="166"/>
      <c r="U85" s="166"/>
      <c r="V85" s="72"/>
      <c r="W85" s="72"/>
      <c r="X85" s="72"/>
      <c r="CQ85" s="166"/>
      <c r="CR85" s="166"/>
      <c r="CS85" s="166"/>
      <c r="CT85" s="166"/>
      <c r="CU85" s="166"/>
      <c r="CV85" s="166"/>
      <c r="CW85" s="166"/>
      <c r="CX85" s="166"/>
      <c r="CY85" s="166"/>
      <c r="CZ85" s="166"/>
      <c r="EN85" s="72"/>
    </row>
    <row r="86" spans="1:144" ht="12.75" customHeight="1" x14ac:dyDescent="0.2">
      <c r="A86" s="72"/>
      <c r="B86" s="341"/>
      <c r="C86" s="341"/>
      <c r="D86" s="341"/>
      <c r="E86" s="341"/>
      <c r="F86" s="72"/>
      <c r="L86" s="72"/>
      <c r="M86" s="125"/>
      <c r="N86" s="125"/>
      <c r="O86" s="125"/>
      <c r="P86" s="166"/>
      <c r="Q86" s="166"/>
      <c r="R86" s="166"/>
      <c r="S86" s="166"/>
      <c r="T86" s="166"/>
      <c r="U86" s="166"/>
      <c r="V86" s="72"/>
      <c r="W86" s="72"/>
      <c r="X86" s="72"/>
      <c r="CQ86" s="166"/>
      <c r="CR86" s="166"/>
      <c r="CS86" s="166"/>
      <c r="CT86" s="166"/>
      <c r="CU86" s="166"/>
      <c r="CV86" s="166"/>
      <c r="CW86" s="166"/>
      <c r="CX86" s="166"/>
      <c r="CY86" s="166"/>
      <c r="CZ86" s="166"/>
      <c r="EN86" s="72"/>
    </row>
    <row r="87" spans="1:144" ht="12.75" customHeight="1" x14ac:dyDescent="0.2">
      <c r="A87" s="72"/>
      <c r="B87" s="341"/>
      <c r="C87" s="341"/>
      <c r="D87" s="341"/>
      <c r="E87" s="341"/>
      <c r="F87" s="72"/>
      <c r="L87" s="72"/>
      <c r="M87" s="125"/>
      <c r="N87" s="125"/>
      <c r="O87" s="125"/>
      <c r="P87" s="166"/>
      <c r="Q87" s="166"/>
      <c r="R87" s="166"/>
      <c r="S87" s="166"/>
      <c r="T87" s="166"/>
      <c r="U87" s="166"/>
      <c r="V87" s="72"/>
      <c r="W87" s="72"/>
      <c r="X87" s="72"/>
      <c r="CQ87" s="166"/>
      <c r="CR87" s="166"/>
      <c r="CS87" s="166"/>
      <c r="CT87" s="166"/>
      <c r="CU87" s="166"/>
      <c r="CV87" s="166"/>
      <c r="CW87" s="166"/>
      <c r="CX87" s="166"/>
      <c r="CY87" s="166"/>
      <c r="CZ87" s="166"/>
      <c r="EN87" s="72"/>
    </row>
    <row r="88" spans="1:144" ht="12.75" customHeight="1" x14ac:dyDescent="0.2">
      <c r="A88" s="72"/>
      <c r="B88" s="341"/>
      <c r="C88" s="341"/>
      <c r="D88" s="341"/>
      <c r="E88" s="341"/>
      <c r="F88" s="72"/>
      <c r="L88" s="72"/>
      <c r="M88" s="72"/>
      <c r="N88" s="72"/>
      <c r="O88" s="72"/>
      <c r="P88" s="166"/>
      <c r="Q88" s="166"/>
      <c r="R88" s="166"/>
      <c r="S88" s="166"/>
      <c r="T88" s="166"/>
      <c r="U88" s="166"/>
      <c r="V88" s="72"/>
      <c r="W88" s="72"/>
      <c r="X88" s="72"/>
      <c r="CQ88" s="166"/>
      <c r="CR88" s="166"/>
      <c r="CS88" s="166"/>
      <c r="CT88" s="166"/>
      <c r="CU88" s="166"/>
      <c r="CV88" s="166"/>
      <c r="CW88" s="166"/>
      <c r="CX88" s="166"/>
      <c r="CY88" s="166"/>
      <c r="CZ88" s="166"/>
      <c r="EN88" s="72"/>
    </row>
    <row r="89" spans="1:144" ht="12.75" customHeight="1" x14ac:dyDescent="0.2">
      <c r="A89" s="72"/>
      <c r="B89" s="72"/>
      <c r="C89" s="72"/>
      <c r="D89" s="72"/>
      <c r="E89" s="72"/>
      <c r="F89" s="72"/>
      <c r="L89" s="72"/>
      <c r="M89" s="72"/>
      <c r="N89" s="72"/>
      <c r="O89" s="72"/>
      <c r="P89" s="166"/>
      <c r="Q89" s="166"/>
      <c r="R89" s="166"/>
      <c r="S89" s="166"/>
      <c r="T89" s="166"/>
      <c r="U89" s="166"/>
      <c r="V89" s="72"/>
      <c r="W89" s="72"/>
      <c r="X89" s="72"/>
      <c r="CQ89" s="166"/>
      <c r="CR89" s="166"/>
      <c r="CS89" s="166"/>
      <c r="CT89" s="166"/>
      <c r="CU89" s="166"/>
      <c r="CV89" s="166"/>
      <c r="CW89" s="166"/>
      <c r="CX89" s="166"/>
      <c r="CY89" s="166"/>
      <c r="CZ89" s="166"/>
      <c r="EN89" s="72"/>
    </row>
    <row r="90" spans="1:144" ht="12.75" customHeight="1" x14ac:dyDescent="0.2">
      <c r="A90" s="72"/>
      <c r="B90" s="72"/>
      <c r="C90" s="72"/>
      <c r="D90" s="72"/>
      <c r="E90" s="72"/>
      <c r="F90" s="72"/>
      <c r="L90" s="72"/>
      <c r="M90" s="72"/>
      <c r="N90" s="72"/>
      <c r="O90" s="72"/>
      <c r="P90" s="166"/>
      <c r="Q90" s="166"/>
      <c r="R90" s="166"/>
      <c r="S90" s="166"/>
      <c r="T90" s="166"/>
      <c r="U90" s="166"/>
      <c r="V90" s="72"/>
      <c r="W90" s="72"/>
      <c r="X90" s="72"/>
      <c r="CQ90" s="166"/>
      <c r="CR90" s="166"/>
      <c r="CS90" s="166"/>
      <c r="CT90" s="166"/>
      <c r="CU90" s="166"/>
      <c r="CV90" s="166"/>
      <c r="CW90" s="166"/>
      <c r="CX90" s="166"/>
      <c r="CY90" s="166"/>
      <c r="CZ90" s="166"/>
      <c r="EN90" s="72"/>
    </row>
    <row r="91" spans="1:144" ht="12.75" customHeight="1" x14ac:dyDescent="0.2">
      <c r="B91" s="72"/>
      <c r="C91" s="72"/>
      <c r="D91" s="72"/>
      <c r="E91" s="72"/>
      <c r="F91" s="72"/>
      <c r="L91" s="72"/>
      <c r="M91" s="72"/>
      <c r="N91" s="72"/>
      <c r="O91" s="72"/>
      <c r="P91" s="166"/>
      <c r="Q91" s="166"/>
      <c r="R91" s="166"/>
      <c r="S91" s="166"/>
      <c r="T91" s="166"/>
      <c r="U91" s="166"/>
      <c r="V91" s="72"/>
      <c r="W91" s="72"/>
      <c r="X91" s="72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EN91" s="72"/>
    </row>
    <row r="92" spans="1:144" ht="12.75" customHeight="1" x14ac:dyDescent="0.2">
      <c r="B92" s="72"/>
      <c r="C92" s="72"/>
      <c r="D92" s="72"/>
      <c r="E92" s="72"/>
      <c r="F92" s="72"/>
      <c r="L92" s="72"/>
      <c r="M92" s="72"/>
      <c r="N92" s="72"/>
      <c r="O92" s="72"/>
      <c r="P92" s="166"/>
      <c r="Q92" s="166"/>
      <c r="R92" s="166"/>
      <c r="S92" s="166"/>
      <c r="T92" s="166"/>
      <c r="U92" s="166"/>
      <c r="V92" s="72"/>
      <c r="W92" s="72"/>
      <c r="X92" s="72"/>
      <c r="CQ92" s="166"/>
      <c r="CR92" s="166"/>
      <c r="CS92" s="166"/>
      <c r="CT92" s="166"/>
      <c r="CU92" s="166"/>
      <c r="CV92" s="166"/>
      <c r="CW92" s="166"/>
      <c r="CX92" s="166"/>
      <c r="CY92" s="166"/>
      <c r="CZ92" s="166"/>
    </row>
    <row r="93" spans="1:144" ht="12.75" customHeight="1" x14ac:dyDescent="0.2">
      <c r="B93" s="72"/>
      <c r="C93" s="72"/>
      <c r="D93" s="72"/>
      <c r="E93" s="72"/>
      <c r="F93" s="72"/>
      <c r="L93" s="72"/>
      <c r="M93" s="72"/>
      <c r="N93" s="72"/>
      <c r="O93" s="72"/>
      <c r="P93" s="166"/>
      <c r="Q93" s="166"/>
      <c r="R93" s="166"/>
      <c r="S93" s="166"/>
      <c r="T93" s="166"/>
      <c r="U93" s="166"/>
      <c r="V93" s="72"/>
      <c r="W93" s="72"/>
      <c r="X93" s="72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</row>
    <row r="94" spans="1:144" ht="12.75" customHeight="1" x14ac:dyDescent="0.2">
      <c r="B94" s="72"/>
      <c r="C94" s="72"/>
      <c r="D94" s="72"/>
      <c r="E94" s="72"/>
      <c r="L94" s="72"/>
      <c r="M94" s="72"/>
      <c r="N94" s="72"/>
      <c r="O94" s="72"/>
      <c r="P94" s="166"/>
      <c r="Q94" s="166"/>
      <c r="R94" s="166"/>
      <c r="S94" s="166"/>
      <c r="T94" s="166"/>
      <c r="U94" s="166"/>
      <c r="V94" s="72"/>
      <c r="W94" s="72"/>
      <c r="X94" s="72"/>
      <c r="CQ94" s="166"/>
      <c r="CR94" s="166"/>
      <c r="CS94" s="166"/>
      <c r="CT94" s="166"/>
      <c r="CU94" s="166"/>
      <c r="CV94" s="166"/>
      <c r="CW94" s="166"/>
      <c r="CX94" s="166"/>
      <c r="CY94" s="166"/>
      <c r="CZ94" s="166"/>
    </row>
    <row r="95" spans="1:144" ht="12.75" customHeight="1" x14ac:dyDescent="0.2">
      <c r="B95" s="72"/>
      <c r="C95" s="72"/>
      <c r="D95" s="72"/>
      <c r="E95" s="72"/>
      <c r="L95" s="72"/>
      <c r="M95" s="72"/>
      <c r="N95" s="72"/>
      <c r="O95" s="72"/>
      <c r="P95" s="166"/>
      <c r="Q95" s="166"/>
      <c r="R95" s="166"/>
      <c r="S95" s="166"/>
      <c r="T95" s="166"/>
      <c r="U95" s="166"/>
      <c r="V95" s="72"/>
      <c r="W95" s="72"/>
      <c r="X95" s="72"/>
      <c r="CQ95" s="166"/>
      <c r="CR95" s="166"/>
      <c r="CS95" s="166"/>
      <c r="CT95" s="166"/>
      <c r="CU95" s="166"/>
      <c r="CV95" s="166"/>
      <c r="CW95" s="166"/>
      <c r="CX95" s="166"/>
      <c r="CY95" s="166"/>
      <c r="CZ95" s="166"/>
    </row>
    <row r="96" spans="1:144" ht="12.75" customHeight="1" x14ac:dyDescent="0.2">
      <c r="B96" s="72"/>
      <c r="C96" s="72"/>
      <c r="D96" s="72"/>
      <c r="E96" s="72"/>
      <c r="L96" s="72"/>
      <c r="M96" s="72"/>
      <c r="N96" s="72"/>
      <c r="O96" s="72"/>
      <c r="P96" s="166"/>
      <c r="Q96" s="166"/>
      <c r="R96" s="166"/>
      <c r="S96" s="166"/>
      <c r="T96" s="166"/>
      <c r="U96" s="166"/>
      <c r="V96" s="72"/>
      <c r="W96" s="72"/>
      <c r="X96" s="72"/>
      <c r="CQ96" s="166"/>
      <c r="CR96" s="166"/>
      <c r="CS96" s="166"/>
      <c r="CT96" s="166"/>
      <c r="CU96" s="166"/>
      <c r="CV96" s="166"/>
      <c r="CW96" s="166"/>
      <c r="CX96" s="166"/>
      <c r="CY96" s="166"/>
      <c r="CZ96" s="166"/>
    </row>
    <row r="97" spans="2:104" ht="12.75" customHeight="1" x14ac:dyDescent="0.2">
      <c r="B97" s="72"/>
      <c r="C97" s="72"/>
      <c r="D97" s="72"/>
      <c r="E97" s="72"/>
      <c r="L97" s="72"/>
      <c r="M97" s="72"/>
      <c r="N97" s="72"/>
      <c r="O97" s="72"/>
      <c r="P97" s="166"/>
      <c r="Q97" s="166"/>
      <c r="R97" s="166"/>
      <c r="S97" s="166"/>
      <c r="T97" s="166"/>
      <c r="U97" s="166"/>
      <c r="V97" s="72"/>
      <c r="W97" s="72"/>
      <c r="X97" s="72"/>
      <c r="CQ97" s="166"/>
      <c r="CR97" s="166"/>
      <c r="CS97" s="166"/>
      <c r="CT97" s="166"/>
      <c r="CU97" s="166"/>
      <c r="CV97" s="166"/>
      <c r="CW97" s="166"/>
      <c r="CX97" s="166"/>
      <c r="CY97" s="166"/>
      <c r="CZ97" s="166"/>
    </row>
    <row r="98" spans="2:104" ht="12.75" customHeight="1" x14ac:dyDescent="0.2">
      <c r="B98" s="72"/>
      <c r="C98" s="72"/>
      <c r="D98" s="72"/>
      <c r="E98" s="72"/>
      <c r="L98" s="72"/>
      <c r="M98" s="72"/>
      <c r="N98" s="72"/>
      <c r="O98" s="72"/>
      <c r="P98" s="166"/>
      <c r="Q98" s="166"/>
      <c r="R98" s="166"/>
      <c r="S98" s="166"/>
      <c r="T98" s="166"/>
      <c r="U98" s="166"/>
      <c r="V98" s="72"/>
      <c r="W98" s="72"/>
      <c r="X98" s="72"/>
      <c r="CQ98" s="166"/>
      <c r="CR98" s="166"/>
      <c r="CS98" s="166"/>
      <c r="CT98" s="166"/>
      <c r="CU98" s="166"/>
      <c r="CV98" s="166"/>
      <c r="CW98" s="166"/>
      <c r="CX98" s="166"/>
      <c r="CY98" s="166"/>
      <c r="CZ98" s="166"/>
    </row>
    <row r="99" spans="2:104" ht="12.75" customHeight="1" x14ac:dyDescent="0.2">
      <c r="B99" s="72"/>
      <c r="C99" s="72"/>
      <c r="D99" s="72"/>
      <c r="E99" s="72"/>
      <c r="L99" s="72"/>
      <c r="M99" s="72"/>
      <c r="N99" s="72"/>
      <c r="O99" s="72"/>
      <c r="P99" s="166"/>
      <c r="Q99" s="166"/>
      <c r="R99" s="166"/>
      <c r="S99" s="166"/>
      <c r="T99" s="166"/>
      <c r="U99" s="166"/>
      <c r="V99" s="72"/>
      <c r="W99" s="72"/>
      <c r="X99" s="72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</row>
    <row r="100" spans="2:104" ht="12.75" customHeight="1" x14ac:dyDescent="0.2">
      <c r="B100" s="72"/>
      <c r="C100" s="72"/>
      <c r="D100" s="72"/>
      <c r="E100" s="72"/>
      <c r="L100" s="72"/>
      <c r="M100" s="72"/>
      <c r="N100" s="72"/>
      <c r="O100" s="72"/>
      <c r="P100" s="166"/>
      <c r="Q100" s="166"/>
      <c r="R100" s="166"/>
      <c r="S100" s="166"/>
      <c r="T100" s="166"/>
      <c r="U100" s="166"/>
      <c r="V100" s="72"/>
      <c r="W100" s="72"/>
      <c r="X100" s="72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</row>
    <row r="101" spans="2:104" ht="12.75" customHeight="1" x14ac:dyDescent="0.2">
      <c r="B101" s="72"/>
      <c r="C101" s="72"/>
      <c r="D101" s="72"/>
      <c r="E101" s="72"/>
      <c r="L101" s="72"/>
      <c r="M101" s="72"/>
      <c r="N101" s="72"/>
      <c r="O101" s="72"/>
      <c r="P101" s="166"/>
      <c r="Q101" s="166"/>
      <c r="R101" s="166"/>
      <c r="S101" s="166"/>
      <c r="T101" s="166"/>
      <c r="U101" s="166"/>
      <c r="V101" s="72"/>
      <c r="W101" s="72"/>
      <c r="X101" s="72"/>
      <c r="CQ101" s="166"/>
      <c r="CR101" s="166"/>
      <c r="CS101" s="166"/>
      <c r="CT101" s="166"/>
      <c r="CU101" s="166"/>
      <c r="CV101" s="166"/>
      <c r="CW101" s="166"/>
      <c r="CX101" s="166"/>
      <c r="CY101" s="166"/>
      <c r="CZ101" s="166"/>
    </row>
    <row r="102" spans="2:104" ht="12.75" customHeight="1" x14ac:dyDescent="0.2">
      <c r="B102" s="72"/>
      <c r="C102" s="72"/>
      <c r="D102" s="72"/>
      <c r="E102" s="72"/>
      <c r="L102" s="72"/>
      <c r="M102" s="72"/>
      <c r="N102" s="72"/>
      <c r="O102" s="72"/>
      <c r="P102" s="166"/>
      <c r="Q102" s="166"/>
      <c r="R102" s="166"/>
      <c r="S102" s="166"/>
      <c r="T102" s="166"/>
      <c r="U102" s="166"/>
      <c r="V102" s="72"/>
      <c r="W102" s="72"/>
      <c r="X102" s="72"/>
      <c r="CQ102" s="166"/>
      <c r="CR102" s="166"/>
      <c r="CS102" s="166"/>
      <c r="CT102" s="166"/>
      <c r="CU102" s="166"/>
      <c r="CV102" s="166"/>
      <c r="CW102" s="166"/>
      <c r="CX102" s="166"/>
      <c r="CY102" s="166"/>
      <c r="CZ102" s="166"/>
    </row>
    <row r="103" spans="2:104" ht="12.75" customHeight="1" x14ac:dyDescent="0.2">
      <c r="B103" s="72"/>
      <c r="C103" s="72"/>
      <c r="D103" s="72"/>
      <c r="E103" s="72"/>
      <c r="L103" s="72"/>
      <c r="M103" s="72"/>
      <c r="N103" s="72"/>
      <c r="O103" s="72"/>
      <c r="P103" s="166"/>
      <c r="Q103" s="166"/>
      <c r="R103" s="166"/>
      <c r="S103" s="166"/>
      <c r="T103" s="166"/>
      <c r="U103" s="166"/>
      <c r="V103" s="72"/>
      <c r="W103" s="72"/>
      <c r="X103" s="72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</row>
    <row r="104" spans="2:104" ht="12.75" customHeight="1" x14ac:dyDescent="0.2">
      <c r="B104" s="72"/>
      <c r="C104" s="72"/>
      <c r="D104" s="72"/>
      <c r="E104" s="72"/>
      <c r="L104" s="72"/>
      <c r="M104" s="72"/>
      <c r="N104" s="72"/>
      <c r="O104" s="72"/>
      <c r="P104" s="166"/>
      <c r="Q104" s="166"/>
      <c r="R104" s="166"/>
      <c r="S104" s="166"/>
      <c r="T104" s="166"/>
      <c r="U104" s="166"/>
      <c r="V104" s="72"/>
      <c r="W104" s="72"/>
      <c r="X104" s="72"/>
      <c r="CQ104" s="166"/>
      <c r="CR104" s="166"/>
      <c r="CS104" s="166"/>
      <c r="CT104" s="166"/>
      <c r="CU104" s="166"/>
      <c r="CV104" s="166"/>
      <c r="CW104" s="166"/>
      <c r="CX104" s="166"/>
      <c r="CY104" s="166"/>
      <c r="CZ104" s="166"/>
    </row>
    <row r="105" spans="2:104" ht="12.75" customHeight="1" x14ac:dyDescent="0.2">
      <c r="B105" s="72"/>
      <c r="C105" s="72"/>
      <c r="D105" s="72"/>
      <c r="E105" s="72"/>
      <c r="L105" s="72"/>
      <c r="M105" s="72"/>
      <c r="N105" s="72"/>
      <c r="O105" s="72"/>
      <c r="P105" s="166"/>
      <c r="Q105" s="166"/>
      <c r="R105" s="166"/>
      <c r="S105" s="166"/>
      <c r="T105" s="166"/>
      <c r="U105" s="166"/>
      <c r="V105" s="72"/>
      <c r="W105" s="72"/>
      <c r="X105" s="72"/>
      <c r="CQ105" s="166"/>
      <c r="CR105" s="166"/>
      <c r="CS105" s="166"/>
      <c r="CT105" s="166"/>
      <c r="CU105" s="166"/>
      <c r="CV105" s="166"/>
      <c r="CW105" s="166"/>
      <c r="CX105" s="166"/>
      <c r="CY105" s="166"/>
      <c r="CZ105" s="166"/>
    </row>
    <row r="106" spans="2:104" ht="12.75" customHeight="1" x14ac:dyDescent="0.2">
      <c r="B106" s="72"/>
      <c r="C106" s="72"/>
      <c r="D106" s="72"/>
      <c r="E106" s="72"/>
      <c r="L106" s="72"/>
      <c r="M106" s="72"/>
      <c r="N106" s="72"/>
      <c r="O106" s="72"/>
      <c r="P106" s="166"/>
      <c r="Q106" s="166"/>
      <c r="R106" s="166"/>
      <c r="S106" s="166"/>
      <c r="T106" s="166"/>
      <c r="U106" s="166"/>
      <c r="V106" s="72"/>
      <c r="W106" s="72"/>
      <c r="X106" s="72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</row>
    <row r="107" spans="2:104" ht="12.75" customHeight="1" x14ac:dyDescent="0.2">
      <c r="B107" s="72"/>
      <c r="C107" s="72"/>
      <c r="D107" s="72"/>
      <c r="E107" s="72"/>
      <c r="L107" s="72"/>
      <c r="M107" s="72"/>
      <c r="N107" s="72"/>
      <c r="O107" s="72"/>
      <c r="P107" s="166"/>
      <c r="Q107" s="166"/>
      <c r="R107" s="166"/>
      <c r="S107" s="166"/>
      <c r="T107" s="166"/>
      <c r="U107" s="166"/>
      <c r="V107" s="72"/>
      <c r="W107" s="72"/>
      <c r="X107" s="72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</row>
    <row r="108" spans="2:104" ht="12.75" customHeight="1" x14ac:dyDescent="0.2">
      <c r="B108" s="72"/>
      <c r="C108" s="72"/>
      <c r="D108" s="72"/>
      <c r="E108" s="72"/>
      <c r="G108" s="72"/>
      <c r="H108" s="72"/>
      <c r="I108" s="72"/>
      <c r="J108" s="72"/>
      <c r="K108" s="72"/>
      <c r="L108" s="72"/>
      <c r="M108" s="72"/>
      <c r="N108" s="72"/>
      <c r="O108" s="72"/>
      <c r="P108" s="166"/>
      <c r="Q108" s="166"/>
      <c r="R108" s="166"/>
      <c r="S108" s="166"/>
      <c r="T108" s="166"/>
      <c r="U108" s="166"/>
      <c r="V108" s="72"/>
      <c r="W108" s="72"/>
      <c r="X108" s="72"/>
      <c r="CQ108" s="166"/>
      <c r="CR108" s="166"/>
      <c r="CS108" s="166"/>
      <c r="CT108" s="166"/>
      <c r="CU108" s="166"/>
      <c r="CV108" s="166"/>
      <c r="CW108" s="166"/>
      <c r="CX108" s="166"/>
      <c r="CY108" s="166"/>
      <c r="CZ108" s="166"/>
    </row>
    <row r="109" spans="2:104" ht="12.75" customHeight="1" x14ac:dyDescent="0.2">
      <c r="B109" s="72"/>
      <c r="C109" s="72"/>
      <c r="D109" s="72"/>
      <c r="E109" s="72"/>
      <c r="G109" s="72"/>
      <c r="H109" s="72"/>
      <c r="I109" s="72"/>
      <c r="J109" s="72"/>
      <c r="K109" s="72"/>
      <c r="L109" s="72"/>
      <c r="M109" s="72"/>
      <c r="N109" s="72"/>
      <c r="O109" s="72"/>
      <c r="P109" s="166"/>
      <c r="Q109" s="166"/>
      <c r="R109" s="166"/>
      <c r="S109" s="166"/>
      <c r="T109" s="166"/>
      <c r="U109" s="166"/>
      <c r="V109" s="72"/>
      <c r="W109" s="72"/>
      <c r="X109" s="72"/>
      <c r="CQ109" s="166"/>
      <c r="CR109" s="166"/>
      <c r="CS109" s="166"/>
      <c r="CT109" s="166"/>
      <c r="CU109" s="166"/>
      <c r="CV109" s="166"/>
      <c r="CW109" s="166"/>
      <c r="CX109" s="166"/>
      <c r="CY109" s="166"/>
      <c r="CZ109" s="166"/>
    </row>
    <row r="110" spans="2:104" ht="12.75" customHeight="1" x14ac:dyDescent="0.2">
      <c r="B110" s="72"/>
      <c r="C110" s="72"/>
      <c r="D110" s="72"/>
      <c r="E110" s="72"/>
      <c r="G110" s="72"/>
      <c r="H110" s="72"/>
      <c r="I110" s="72"/>
      <c r="J110" s="72"/>
      <c r="K110" s="72"/>
      <c r="L110" s="72"/>
      <c r="M110" s="72"/>
      <c r="N110" s="72"/>
      <c r="O110" s="72"/>
      <c r="P110" s="166"/>
      <c r="Q110" s="166"/>
      <c r="R110" s="166"/>
      <c r="S110" s="166"/>
      <c r="T110" s="166"/>
      <c r="U110" s="166"/>
      <c r="V110" s="72"/>
      <c r="W110" s="72"/>
      <c r="X110" s="72"/>
      <c r="CQ110" s="166"/>
      <c r="CR110" s="166"/>
      <c r="CS110" s="166"/>
      <c r="CT110" s="166"/>
      <c r="CU110" s="166"/>
      <c r="CV110" s="166"/>
      <c r="CW110" s="166"/>
      <c r="CX110" s="166"/>
      <c r="CY110" s="166"/>
      <c r="CZ110" s="166"/>
    </row>
    <row r="111" spans="2:104" ht="12.75" customHeight="1" x14ac:dyDescent="0.2">
      <c r="B111" s="72"/>
      <c r="C111" s="72"/>
      <c r="D111" s="72"/>
      <c r="E111" s="72"/>
      <c r="G111" s="72"/>
      <c r="H111" s="72"/>
      <c r="I111" s="72"/>
      <c r="J111" s="72"/>
      <c r="K111" s="72"/>
      <c r="L111" s="72"/>
      <c r="M111" s="72"/>
      <c r="N111" s="72"/>
      <c r="O111" s="72"/>
      <c r="P111" s="166"/>
      <c r="Q111" s="166"/>
      <c r="R111" s="166"/>
      <c r="S111" s="166"/>
      <c r="T111" s="166"/>
      <c r="U111" s="166"/>
      <c r="V111" s="72"/>
      <c r="W111" s="72"/>
      <c r="X111" s="72"/>
      <c r="CQ111" s="166"/>
      <c r="CR111" s="166"/>
      <c r="CS111" s="166"/>
      <c r="CT111" s="166"/>
      <c r="CU111" s="166"/>
      <c r="CV111" s="166"/>
      <c r="CW111" s="166"/>
      <c r="CX111" s="166"/>
      <c r="CY111" s="166"/>
      <c r="CZ111" s="166"/>
    </row>
    <row r="112" spans="2:104" ht="12.75" customHeight="1" x14ac:dyDescent="0.2">
      <c r="B112" s="72"/>
      <c r="C112" s="72"/>
      <c r="D112" s="72"/>
      <c r="E112" s="72"/>
      <c r="G112" s="72"/>
      <c r="H112" s="72"/>
      <c r="I112" s="72"/>
      <c r="J112" s="72"/>
      <c r="K112" s="72"/>
      <c r="L112" s="72"/>
      <c r="M112" s="72"/>
      <c r="N112" s="72"/>
      <c r="O112" s="72"/>
      <c r="P112" s="166"/>
      <c r="Q112" s="166"/>
      <c r="R112" s="166"/>
      <c r="S112" s="166"/>
      <c r="T112" s="166"/>
      <c r="U112" s="166"/>
      <c r="V112" s="72"/>
      <c r="W112" s="72"/>
      <c r="X112" s="72"/>
      <c r="CQ112" s="166"/>
      <c r="CR112" s="166"/>
      <c r="CS112" s="166"/>
      <c r="CT112" s="166"/>
      <c r="CU112" s="166"/>
      <c r="CV112" s="166"/>
      <c r="CW112" s="166"/>
      <c r="CX112" s="166"/>
      <c r="CY112" s="166"/>
      <c r="CZ112" s="166"/>
    </row>
    <row r="113" spans="2:104" ht="12.75" customHeight="1" x14ac:dyDescent="0.2">
      <c r="B113" s="72"/>
      <c r="C113" s="72"/>
      <c r="D113" s="72"/>
      <c r="E113" s="72"/>
      <c r="G113" s="72"/>
      <c r="H113" s="72"/>
      <c r="I113" s="72"/>
      <c r="J113" s="72"/>
      <c r="K113" s="72"/>
      <c r="L113" s="72"/>
      <c r="M113" s="72"/>
      <c r="N113" s="72"/>
      <c r="O113" s="72"/>
      <c r="P113" s="166"/>
      <c r="Q113" s="166"/>
      <c r="R113" s="166"/>
      <c r="S113" s="166"/>
      <c r="T113" s="166"/>
      <c r="U113" s="166"/>
      <c r="V113" s="72"/>
      <c r="W113" s="72"/>
      <c r="X113" s="72"/>
      <c r="CQ113" s="166"/>
      <c r="CR113" s="166"/>
      <c r="CS113" s="166"/>
      <c r="CT113" s="166"/>
      <c r="CU113" s="166"/>
      <c r="CV113" s="166"/>
      <c r="CW113" s="166"/>
      <c r="CX113" s="166"/>
      <c r="CY113" s="166"/>
      <c r="CZ113" s="166"/>
    </row>
    <row r="114" spans="2:104" ht="12.75" customHeight="1" x14ac:dyDescent="0.2">
      <c r="B114" s="72"/>
      <c r="C114" s="72"/>
      <c r="D114" s="72"/>
      <c r="E114" s="72"/>
      <c r="G114" s="72"/>
      <c r="H114" s="72"/>
      <c r="I114" s="72"/>
      <c r="J114" s="72"/>
      <c r="K114" s="72"/>
      <c r="L114" s="72"/>
      <c r="M114" s="72"/>
      <c r="N114" s="72"/>
      <c r="O114" s="72"/>
      <c r="P114" s="166"/>
      <c r="Q114" s="166"/>
      <c r="R114" s="166"/>
      <c r="S114" s="166"/>
      <c r="T114" s="166"/>
      <c r="U114" s="166"/>
      <c r="V114" s="72"/>
      <c r="W114" s="72"/>
      <c r="X114" s="72"/>
      <c r="CQ114" s="166"/>
      <c r="CR114" s="166"/>
      <c r="CS114" s="166"/>
      <c r="CT114" s="166"/>
      <c r="CU114" s="166"/>
      <c r="CV114" s="166"/>
      <c r="CW114" s="166"/>
      <c r="CX114" s="166"/>
      <c r="CY114" s="166"/>
      <c r="CZ114" s="166"/>
    </row>
    <row r="115" spans="2:104" ht="12.75" customHeight="1" x14ac:dyDescent="0.2">
      <c r="B115" s="72"/>
      <c r="C115" s="72"/>
      <c r="D115" s="72"/>
      <c r="E115" s="72"/>
      <c r="G115" s="72"/>
      <c r="H115" s="72"/>
      <c r="I115" s="72"/>
      <c r="J115" s="72"/>
      <c r="K115" s="72"/>
      <c r="L115" s="72"/>
      <c r="M115" s="72"/>
      <c r="N115" s="72"/>
      <c r="O115" s="72"/>
      <c r="P115" s="166"/>
      <c r="Q115" s="166"/>
      <c r="R115" s="166"/>
      <c r="S115" s="166"/>
      <c r="T115" s="166"/>
      <c r="U115" s="166"/>
      <c r="V115" s="72"/>
      <c r="W115" s="72"/>
      <c r="X115" s="72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</row>
    <row r="116" spans="2:104" ht="12.75" customHeight="1" x14ac:dyDescent="0.2">
      <c r="B116" s="72"/>
      <c r="C116" s="72"/>
      <c r="D116" s="72"/>
      <c r="E116" s="72"/>
      <c r="G116" s="72"/>
      <c r="H116" s="72"/>
      <c r="I116" s="72"/>
      <c r="J116" s="72"/>
      <c r="K116" s="72"/>
      <c r="L116" s="72"/>
      <c r="M116" s="72"/>
      <c r="N116" s="72"/>
      <c r="O116" s="72"/>
      <c r="P116" s="166"/>
      <c r="Q116" s="166"/>
      <c r="R116" s="166"/>
      <c r="S116" s="166"/>
      <c r="T116" s="166"/>
      <c r="U116" s="166"/>
      <c r="V116" s="72"/>
      <c r="W116" s="72"/>
      <c r="X116" s="72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</row>
    <row r="117" spans="2:104" ht="12.75" customHeight="1" x14ac:dyDescent="0.2">
      <c r="B117" s="72"/>
      <c r="C117" s="72"/>
      <c r="D117" s="72"/>
      <c r="E117" s="72"/>
      <c r="L117" s="72"/>
      <c r="M117" s="72"/>
      <c r="N117" s="72"/>
      <c r="O117" s="72"/>
      <c r="P117" s="166"/>
      <c r="Q117" s="166"/>
      <c r="R117" s="166"/>
      <c r="S117" s="166"/>
      <c r="T117" s="166"/>
      <c r="U117" s="166"/>
      <c r="V117" s="72"/>
      <c r="W117" s="72"/>
      <c r="X117" s="72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</row>
    <row r="118" spans="2:104" ht="12.75" customHeight="1" x14ac:dyDescent="0.2">
      <c r="B118" s="72"/>
      <c r="C118" s="72"/>
      <c r="D118" s="72"/>
      <c r="E118" s="72"/>
      <c r="L118" s="72"/>
      <c r="M118" s="72"/>
      <c r="N118" s="72"/>
      <c r="O118" s="72"/>
      <c r="P118" s="166"/>
      <c r="Q118" s="166"/>
      <c r="R118" s="166"/>
      <c r="S118" s="166"/>
      <c r="T118" s="166"/>
      <c r="U118" s="166"/>
      <c r="V118" s="72"/>
      <c r="W118" s="72"/>
      <c r="X118" s="72"/>
      <c r="CQ118" s="166"/>
      <c r="CR118" s="166"/>
      <c r="CS118" s="166"/>
      <c r="CT118" s="166"/>
      <c r="CU118" s="166"/>
      <c r="CV118" s="166"/>
      <c r="CW118" s="166"/>
      <c r="CX118" s="166"/>
      <c r="CY118" s="166"/>
      <c r="CZ118" s="166"/>
    </row>
    <row r="119" spans="2:104" ht="12.75" customHeight="1" x14ac:dyDescent="0.2">
      <c r="L119" s="72"/>
      <c r="M119" s="72"/>
      <c r="N119" s="72"/>
      <c r="O119" s="72"/>
      <c r="P119" s="166"/>
      <c r="Q119" s="166"/>
      <c r="R119" s="166"/>
      <c r="S119" s="166"/>
      <c r="T119" s="166"/>
      <c r="U119" s="166"/>
      <c r="V119" s="72"/>
      <c r="W119" s="72"/>
      <c r="X119" s="72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</row>
    <row r="120" spans="2:104" ht="12.75" customHeight="1" x14ac:dyDescent="0.2">
      <c r="L120" s="72"/>
      <c r="M120" s="72"/>
      <c r="N120" s="72"/>
      <c r="O120" s="72"/>
      <c r="P120" s="166"/>
      <c r="Q120" s="166"/>
      <c r="R120" s="166"/>
      <c r="S120" s="166"/>
      <c r="T120" s="166"/>
      <c r="U120" s="166"/>
      <c r="V120" s="72"/>
      <c r="W120" s="72"/>
      <c r="X120" s="72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</row>
    <row r="121" spans="2:104" ht="12.75" customHeight="1" x14ac:dyDescent="0.2">
      <c r="L121" s="72"/>
      <c r="M121" s="72"/>
      <c r="N121" s="72"/>
      <c r="O121" s="72"/>
      <c r="P121" s="166"/>
      <c r="Q121" s="166"/>
      <c r="R121" s="166"/>
      <c r="S121" s="166"/>
      <c r="T121" s="166"/>
      <c r="U121" s="166"/>
      <c r="V121" s="72"/>
      <c r="W121" s="72"/>
      <c r="X121" s="72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</row>
    <row r="122" spans="2:104" ht="12.75" customHeight="1" x14ac:dyDescent="0.2">
      <c r="L122" s="72"/>
      <c r="M122" s="72"/>
      <c r="N122" s="72"/>
      <c r="O122" s="72"/>
      <c r="P122" s="166"/>
      <c r="Q122" s="166"/>
      <c r="R122" s="166"/>
      <c r="S122" s="166"/>
      <c r="T122" s="166"/>
      <c r="U122" s="166"/>
      <c r="V122" s="72"/>
      <c r="W122" s="72"/>
      <c r="X122" s="72"/>
      <c r="CQ122" s="166"/>
      <c r="CR122" s="166"/>
      <c r="CS122" s="166"/>
      <c r="CT122" s="166"/>
      <c r="CU122" s="166"/>
      <c r="CV122" s="166"/>
      <c r="CW122" s="166"/>
      <c r="CX122" s="166"/>
      <c r="CY122" s="166"/>
      <c r="CZ122" s="166"/>
    </row>
    <row r="123" spans="2:104" ht="12.75" customHeight="1" x14ac:dyDescent="0.2">
      <c r="L123" s="72"/>
      <c r="M123" s="72"/>
      <c r="N123" s="72"/>
      <c r="O123" s="72"/>
      <c r="P123" s="166"/>
      <c r="Q123" s="166"/>
      <c r="R123" s="166"/>
      <c r="S123" s="166"/>
      <c r="T123" s="166"/>
      <c r="U123" s="166"/>
      <c r="V123" s="72"/>
      <c r="W123" s="72"/>
      <c r="X123" s="72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6"/>
    </row>
    <row r="124" spans="2:104" ht="12.75" customHeight="1" x14ac:dyDescent="0.2">
      <c r="L124" s="72"/>
      <c r="M124" s="72"/>
      <c r="N124" s="72"/>
      <c r="O124" s="72"/>
      <c r="P124" s="166"/>
      <c r="Q124" s="166"/>
      <c r="R124" s="166"/>
      <c r="S124" s="166"/>
      <c r="T124" s="166"/>
      <c r="U124" s="166"/>
      <c r="V124" s="72"/>
      <c r="W124" s="72"/>
      <c r="X124" s="72"/>
      <c r="CQ124" s="166"/>
      <c r="CR124" s="166"/>
      <c r="CS124" s="166"/>
      <c r="CT124" s="166"/>
      <c r="CU124" s="166"/>
      <c r="CV124" s="166"/>
      <c r="CW124" s="166"/>
      <c r="CX124" s="166"/>
      <c r="CY124" s="166"/>
      <c r="CZ124" s="166"/>
    </row>
    <row r="125" spans="2:104" ht="12.75" customHeight="1" x14ac:dyDescent="0.2">
      <c r="L125" s="72"/>
      <c r="M125" s="72"/>
      <c r="N125" s="72"/>
      <c r="O125" s="72"/>
      <c r="P125" s="166"/>
      <c r="Q125" s="166"/>
      <c r="R125" s="166"/>
      <c r="S125" s="166"/>
      <c r="T125" s="166"/>
      <c r="U125" s="166"/>
      <c r="V125" s="72"/>
      <c r="W125" s="72"/>
      <c r="X125" s="72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</row>
    <row r="126" spans="2:104" ht="12.75" customHeight="1" x14ac:dyDescent="0.2">
      <c r="L126" s="72"/>
      <c r="M126" s="72"/>
      <c r="N126" s="72"/>
      <c r="O126" s="72"/>
      <c r="P126" s="166"/>
      <c r="Q126" s="166"/>
      <c r="R126" s="166"/>
      <c r="S126" s="166"/>
      <c r="T126" s="166"/>
      <c r="U126" s="166"/>
      <c r="V126" s="72"/>
      <c r="W126" s="72"/>
      <c r="X126" s="72"/>
      <c r="CQ126" s="166"/>
      <c r="CR126" s="166"/>
      <c r="CS126" s="166"/>
      <c r="CT126" s="166"/>
      <c r="CU126" s="166"/>
      <c r="CV126" s="166"/>
      <c r="CW126" s="166"/>
      <c r="CX126" s="166"/>
      <c r="CY126" s="166"/>
      <c r="CZ126" s="166"/>
    </row>
    <row r="127" spans="2:104" ht="12.75" customHeight="1" x14ac:dyDescent="0.2">
      <c r="L127" s="72"/>
      <c r="M127" s="72"/>
      <c r="N127" s="72"/>
      <c r="O127" s="72"/>
      <c r="P127" s="166"/>
      <c r="Q127" s="166"/>
      <c r="R127" s="166"/>
      <c r="S127" s="166"/>
      <c r="T127" s="166"/>
      <c r="U127" s="166"/>
      <c r="V127" s="72"/>
      <c r="W127" s="72"/>
      <c r="X127" s="72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</row>
    <row r="128" spans="2:104" ht="12.75" customHeight="1" x14ac:dyDescent="0.2">
      <c r="L128" s="72"/>
      <c r="M128" s="72"/>
      <c r="N128" s="72"/>
      <c r="O128" s="72"/>
      <c r="P128" s="166"/>
      <c r="Q128" s="166"/>
      <c r="R128" s="166"/>
      <c r="S128" s="166"/>
      <c r="T128" s="166"/>
      <c r="U128" s="166"/>
      <c r="V128" s="72"/>
      <c r="W128" s="72"/>
      <c r="X128" s="72"/>
      <c r="CQ128" s="166"/>
      <c r="CR128" s="166"/>
      <c r="CS128" s="166"/>
      <c r="CT128" s="166"/>
      <c r="CU128" s="166"/>
      <c r="CV128" s="166"/>
      <c r="CW128" s="166"/>
      <c r="CX128" s="166"/>
      <c r="CY128" s="166"/>
      <c r="CZ128" s="166"/>
    </row>
    <row r="129" spans="1:104" ht="12.75" customHeight="1" x14ac:dyDescent="0.2">
      <c r="L129" s="72"/>
      <c r="M129" s="72"/>
      <c r="N129" s="72"/>
      <c r="O129" s="72"/>
      <c r="P129" s="166"/>
      <c r="Q129" s="166"/>
      <c r="R129" s="166"/>
      <c r="S129" s="166"/>
      <c r="T129" s="166"/>
      <c r="U129" s="166"/>
      <c r="V129" s="72"/>
      <c r="W129" s="72"/>
      <c r="X129" s="72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</row>
    <row r="130" spans="1:104" ht="12.75" customHeight="1" x14ac:dyDescent="0.2">
      <c r="L130" s="72"/>
      <c r="M130" s="72"/>
      <c r="N130" s="72"/>
      <c r="O130" s="72"/>
      <c r="P130" s="166"/>
      <c r="Q130" s="166"/>
      <c r="R130" s="166"/>
      <c r="S130" s="166"/>
      <c r="T130" s="166"/>
      <c r="U130" s="166"/>
      <c r="V130" s="72"/>
      <c r="W130" s="72"/>
      <c r="X130" s="72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</row>
    <row r="131" spans="1:104" ht="12.75" customHeight="1" x14ac:dyDescent="0.2">
      <c r="L131" s="72"/>
      <c r="M131" s="72"/>
      <c r="N131" s="72"/>
      <c r="O131" s="72"/>
      <c r="P131" s="166"/>
      <c r="Q131" s="166"/>
      <c r="R131" s="166"/>
      <c r="S131" s="166"/>
      <c r="T131" s="166"/>
      <c r="U131" s="166"/>
      <c r="V131" s="72"/>
      <c r="W131" s="72"/>
      <c r="X131" s="72"/>
      <c r="CQ131" s="166"/>
      <c r="CR131" s="166"/>
      <c r="CS131" s="166"/>
      <c r="CT131" s="166"/>
      <c r="CU131" s="166"/>
      <c r="CV131" s="166"/>
      <c r="CW131" s="166"/>
      <c r="CX131" s="166"/>
      <c r="CY131" s="166"/>
      <c r="CZ131" s="166"/>
    </row>
    <row r="132" spans="1:104" ht="12.75" customHeight="1" x14ac:dyDescent="0.2">
      <c r="L132" s="72"/>
      <c r="M132" s="72"/>
      <c r="N132" s="72"/>
      <c r="O132" s="72"/>
      <c r="P132" s="166"/>
      <c r="Q132" s="166"/>
      <c r="R132" s="166"/>
      <c r="S132" s="166"/>
      <c r="T132" s="166"/>
      <c r="U132" s="166"/>
      <c r="V132" s="72"/>
      <c r="W132" s="72"/>
      <c r="X132" s="72"/>
      <c r="CQ132" s="166"/>
      <c r="CR132" s="166"/>
      <c r="CS132" s="166"/>
      <c r="CT132" s="166"/>
      <c r="CU132" s="166"/>
      <c r="CV132" s="166"/>
      <c r="CW132" s="166"/>
      <c r="CX132" s="166"/>
      <c r="CY132" s="166"/>
      <c r="CZ132" s="166"/>
    </row>
    <row r="133" spans="1:104" ht="12.75" customHeight="1" x14ac:dyDescent="0.2">
      <c r="L133" s="72"/>
      <c r="M133" s="72"/>
      <c r="N133" s="72"/>
      <c r="O133" s="72"/>
      <c r="P133" s="166"/>
      <c r="Q133" s="166"/>
      <c r="R133" s="166"/>
      <c r="S133" s="166"/>
      <c r="T133" s="166"/>
      <c r="U133" s="166"/>
      <c r="V133" s="72"/>
      <c r="W133" s="72"/>
      <c r="X133" s="72"/>
      <c r="CQ133" s="166"/>
      <c r="CR133" s="166"/>
      <c r="CS133" s="166"/>
      <c r="CT133" s="166"/>
      <c r="CU133" s="166"/>
      <c r="CV133" s="166"/>
      <c r="CW133" s="166"/>
      <c r="CX133" s="166"/>
      <c r="CY133" s="166"/>
      <c r="CZ133" s="166"/>
    </row>
    <row r="134" spans="1:104" ht="12.75" customHeight="1" x14ac:dyDescent="0.2">
      <c r="A134" s="240"/>
      <c r="L134" s="72"/>
      <c r="M134" s="72"/>
      <c r="N134" s="72"/>
      <c r="O134" s="72"/>
      <c r="P134" s="166"/>
      <c r="Q134" s="166"/>
      <c r="R134" s="166"/>
      <c r="S134" s="166"/>
      <c r="T134" s="166"/>
      <c r="U134" s="166"/>
      <c r="V134" s="72"/>
      <c r="W134" s="72"/>
      <c r="X134" s="72"/>
      <c r="CQ134" s="166"/>
      <c r="CR134" s="166"/>
      <c r="CS134" s="166"/>
      <c r="CT134" s="166"/>
      <c r="CU134" s="166"/>
      <c r="CV134" s="166"/>
      <c r="CW134" s="166"/>
      <c r="CX134" s="166"/>
      <c r="CY134" s="166"/>
      <c r="CZ134" s="166"/>
    </row>
    <row r="135" spans="1:104" ht="12.75" customHeight="1" x14ac:dyDescent="0.2">
      <c r="A135" s="240"/>
      <c r="L135" s="72"/>
      <c r="M135" s="72"/>
      <c r="N135" s="72"/>
      <c r="O135" s="72"/>
      <c r="P135" s="166"/>
      <c r="Q135" s="166"/>
      <c r="R135" s="166"/>
      <c r="S135" s="166"/>
      <c r="T135" s="166"/>
      <c r="U135" s="166"/>
      <c r="V135" s="72"/>
      <c r="W135" s="72"/>
      <c r="X135" s="72"/>
      <c r="CQ135" s="166"/>
      <c r="CR135" s="166"/>
      <c r="CS135" s="166"/>
      <c r="CT135" s="166"/>
      <c r="CU135" s="166"/>
      <c r="CV135" s="166"/>
      <c r="CW135" s="166"/>
      <c r="CX135" s="166"/>
      <c r="CY135" s="166"/>
      <c r="CZ135" s="166"/>
    </row>
    <row r="136" spans="1:104" ht="12.75" customHeight="1" x14ac:dyDescent="0.2">
      <c r="A136" s="240"/>
      <c r="L136" s="72"/>
      <c r="M136" s="72"/>
      <c r="N136" s="72"/>
      <c r="O136" s="72"/>
      <c r="P136" s="166"/>
      <c r="Q136" s="166"/>
      <c r="R136" s="166"/>
      <c r="S136" s="166"/>
      <c r="T136" s="166"/>
      <c r="U136" s="166"/>
      <c r="V136" s="72"/>
      <c r="W136" s="72"/>
      <c r="X136" s="72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</row>
    <row r="137" spans="1:104" ht="12.75" customHeight="1" x14ac:dyDescent="0.2">
      <c r="A137" s="240"/>
      <c r="F137" s="240"/>
      <c r="L137" s="72"/>
      <c r="M137" s="72"/>
      <c r="N137" s="72"/>
      <c r="O137" s="72"/>
      <c r="P137" s="166"/>
      <c r="Q137" s="166"/>
      <c r="R137" s="166"/>
      <c r="S137" s="166"/>
      <c r="T137" s="166"/>
      <c r="U137" s="166"/>
      <c r="V137" s="72"/>
      <c r="W137" s="72"/>
      <c r="X137" s="72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</row>
    <row r="138" spans="1:104" ht="12.75" customHeight="1" x14ac:dyDescent="0.2">
      <c r="A138" s="68"/>
      <c r="F138" s="240"/>
      <c r="L138" s="72"/>
      <c r="M138" s="72"/>
      <c r="N138" s="72"/>
      <c r="O138" s="72"/>
      <c r="P138" s="166"/>
      <c r="Q138" s="166"/>
      <c r="R138" s="166"/>
      <c r="S138" s="166"/>
      <c r="T138" s="166"/>
      <c r="U138" s="166"/>
      <c r="V138" s="72"/>
      <c r="W138" s="72"/>
      <c r="X138" s="72"/>
      <c r="CQ138" s="166"/>
      <c r="CR138" s="166"/>
      <c r="CS138" s="166"/>
      <c r="CT138" s="166"/>
      <c r="CU138" s="166"/>
      <c r="CV138" s="166"/>
      <c r="CW138" s="166"/>
      <c r="CX138" s="166"/>
      <c r="CY138" s="166"/>
      <c r="CZ138" s="166"/>
    </row>
    <row r="139" spans="1:104" ht="12.75" customHeight="1" x14ac:dyDescent="0.2">
      <c r="A139" s="68"/>
      <c r="F139" s="240"/>
      <c r="L139" s="72"/>
      <c r="M139" s="72"/>
      <c r="N139" s="72"/>
      <c r="O139" s="72"/>
      <c r="P139" s="166"/>
      <c r="Q139" s="166"/>
      <c r="R139" s="166"/>
      <c r="S139" s="166"/>
      <c r="T139" s="166"/>
      <c r="U139" s="166"/>
      <c r="V139" s="72"/>
      <c r="W139" s="72"/>
      <c r="X139" s="72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</row>
    <row r="140" spans="1:104" ht="12.75" customHeight="1" x14ac:dyDescent="0.2">
      <c r="A140" s="110"/>
      <c r="F140" s="240"/>
      <c r="L140" s="72"/>
      <c r="M140" s="72"/>
      <c r="N140" s="72"/>
      <c r="O140" s="72"/>
      <c r="P140" s="166"/>
      <c r="Q140" s="166"/>
      <c r="R140" s="166"/>
      <c r="S140" s="166"/>
      <c r="T140" s="166"/>
      <c r="U140" s="166"/>
      <c r="V140" s="72"/>
      <c r="W140" s="72"/>
      <c r="X140" s="72"/>
      <c r="CQ140" s="166"/>
      <c r="CR140" s="166"/>
      <c r="CS140" s="166"/>
      <c r="CT140" s="166"/>
      <c r="CU140" s="166"/>
      <c r="CV140" s="166"/>
      <c r="CW140" s="166"/>
      <c r="CX140" s="166"/>
      <c r="CY140" s="166"/>
      <c r="CZ140" s="166"/>
    </row>
    <row r="141" spans="1:104" ht="12.75" customHeight="1" x14ac:dyDescent="0.2">
      <c r="A141" s="343"/>
      <c r="F141" s="68"/>
      <c r="L141" s="72"/>
      <c r="M141" s="72"/>
      <c r="N141" s="72"/>
      <c r="O141" s="72"/>
      <c r="P141" s="166"/>
      <c r="Q141" s="166"/>
      <c r="R141" s="166"/>
      <c r="S141" s="166"/>
      <c r="T141" s="166"/>
      <c r="U141" s="166"/>
      <c r="V141" s="72"/>
      <c r="W141" s="72"/>
      <c r="X141" s="72"/>
      <c r="CQ141" s="166"/>
      <c r="CR141" s="166"/>
      <c r="CS141" s="166"/>
      <c r="CT141" s="166"/>
      <c r="CU141" s="166"/>
      <c r="CV141" s="166"/>
      <c r="CW141" s="166"/>
      <c r="CX141" s="166"/>
      <c r="CY141" s="166"/>
      <c r="CZ141" s="166"/>
    </row>
    <row r="142" spans="1:104" ht="12.75" customHeight="1" x14ac:dyDescent="0.2">
      <c r="A142" s="343"/>
      <c r="F142" s="68"/>
      <c r="L142" s="72"/>
      <c r="M142" s="72"/>
      <c r="N142" s="72"/>
      <c r="O142" s="72"/>
      <c r="P142" s="166"/>
      <c r="Q142" s="166"/>
      <c r="R142" s="166"/>
      <c r="S142" s="166"/>
      <c r="T142" s="166"/>
      <c r="U142" s="166"/>
      <c r="V142" s="72"/>
      <c r="W142" s="72"/>
      <c r="X142" s="72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</row>
    <row r="143" spans="1:104" ht="12.75" customHeight="1" x14ac:dyDescent="0.2">
      <c r="A143" s="343"/>
      <c r="F143" s="110"/>
      <c r="L143" s="72"/>
      <c r="M143" s="72"/>
      <c r="N143" s="72"/>
      <c r="O143" s="72"/>
      <c r="P143" s="166"/>
      <c r="Q143" s="166"/>
      <c r="R143" s="166"/>
      <c r="S143" s="166"/>
      <c r="T143" s="166"/>
      <c r="U143" s="166"/>
      <c r="V143" s="72"/>
      <c r="W143" s="72"/>
      <c r="X143" s="72"/>
      <c r="CQ143" s="166"/>
      <c r="CR143" s="166"/>
      <c r="CS143" s="166"/>
      <c r="CT143" s="166"/>
      <c r="CU143" s="166"/>
      <c r="CV143" s="166"/>
      <c r="CW143" s="166"/>
      <c r="CX143" s="166"/>
      <c r="CY143" s="166"/>
      <c r="CZ143" s="166"/>
    </row>
    <row r="144" spans="1:104" ht="12.75" customHeight="1" x14ac:dyDescent="0.2">
      <c r="A144" s="343"/>
      <c r="F144" s="343"/>
      <c r="L144" s="72"/>
      <c r="M144" s="72"/>
      <c r="N144" s="72"/>
      <c r="O144" s="72"/>
      <c r="P144" s="166"/>
      <c r="Q144" s="166"/>
      <c r="R144" s="166"/>
      <c r="S144" s="166"/>
      <c r="T144" s="166"/>
      <c r="U144" s="166"/>
      <c r="V144" s="72"/>
      <c r="W144" s="72"/>
      <c r="X144" s="72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</row>
    <row r="145" spans="1:104" ht="12.75" customHeight="1" x14ac:dyDescent="0.2">
      <c r="A145" s="343"/>
      <c r="F145" s="343"/>
      <c r="L145" s="72"/>
      <c r="M145" s="72"/>
      <c r="N145" s="72"/>
      <c r="O145" s="72"/>
      <c r="P145" s="166"/>
      <c r="Q145" s="166"/>
      <c r="R145" s="166"/>
      <c r="S145" s="166"/>
      <c r="T145" s="166"/>
      <c r="U145" s="166"/>
      <c r="V145" s="72"/>
      <c r="W145" s="72"/>
      <c r="X145" s="72"/>
      <c r="CQ145" s="166"/>
      <c r="CR145" s="166"/>
      <c r="CS145" s="166"/>
      <c r="CT145" s="166"/>
      <c r="CU145" s="166"/>
      <c r="CV145" s="166"/>
      <c r="CW145" s="166"/>
      <c r="CX145" s="166"/>
      <c r="CY145" s="166"/>
      <c r="CZ145" s="166"/>
    </row>
    <row r="146" spans="1:104" ht="12.75" customHeight="1" x14ac:dyDescent="0.2">
      <c r="A146" s="343"/>
      <c r="F146" s="343"/>
      <c r="L146" s="72"/>
      <c r="M146" s="72"/>
      <c r="N146" s="72"/>
      <c r="O146" s="72"/>
      <c r="P146" s="166"/>
      <c r="Q146" s="166"/>
      <c r="R146" s="166"/>
      <c r="S146" s="166"/>
      <c r="T146" s="166"/>
      <c r="U146" s="166"/>
      <c r="V146" s="72"/>
      <c r="W146" s="72"/>
      <c r="X146" s="72"/>
      <c r="CQ146" s="166"/>
      <c r="CR146" s="166"/>
      <c r="CS146" s="166"/>
      <c r="CT146" s="166"/>
      <c r="CU146" s="166"/>
      <c r="CV146" s="166"/>
      <c r="CW146" s="166"/>
      <c r="CX146" s="166"/>
      <c r="CY146" s="166"/>
      <c r="CZ146" s="166"/>
    </row>
    <row r="147" spans="1:104" ht="12.75" customHeight="1" x14ac:dyDescent="0.2">
      <c r="A147" s="343"/>
      <c r="F147" s="343"/>
      <c r="L147" s="72"/>
      <c r="M147" s="72"/>
      <c r="N147" s="72"/>
      <c r="O147" s="72"/>
      <c r="P147" s="166"/>
      <c r="Q147" s="166"/>
      <c r="R147" s="166"/>
      <c r="S147" s="166"/>
      <c r="T147" s="166"/>
      <c r="U147" s="166"/>
      <c r="V147" s="72"/>
      <c r="W147" s="72"/>
      <c r="X147" s="72"/>
      <c r="CQ147" s="166"/>
      <c r="CR147" s="166"/>
      <c r="CS147" s="166"/>
      <c r="CT147" s="166"/>
      <c r="CU147" s="166"/>
      <c r="CV147" s="166"/>
      <c r="CW147" s="166"/>
      <c r="CX147" s="166"/>
      <c r="CY147" s="166"/>
      <c r="CZ147" s="166"/>
    </row>
    <row r="148" spans="1:104" ht="12.75" customHeight="1" x14ac:dyDescent="0.2">
      <c r="A148" s="343"/>
      <c r="F148" s="343"/>
      <c r="L148" s="72"/>
      <c r="M148" s="72"/>
      <c r="N148" s="72"/>
      <c r="O148" s="72"/>
      <c r="P148" s="166"/>
      <c r="Q148" s="166"/>
      <c r="R148" s="166"/>
      <c r="S148" s="166"/>
      <c r="T148" s="166"/>
      <c r="U148" s="166"/>
      <c r="V148" s="72"/>
      <c r="W148" s="72"/>
      <c r="X148" s="72"/>
      <c r="CQ148" s="166"/>
      <c r="CR148" s="166"/>
      <c r="CS148" s="166"/>
      <c r="CT148" s="166"/>
      <c r="CU148" s="166"/>
      <c r="CV148" s="166"/>
      <c r="CW148" s="166"/>
      <c r="CX148" s="166"/>
      <c r="CY148" s="166"/>
      <c r="CZ148" s="166"/>
    </row>
    <row r="149" spans="1:104" ht="12.75" customHeight="1" x14ac:dyDescent="0.2">
      <c r="A149" s="343"/>
      <c r="F149" s="343"/>
      <c r="L149" s="72"/>
      <c r="M149" s="72"/>
      <c r="N149" s="72"/>
      <c r="O149" s="72"/>
      <c r="P149" s="166"/>
      <c r="Q149" s="166"/>
      <c r="R149" s="166"/>
      <c r="S149" s="166"/>
      <c r="T149" s="166"/>
      <c r="U149" s="166"/>
      <c r="V149" s="72"/>
      <c r="W149" s="72"/>
      <c r="X149" s="72"/>
      <c r="CQ149" s="166"/>
      <c r="CR149" s="166"/>
      <c r="CS149" s="166"/>
      <c r="CT149" s="166"/>
      <c r="CU149" s="166"/>
      <c r="CV149" s="166"/>
      <c r="CW149" s="166"/>
      <c r="CX149" s="166"/>
      <c r="CY149" s="166"/>
      <c r="CZ149" s="166"/>
    </row>
    <row r="150" spans="1:104" ht="12.75" customHeight="1" x14ac:dyDescent="0.2">
      <c r="A150" s="343"/>
      <c r="F150" s="343"/>
      <c r="L150" s="72"/>
      <c r="M150" s="72"/>
      <c r="N150" s="72"/>
      <c r="O150" s="72"/>
      <c r="P150" s="166"/>
      <c r="Q150" s="166"/>
      <c r="R150" s="166"/>
      <c r="S150" s="166"/>
      <c r="T150" s="166"/>
      <c r="U150" s="166"/>
      <c r="V150" s="72"/>
      <c r="W150" s="72"/>
      <c r="X150" s="72"/>
      <c r="CQ150" s="166"/>
      <c r="CR150" s="166"/>
      <c r="CS150" s="166"/>
      <c r="CT150" s="166"/>
      <c r="CU150" s="166"/>
      <c r="CV150" s="166"/>
      <c r="CW150" s="166"/>
      <c r="CX150" s="166"/>
      <c r="CY150" s="166"/>
      <c r="CZ150" s="166"/>
    </row>
    <row r="151" spans="1:104" ht="12.75" customHeight="1" x14ac:dyDescent="0.2">
      <c r="A151" s="343"/>
      <c r="F151" s="343"/>
      <c r="L151" s="72"/>
      <c r="M151" s="72"/>
      <c r="N151" s="72"/>
      <c r="O151" s="72"/>
      <c r="P151" s="166"/>
      <c r="Q151" s="166"/>
      <c r="R151" s="166"/>
      <c r="S151" s="166"/>
      <c r="T151" s="166"/>
      <c r="U151" s="166"/>
      <c r="V151" s="72"/>
      <c r="W151" s="72"/>
      <c r="X151" s="72"/>
      <c r="CQ151" s="166"/>
      <c r="CR151" s="166"/>
      <c r="CS151" s="166"/>
      <c r="CT151" s="166"/>
      <c r="CU151" s="166"/>
      <c r="CV151" s="166"/>
      <c r="CW151" s="166"/>
      <c r="CX151" s="166"/>
      <c r="CY151" s="166"/>
      <c r="CZ151" s="166"/>
    </row>
    <row r="152" spans="1:104" ht="12.75" customHeight="1" x14ac:dyDescent="0.2">
      <c r="A152" s="343"/>
      <c r="F152" s="343"/>
      <c r="L152" s="72"/>
      <c r="M152" s="72"/>
      <c r="N152" s="72"/>
      <c r="O152" s="72"/>
      <c r="P152" s="166"/>
      <c r="Q152" s="166"/>
      <c r="R152" s="166"/>
      <c r="S152" s="166"/>
      <c r="T152" s="166"/>
      <c r="U152" s="166"/>
      <c r="V152" s="72"/>
      <c r="W152" s="72"/>
      <c r="X152" s="72"/>
      <c r="CQ152" s="166"/>
      <c r="CR152" s="166"/>
      <c r="CS152" s="166"/>
      <c r="CT152" s="166"/>
      <c r="CU152" s="166"/>
      <c r="CV152" s="166"/>
      <c r="CW152" s="166"/>
      <c r="CX152" s="166"/>
      <c r="CY152" s="166"/>
      <c r="CZ152" s="166"/>
    </row>
    <row r="153" spans="1:104" ht="12.75" customHeight="1" x14ac:dyDescent="0.2">
      <c r="A153" s="343"/>
      <c r="F153" s="343"/>
      <c r="L153" s="72"/>
      <c r="M153" s="72"/>
      <c r="N153" s="72"/>
      <c r="O153" s="72"/>
      <c r="P153" s="166"/>
      <c r="Q153" s="166"/>
      <c r="R153" s="166"/>
      <c r="S153" s="166"/>
      <c r="T153" s="166"/>
      <c r="U153" s="166"/>
      <c r="V153" s="72"/>
      <c r="W153" s="72"/>
      <c r="X153" s="72"/>
      <c r="CQ153" s="166"/>
      <c r="CR153" s="166"/>
      <c r="CS153" s="166"/>
      <c r="CT153" s="166"/>
      <c r="CU153" s="166"/>
      <c r="CV153" s="166"/>
      <c r="CW153" s="166"/>
      <c r="CX153" s="166"/>
      <c r="CY153" s="166"/>
      <c r="CZ153" s="166"/>
    </row>
    <row r="154" spans="1:104" ht="12.75" customHeight="1" x14ac:dyDescent="0.2">
      <c r="A154" s="110"/>
      <c r="F154" s="343"/>
      <c r="L154" s="72"/>
      <c r="M154" s="72"/>
      <c r="N154" s="72"/>
      <c r="O154" s="72"/>
      <c r="P154" s="166"/>
      <c r="Q154" s="166"/>
      <c r="R154" s="166"/>
      <c r="S154" s="166"/>
      <c r="T154" s="166"/>
      <c r="U154" s="166"/>
      <c r="V154" s="72"/>
      <c r="W154" s="72"/>
      <c r="X154" s="72"/>
      <c r="CQ154" s="166"/>
      <c r="CR154" s="166"/>
      <c r="CS154" s="166"/>
      <c r="CT154" s="166"/>
      <c r="CU154" s="166"/>
      <c r="CV154" s="166"/>
      <c r="CW154" s="166"/>
      <c r="CX154" s="166"/>
      <c r="CY154" s="166"/>
      <c r="CZ154" s="166"/>
    </row>
    <row r="155" spans="1:104" ht="12.75" customHeight="1" x14ac:dyDescent="0.2">
      <c r="A155" s="343"/>
      <c r="F155" s="343"/>
      <c r="L155" s="72"/>
      <c r="M155" s="72"/>
      <c r="N155" s="72"/>
      <c r="O155" s="72"/>
      <c r="P155" s="166"/>
      <c r="Q155" s="166"/>
      <c r="R155" s="166"/>
      <c r="S155" s="166"/>
      <c r="T155" s="166"/>
      <c r="U155" s="166"/>
      <c r="V155" s="72"/>
      <c r="W155" s="72"/>
      <c r="X155" s="72"/>
      <c r="CQ155" s="166"/>
      <c r="CR155" s="166"/>
      <c r="CS155" s="166"/>
      <c r="CT155" s="166"/>
      <c r="CU155" s="166"/>
      <c r="CV155" s="166"/>
      <c r="CW155" s="166"/>
      <c r="CX155" s="166"/>
      <c r="CY155" s="166"/>
      <c r="CZ155" s="166"/>
    </row>
    <row r="156" spans="1:104" ht="12.75" customHeight="1" x14ac:dyDescent="0.2">
      <c r="A156" s="343"/>
      <c r="F156" s="343"/>
      <c r="L156" s="72"/>
      <c r="M156" s="72"/>
      <c r="N156" s="72"/>
      <c r="O156" s="72"/>
      <c r="P156" s="166"/>
      <c r="Q156" s="166"/>
      <c r="R156" s="166"/>
      <c r="S156" s="166"/>
      <c r="T156" s="166"/>
      <c r="U156" s="166"/>
      <c r="V156" s="72"/>
      <c r="W156" s="72"/>
      <c r="X156" s="72"/>
      <c r="CQ156" s="166"/>
      <c r="CR156" s="166"/>
      <c r="CS156" s="166"/>
      <c r="CT156" s="166"/>
      <c r="CU156" s="166"/>
      <c r="CV156" s="166"/>
      <c r="CW156" s="166"/>
      <c r="CX156" s="166"/>
      <c r="CY156" s="166"/>
      <c r="CZ156" s="166"/>
    </row>
    <row r="157" spans="1:104" ht="12.75" customHeight="1" x14ac:dyDescent="0.2">
      <c r="A157" s="110"/>
      <c r="F157" s="110"/>
      <c r="L157" s="72"/>
      <c r="M157" s="72"/>
      <c r="N157" s="72"/>
      <c r="O157" s="72"/>
      <c r="P157" s="166"/>
      <c r="Q157" s="166"/>
      <c r="R157" s="166"/>
      <c r="S157" s="166"/>
      <c r="T157" s="166"/>
      <c r="U157" s="166"/>
      <c r="V157" s="72"/>
      <c r="W157" s="72"/>
      <c r="X157" s="72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</row>
    <row r="158" spans="1:104" ht="12.75" customHeight="1" x14ac:dyDescent="0.2">
      <c r="A158" s="110"/>
      <c r="F158" s="343"/>
      <c r="L158" s="72"/>
      <c r="M158" s="72"/>
      <c r="N158" s="72"/>
      <c r="O158" s="72"/>
      <c r="P158" s="166"/>
      <c r="Q158" s="166"/>
      <c r="R158" s="166"/>
      <c r="S158" s="166"/>
      <c r="T158" s="166"/>
      <c r="U158" s="166"/>
      <c r="V158" s="72"/>
      <c r="W158" s="72"/>
      <c r="X158" s="72"/>
      <c r="CQ158" s="166"/>
      <c r="CR158" s="166"/>
      <c r="CS158" s="166"/>
      <c r="CT158" s="166"/>
      <c r="CU158" s="166"/>
      <c r="CV158" s="166"/>
      <c r="CW158" s="166"/>
      <c r="CX158" s="166"/>
      <c r="CY158" s="166"/>
      <c r="CZ158" s="166"/>
    </row>
    <row r="159" spans="1:104" ht="12.75" customHeight="1" x14ac:dyDescent="0.2">
      <c r="A159" s="343"/>
      <c r="F159" s="343"/>
      <c r="L159" s="72"/>
      <c r="M159" s="72"/>
      <c r="N159" s="72"/>
      <c r="O159" s="72"/>
      <c r="P159" s="166"/>
      <c r="Q159" s="166"/>
      <c r="R159" s="166"/>
      <c r="S159" s="166"/>
      <c r="T159" s="166"/>
      <c r="U159" s="166"/>
      <c r="V159" s="72"/>
      <c r="W159" s="72"/>
      <c r="X159" s="72"/>
      <c r="CQ159" s="166"/>
      <c r="CR159" s="166"/>
      <c r="CS159" s="166"/>
      <c r="CT159" s="166"/>
      <c r="CU159" s="166"/>
      <c r="CV159" s="166"/>
      <c r="CW159" s="166"/>
      <c r="CX159" s="166"/>
      <c r="CY159" s="166"/>
      <c r="CZ159" s="166"/>
    </row>
    <row r="160" spans="1:104" ht="12.75" customHeight="1" x14ac:dyDescent="0.2">
      <c r="A160" s="343"/>
      <c r="F160" s="110"/>
      <c r="J160" s="240"/>
      <c r="K160" s="240"/>
      <c r="L160" s="72"/>
      <c r="M160" s="72"/>
      <c r="N160" s="72"/>
      <c r="O160" s="72"/>
      <c r="P160" s="166"/>
      <c r="Q160" s="166"/>
      <c r="R160" s="166"/>
      <c r="S160" s="166"/>
      <c r="T160" s="166"/>
      <c r="U160" s="166"/>
      <c r="V160" s="72"/>
      <c r="W160" s="72"/>
      <c r="X160" s="72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</row>
    <row r="161" spans="1:104" ht="12.75" customHeight="1" x14ac:dyDescent="0.2">
      <c r="A161" s="343"/>
      <c r="F161" s="110"/>
      <c r="J161" s="240"/>
      <c r="K161" s="240"/>
      <c r="L161" s="72"/>
      <c r="M161" s="72"/>
      <c r="N161" s="72"/>
      <c r="O161" s="72"/>
      <c r="P161" s="166"/>
      <c r="Q161" s="166"/>
      <c r="R161" s="166"/>
      <c r="S161" s="166"/>
      <c r="T161" s="166"/>
      <c r="U161" s="166"/>
      <c r="V161" s="72"/>
      <c r="W161" s="72"/>
      <c r="X161" s="72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</row>
    <row r="162" spans="1:104" ht="12.75" customHeight="1" x14ac:dyDescent="0.2">
      <c r="A162" s="343"/>
      <c r="B162" s="240"/>
      <c r="C162" s="240"/>
      <c r="D162" s="240"/>
      <c r="E162" s="240"/>
      <c r="F162" s="343"/>
      <c r="J162" s="240"/>
      <c r="K162" s="240"/>
      <c r="L162" s="72"/>
      <c r="M162" s="72"/>
      <c r="N162" s="72"/>
      <c r="O162" s="72"/>
      <c r="P162" s="166"/>
      <c r="Q162" s="166"/>
      <c r="R162" s="166"/>
      <c r="S162" s="166"/>
      <c r="T162" s="166"/>
      <c r="U162" s="166"/>
      <c r="V162" s="72"/>
      <c r="W162" s="72"/>
      <c r="X162" s="72"/>
      <c r="CQ162" s="166"/>
      <c r="CR162" s="166"/>
      <c r="CS162" s="166"/>
      <c r="CT162" s="166"/>
      <c r="CU162" s="166"/>
      <c r="CV162" s="166"/>
      <c r="CW162" s="166"/>
      <c r="CX162" s="166"/>
      <c r="CY162" s="166"/>
      <c r="CZ162" s="166"/>
    </row>
    <row r="163" spans="1:104" ht="12.75" customHeight="1" x14ac:dyDescent="0.2">
      <c r="A163" s="343"/>
      <c r="B163" s="240"/>
      <c r="C163" s="240"/>
      <c r="D163" s="240"/>
      <c r="E163" s="240"/>
      <c r="F163" s="343"/>
      <c r="J163" s="240"/>
      <c r="K163" s="240"/>
      <c r="L163" s="72"/>
      <c r="M163" s="72"/>
      <c r="N163" s="72"/>
      <c r="O163" s="72"/>
      <c r="P163" s="166"/>
      <c r="Q163" s="166"/>
      <c r="R163" s="166"/>
      <c r="S163" s="166"/>
      <c r="T163" s="166"/>
      <c r="U163" s="166"/>
      <c r="V163" s="72"/>
      <c r="W163" s="72"/>
      <c r="X163" s="72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</row>
    <row r="164" spans="1:104" ht="12.75" customHeight="1" x14ac:dyDescent="0.2">
      <c r="A164" s="343"/>
      <c r="B164" s="240"/>
      <c r="C164" s="240"/>
      <c r="D164" s="240"/>
      <c r="E164" s="240"/>
      <c r="F164" s="343"/>
      <c r="G164" s="240"/>
      <c r="H164" s="240"/>
      <c r="I164" s="240"/>
      <c r="J164" s="240"/>
      <c r="L164" s="72"/>
      <c r="M164" s="72"/>
      <c r="N164" s="72"/>
      <c r="O164" s="72"/>
      <c r="P164" s="166"/>
      <c r="Q164" s="166"/>
      <c r="R164" s="166"/>
      <c r="S164" s="166"/>
      <c r="T164" s="166"/>
      <c r="U164" s="166"/>
      <c r="V164" s="72"/>
      <c r="W164" s="72"/>
      <c r="X164" s="72"/>
      <c r="CQ164" s="166"/>
      <c r="CR164" s="166"/>
      <c r="CS164" s="166"/>
      <c r="CT164" s="166"/>
      <c r="CU164" s="166"/>
      <c r="CV164" s="166"/>
      <c r="CW164" s="166"/>
      <c r="CX164" s="166"/>
      <c r="CY164" s="166"/>
      <c r="CZ164" s="166"/>
    </row>
    <row r="165" spans="1:104" ht="12.75" customHeight="1" x14ac:dyDescent="0.2">
      <c r="A165" s="343"/>
      <c r="B165" s="240"/>
      <c r="C165" s="240"/>
      <c r="D165" s="240"/>
      <c r="E165" s="240"/>
      <c r="F165" s="343"/>
      <c r="G165" s="344"/>
      <c r="H165" s="344"/>
      <c r="I165" s="344"/>
      <c r="J165" s="344"/>
      <c r="L165" s="72"/>
      <c r="M165" s="72"/>
      <c r="N165" s="72"/>
      <c r="O165" s="72"/>
      <c r="P165" s="166"/>
      <c r="Q165" s="166"/>
      <c r="R165" s="166"/>
      <c r="S165" s="166"/>
      <c r="T165" s="166"/>
      <c r="U165" s="166"/>
      <c r="V165" s="72"/>
      <c r="W165" s="72"/>
      <c r="X165" s="72"/>
      <c r="CQ165" s="166"/>
      <c r="CR165" s="166"/>
      <c r="CS165" s="166"/>
      <c r="CT165" s="166"/>
      <c r="CU165" s="166"/>
      <c r="CV165" s="166"/>
      <c r="CW165" s="166"/>
      <c r="CX165" s="166"/>
      <c r="CY165" s="166"/>
      <c r="CZ165" s="166"/>
    </row>
    <row r="166" spans="1:104" ht="12.75" customHeight="1" x14ac:dyDescent="0.2">
      <c r="A166" s="343"/>
      <c r="F166" s="343"/>
      <c r="G166" s="345"/>
      <c r="H166" s="345"/>
      <c r="I166" s="345"/>
      <c r="J166" s="345"/>
      <c r="K166" s="72"/>
      <c r="L166" s="72"/>
      <c r="M166" s="72"/>
      <c r="N166" s="72"/>
      <c r="O166" s="72"/>
      <c r="P166" s="166"/>
      <c r="Q166" s="166"/>
      <c r="R166" s="166"/>
      <c r="S166" s="166"/>
      <c r="T166" s="166"/>
      <c r="U166" s="166"/>
      <c r="V166" s="72"/>
      <c r="W166" s="72"/>
      <c r="X166" s="72"/>
      <c r="CQ166" s="166"/>
      <c r="CR166" s="166"/>
      <c r="CS166" s="166"/>
      <c r="CT166" s="166"/>
      <c r="CU166" s="166"/>
      <c r="CV166" s="166"/>
      <c r="CW166" s="166"/>
      <c r="CX166" s="166"/>
      <c r="CY166" s="166"/>
      <c r="CZ166" s="166"/>
    </row>
    <row r="167" spans="1:104" ht="12.75" customHeight="1" x14ac:dyDescent="0.2">
      <c r="A167" s="343"/>
      <c r="F167" s="343"/>
      <c r="G167" s="72"/>
      <c r="H167" s="72"/>
      <c r="I167" s="72"/>
      <c r="J167" s="72"/>
      <c r="K167" s="140"/>
      <c r="L167" s="72"/>
      <c r="M167" s="72"/>
      <c r="N167" s="72"/>
      <c r="O167" s="72"/>
      <c r="P167" s="166"/>
      <c r="Q167" s="166"/>
      <c r="R167" s="166"/>
      <c r="S167" s="166"/>
      <c r="T167" s="166"/>
      <c r="U167" s="166"/>
      <c r="V167" s="72"/>
      <c r="W167" s="72"/>
      <c r="X167" s="72"/>
      <c r="CQ167" s="166"/>
      <c r="CR167" s="166"/>
      <c r="CS167" s="166"/>
      <c r="CT167" s="166"/>
      <c r="CU167" s="166"/>
      <c r="CV167" s="166"/>
      <c r="CW167" s="166"/>
      <c r="CX167" s="166"/>
      <c r="CY167" s="166"/>
      <c r="CZ167" s="166"/>
    </row>
    <row r="168" spans="1:104" ht="12.75" customHeight="1" x14ac:dyDescent="0.2">
      <c r="A168" s="343"/>
      <c r="B168" s="72"/>
      <c r="C168" s="72"/>
      <c r="D168" s="72"/>
      <c r="E168" s="72"/>
      <c r="F168" s="343"/>
      <c r="G168" s="72"/>
      <c r="H168" s="72"/>
      <c r="I168" s="72"/>
      <c r="J168" s="72"/>
      <c r="K168" s="72"/>
      <c r="L168" s="72"/>
      <c r="M168" s="72"/>
      <c r="N168" s="72"/>
      <c r="O168" s="72"/>
      <c r="P168" s="166"/>
      <c r="Q168" s="166"/>
      <c r="R168" s="166"/>
      <c r="S168" s="166"/>
      <c r="T168" s="166"/>
      <c r="U168" s="166"/>
      <c r="V168" s="72"/>
      <c r="W168" s="72"/>
      <c r="X168" s="72"/>
      <c r="CQ168" s="166"/>
      <c r="CR168" s="166"/>
      <c r="CS168" s="166"/>
      <c r="CT168" s="166"/>
      <c r="CU168" s="166"/>
      <c r="CV168" s="166"/>
      <c r="CW168" s="166"/>
      <c r="CX168" s="166"/>
      <c r="CY168" s="166"/>
      <c r="CZ168" s="166"/>
    </row>
    <row r="169" spans="1:104" ht="12.75" customHeight="1" x14ac:dyDescent="0.2">
      <c r="A169" s="343"/>
      <c r="B169" s="140"/>
      <c r="C169" s="140"/>
      <c r="D169" s="140"/>
      <c r="E169" s="140"/>
      <c r="F169" s="343"/>
      <c r="G169" s="72"/>
      <c r="H169" s="72"/>
      <c r="I169" s="72"/>
      <c r="J169" s="72"/>
      <c r="K169" s="101"/>
      <c r="L169" s="72"/>
      <c r="M169" s="72"/>
      <c r="N169" s="72"/>
      <c r="O169" s="72"/>
      <c r="P169" s="166"/>
      <c r="Q169" s="166"/>
      <c r="R169" s="166"/>
      <c r="S169" s="166"/>
      <c r="T169" s="166"/>
      <c r="U169" s="166"/>
      <c r="V169" s="72"/>
      <c r="W169" s="72"/>
      <c r="X169" s="72"/>
      <c r="CQ169" s="166"/>
      <c r="CR169" s="166"/>
      <c r="CS169" s="166"/>
      <c r="CT169" s="166"/>
      <c r="CU169" s="166"/>
      <c r="CV169" s="166"/>
      <c r="CW169" s="166"/>
      <c r="CX169" s="166"/>
      <c r="CY169" s="166"/>
      <c r="CZ169" s="166"/>
    </row>
    <row r="170" spans="1:104" ht="12.75" customHeight="1" x14ac:dyDescent="0.2">
      <c r="A170" s="343"/>
      <c r="B170" s="72"/>
      <c r="C170" s="72"/>
      <c r="D170" s="72"/>
      <c r="E170" s="72"/>
      <c r="F170" s="343"/>
      <c r="G170" s="72"/>
      <c r="H170" s="72"/>
      <c r="I170" s="72"/>
      <c r="J170" s="72"/>
      <c r="K170" s="72"/>
      <c r="L170" s="72"/>
      <c r="M170" s="72"/>
      <c r="N170" s="72"/>
      <c r="O170" s="72"/>
      <c r="P170" s="166"/>
      <c r="Q170" s="166"/>
      <c r="R170" s="166"/>
      <c r="S170" s="166"/>
      <c r="T170" s="166"/>
      <c r="U170" s="166"/>
      <c r="V170" s="72"/>
      <c r="W170" s="72"/>
      <c r="X170" s="72"/>
      <c r="CQ170" s="166"/>
      <c r="CR170" s="166"/>
      <c r="CS170" s="166"/>
      <c r="CT170" s="166"/>
      <c r="CU170" s="166"/>
      <c r="CV170" s="166"/>
      <c r="CW170" s="166"/>
      <c r="CX170" s="166"/>
      <c r="CY170" s="166"/>
      <c r="CZ170" s="166"/>
    </row>
    <row r="171" spans="1:104" ht="12.75" customHeight="1" x14ac:dyDescent="0.2">
      <c r="A171" s="343"/>
      <c r="B171" s="101"/>
      <c r="C171" s="101"/>
      <c r="D171" s="101"/>
      <c r="E171" s="101"/>
      <c r="F171" s="343"/>
      <c r="G171" s="72"/>
      <c r="H171" s="72"/>
      <c r="I171" s="72"/>
      <c r="J171" s="72"/>
      <c r="K171" s="346"/>
      <c r="L171" s="72"/>
      <c r="M171" s="72"/>
      <c r="N171" s="72"/>
      <c r="O171" s="72"/>
      <c r="P171" s="166"/>
      <c r="Q171" s="166"/>
      <c r="R171" s="166"/>
      <c r="S171" s="166"/>
      <c r="T171" s="166"/>
      <c r="U171" s="166"/>
      <c r="V171" s="72"/>
      <c r="W171" s="72"/>
      <c r="X171" s="72"/>
      <c r="CQ171" s="166"/>
      <c r="CR171" s="166"/>
      <c r="CS171" s="166"/>
      <c r="CT171" s="166"/>
      <c r="CU171" s="166"/>
      <c r="CV171" s="166"/>
      <c r="CW171" s="166"/>
      <c r="CX171" s="166"/>
      <c r="CY171" s="166"/>
      <c r="CZ171" s="166"/>
    </row>
    <row r="172" spans="1:104" ht="12.75" customHeight="1" x14ac:dyDescent="0.2">
      <c r="A172" s="343"/>
      <c r="B172" s="72"/>
      <c r="C172" s="72"/>
      <c r="D172" s="72"/>
      <c r="E172" s="72"/>
      <c r="F172" s="343"/>
      <c r="G172" s="72"/>
      <c r="H172" s="72"/>
      <c r="I172" s="72"/>
      <c r="J172" s="72"/>
      <c r="K172" s="72"/>
      <c r="L172" s="72"/>
      <c r="M172" s="72"/>
      <c r="N172" s="72"/>
      <c r="O172" s="72"/>
      <c r="P172" s="166"/>
      <c r="Q172" s="166"/>
      <c r="R172" s="166"/>
      <c r="S172" s="166"/>
      <c r="T172" s="166"/>
      <c r="U172" s="166"/>
      <c r="V172" s="72"/>
      <c r="W172" s="72"/>
      <c r="X172" s="72"/>
      <c r="CQ172" s="166"/>
      <c r="CR172" s="166"/>
      <c r="CS172" s="166"/>
      <c r="CT172" s="166"/>
      <c r="CU172" s="166"/>
      <c r="CV172" s="166"/>
      <c r="CW172" s="166"/>
      <c r="CX172" s="166"/>
      <c r="CY172" s="166"/>
      <c r="CZ172" s="166"/>
    </row>
    <row r="173" spans="1:104" ht="12.75" customHeight="1" x14ac:dyDescent="0.2">
      <c r="A173" s="343"/>
      <c r="B173" s="346"/>
      <c r="C173" s="346"/>
      <c r="D173" s="346"/>
      <c r="E173" s="346"/>
      <c r="F173" s="343"/>
      <c r="G173" s="72"/>
      <c r="H173" s="72"/>
      <c r="I173" s="72"/>
      <c r="J173" s="72"/>
      <c r="K173" s="347"/>
      <c r="L173" s="72"/>
      <c r="M173" s="72"/>
      <c r="N173" s="72"/>
      <c r="O173" s="72"/>
      <c r="P173" s="166"/>
      <c r="Q173" s="166"/>
      <c r="R173" s="166"/>
      <c r="S173" s="166"/>
      <c r="T173" s="166"/>
      <c r="U173" s="166"/>
      <c r="V173" s="72"/>
      <c r="W173" s="72"/>
      <c r="X173" s="72"/>
      <c r="CQ173" s="166"/>
      <c r="CR173" s="166"/>
      <c r="CS173" s="166"/>
      <c r="CT173" s="166"/>
      <c r="CU173" s="166"/>
      <c r="CV173" s="166"/>
      <c r="CW173" s="166"/>
      <c r="CX173" s="166"/>
      <c r="CY173" s="166"/>
      <c r="CZ173" s="166"/>
    </row>
    <row r="174" spans="1:104" ht="12.75" customHeight="1" x14ac:dyDescent="0.2">
      <c r="A174" s="343"/>
      <c r="B174" s="72"/>
      <c r="C174" s="72"/>
      <c r="D174" s="72"/>
      <c r="E174" s="72"/>
      <c r="F174" s="343"/>
      <c r="G174" s="72"/>
      <c r="H174" s="72"/>
      <c r="I174" s="72"/>
      <c r="J174" s="72"/>
      <c r="K174" s="72"/>
      <c r="L174" s="72"/>
      <c r="M174" s="72"/>
      <c r="N174" s="72"/>
      <c r="O174" s="72"/>
      <c r="P174" s="166"/>
      <c r="Q174" s="166"/>
      <c r="R174" s="166"/>
      <c r="S174" s="166"/>
      <c r="T174" s="166"/>
      <c r="U174" s="166"/>
      <c r="V174" s="72"/>
      <c r="W174" s="72"/>
      <c r="X174" s="72"/>
      <c r="CQ174" s="166"/>
      <c r="CR174" s="166"/>
      <c r="CS174" s="166"/>
      <c r="CT174" s="166"/>
      <c r="CU174" s="166"/>
      <c r="CV174" s="166"/>
      <c r="CW174" s="166"/>
      <c r="CX174" s="166"/>
      <c r="CY174" s="166"/>
      <c r="CZ174" s="166"/>
    </row>
    <row r="175" spans="1:104" ht="12.75" customHeight="1" x14ac:dyDescent="0.2">
      <c r="A175" s="343"/>
      <c r="B175" s="347"/>
      <c r="C175" s="347"/>
      <c r="D175" s="347"/>
      <c r="E175" s="347"/>
      <c r="F175" s="343"/>
      <c r="G175" s="72"/>
      <c r="H175" s="72"/>
      <c r="I175" s="72"/>
      <c r="J175" s="72"/>
      <c r="K175" s="72"/>
      <c r="L175" s="72"/>
      <c r="M175" s="72"/>
      <c r="N175" s="72"/>
      <c r="O175" s="72"/>
      <c r="P175" s="166"/>
      <c r="Q175" s="166"/>
      <c r="R175" s="166"/>
      <c r="S175" s="166"/>
      <c r="T175" s="166"/>
      <c r="U175" s="166"/>
      <c r="V175" s="72"/>
      <c r="W175" s="72"/>
      <c r="X175" s="72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</row>
    <row r="176" spans="1:104" ht="12.75" customHeight="1" x14ac:dyDescent="0.2">
      <c r="A176" s="110"/>
      <c r="B176" s="72"/>
      <c r="C176" s="72"/>
      <c r="D176" s="72"/>
      <c r="E176" s="72"/>
      <c r="F176" s="343"/>
      <c r="G176" s="72"/>
      <c r="H176" s="72"/>
      <c r="I176" s="72"/>
      <c r="J176" s="72"/>
      <c r="K176" s="101"/>
      <c r="L176" s="72"/>
      <c r="M176" s="72"/>
      <c r="N176" s="72"/>
      <c r="O176" s="72"/>
      <c r="P176" s="166"/>
      <c r="Q176" s="166"/>
      <c r="R176" s="166"/>
      <c r="S176" s="166"/>
      <c r="T176" s="166"/>
      <c r="U176" s="166"/>
      <c r="V176" s="72"/>
      <c r="W176" s="72"/>
      <c r="X176" s="72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</row>
    <row r="177" spans="1:104" ht="12.75" customHeight="1" x14ac:dyDescent="0.2">
      <c r="A177" s="110"/>
      <c r="B177" s="72"/>
      <c r="C177" s="72"/>
      <c r="D177" s="72"/>
      <c r="E177" s="72"/>
      <c r="F177" s="343"/>
      <c r="G177" s="348"/>
      <c r="H177" s="348"/>
      <c r="I177" s="348"/>
      <c r="J177" s="348"/>
      <c r="K177" s="348"/>
      <c r="L177" s="72"/>
      <c r="M177" s="72"/>
      <c r="N177" s="72"/>
      <c r="O177" s="72"/>
      <c r="P177" s="166"/>
      <c r="Q177" s="166"/>
      <c r="R177" s="166"/>
      <c r="S177" s="166"/>
      <c r="T177" s="166"/>
      <c r="U177" s="166"/>
      <c r="V177" s="72"/>
      <c r="W177" s="72"/>
      <c r="X177" s="72"/>
      <c r="CQ177" s="166"/>
      <c r="CR177" s="166"/>
      <c r="CS177" s="166"/>
      <c r="CT177" s="166"/>
      <c r="CU177" s="166"/>
      <c r="CV177" s="166"/>
      <c r="CW177" s="166"/>
      <c r="CX177" s="166"/>
      <c r="CY177" s="166"/>
      <c r="CZ177" s="166"/>
    </row>
    <row r="178" spans="1:104" ht="12.75" customHeight="1" x14ac:dyDescent="0.2">
      <c r="A178" s="72"/>
      <c r="B178" s="101"/>
      <c r="C178" s="101"/>
      <c r="D178" s="101"/>
      <c r="E178" s="101"/>
      <c r="F178" s="343"/>
      <c r="G178" s="348"/>
      <c r="H178" s="348"/>
      <c r="I178" s="348"/>
      <c r="J178" s="348"/>
      <c r="K178" s="349"/>
      <c r="L178" s="72"/>
      <c r="M178" s="72"/>
      <c r="N178" s="72"/>
      <c r="O178" s="72"/>
      <c r="P178" s="166"/>
      <c r="Q178" s="166"/>
      <c r="R178" s="166"/>
      <c r="S178" s="166"/>
      <c r="T178" s="166"/>
      <c r="U178" s="166"/>
      <c r="V178" s="72"/>
      <c r="W178" s="72"/>
      <c r="X178" s="72"/>
      <c r="CQ178" s="166"/>
      <c r="CR178" s="166"/>
      <c r="CS178" s="166"/>
      <c r="CT178" s="166"/>
      <c r="CU178" s="166"/>
      <c r="CV178" s="166"/>
      <c r="CW178" s="166"/>
      <c r="CX178" s="166"/>
      <c r="CY178" s="166"/>
      <c r="CZ178" s="166"/>
    </row>
    <row r="179" spans="1:104" ht="12.75" customHeight="1" x14ac:dyDescent="0.2">
      <c r="A179" s="72"/>
      <c r="B179" s="348"/>
      <c r="C179" s="348"/>
      <c r="D179" s="348"/>
      <c r="E179" s="348"/>
      <c r="F179" s="110"/>
      <c r="G179" s="348"/>
      <c r="H179" s="348"/>
      <c r="I179" s="348"/>
      <c r="J179" s="348"/>
      <c r="K179" s="348"/>
      <c r="L179" s="72"/>
      <c r="M179" s="72"/>
      <c r="N179" s="72"/>
      <c r="O179" s="72"/>
      <c r="P179" s="166"/>
      <c r="Q179" s="166"/>
      <c r="R179" s="166"/>
      <c r="S179" s="166"/>
      <c r="T179" s="166"/>
      <c r="U179" s="166"/>
      <c r="V179" s="72"/>
      <c r="W179" s="72"/>
      <c r="X179" s="72"/>
      <c r="CQ179" s="166"/>
      <c r="CR179" s="166"/>
      <c r="CS179" s="166"/>
      <c r="CT179" s="166"/>
      <c r="CU179" s="166"/>
      <c r="CV179" s="166"/>
      <c r="CW179" s="166"/>
      <c r="CX179" s="166"/>
      <c r="CY179" s="166"/>
      <c r="CZ179" s="166"/>
    </row>
    <row r="180" spans="1:104" ht="12.75" customHeight="1" x14ac:dyDescent="0.2">
      <c r="A180" s="72"/>
      <c r="B180" s="349"/>
      <c r="C180" s="349"/>
      <c r="D180" s="349"/>
      <c r="E180" s="349"/>
      <c r="F180" s="110"/>
      <c r="G180" s="348"/>
      <c r="H180" s="348"/>
      <c r="I180" s="348"/>
      <c r="J180" s="348"/>
      <c r="K180" s="348"/>
      <c r="L180" s="72"/>
      <c r="M180" s="72"/>
      <c r="N180" s="72"/>
      <c r="O180" s="72"/>
      <c r="P180" s="166"/>
      <c r="Q180" s="166"/>
      <c r="R180" s="166"/>
      <c r="S180" s="166"/>
      <c r="T180" s="166"/>
      <c r="U180" s="166"/>
      <c r="V180" s="72"/>
      <c r="W180" s="72"/>
      <c r="X180" s="72"/>
      <c r="CQ180" s="166"/>
      <c r="CR180" s="166"/>
      <c r="CS180" s="166"/>
      <c r="CT180" s="166"/>
      <c r="CU180" s="166"/>
      <c r="CV180" s="166"/>
      <c r="CW180" s="166"/>
      <c r="CX180" s="166"/>
      <c r="CY180" s="166"/>
      <c r="CZ180" s="166"/>
    </row>
    <row r="181" spans="1:104" ht="12.75" customHeight="1" x14ac:dyDescent="0.2">
      <c r="A181" s="72"/>
      <c r="B181" s="348"/>
      <c r="C181" s="348"/>
      <c r="D181" s="348"/>
      <c r="E181" s="348"/>
      <c r="F181" s="72"/>
      <c r="G181" s="348"/>
      <c r="H181" s="348"/>
      <c r="I181" s="348"/>
      <c r="J181" s="348"/>
      <c r="K181" s="350"/>
      <c r="L181" s="72"/>
      <c r="M181" s="72"/>
      <c r="N181" s="72"/>
      <c r="O181" s="72"/>
      <c r="P181" s="166"/>
      <c r="Q181" s="166"/>
      <c r="R181" s="166"/>
      <c r="S181" s="166"/>
      <c r="T181" s="166"/>
      <c r="U181" s="166"/>
      <c r="V181" s="72"/>
      <c r="W181" s="72"/>
      <c r="X181" s="72"/>
      <c r="CQ181" s="166"/>
      <c r="CR181" s="166"/>
      <c r="CS181" s="166"/>
      <c r="CT181" s="166"/>
      <c r="CU181" s="166"/>
      <c r="CV181" s="166"/>
      <c r="CW181" s="166"/>
      <c r="CX181" s="166"/>
      <c r="CY181" s="166"/>
      <c r="CZ181" s="166"/>
    </row>
    <row r="182" spans="1:104" ht="12.75" customHeight="1" x14ac:dyDescent="0.2">
      <c r="A182" s="72"/>
      <c r="B182" s="348"/>
      <c r="C182" s="348"/>
      <c r="D182" s="348"/>
      <c r="E182" s="348"/>
      <c r="F182" s="72"/>
      <c r="G182" s="72"/>
      <c r="H182" s="72"/>
      <c r="I182" s="72"/>
      <c r="J182" s="72"/>
      <c r="K182" s="351"/>
      <c r="L182" s="72"/>
      <c r="M182" s="72"/>
      <c r="N182" s="72"/>
      <c r="O182" s="72"/>
      <c r="P182" s="166"/>
      <c r="Q182" s="166"/>
      <c r="R182" s="166"/>
      <c r="S182" s="166"/>
      <c r="T182" s="166"/>
      <c r="U182" s="166"/>
      <c r="V182" s="72"/>
      <c r="W182" s="72"/>
      <c r="X182" s="72"/>
      <c r="CQ182" s="166"/>
      <c r="CR182" s="166"/>
      <c r="CS182" s="166"/>
      <c r="CT182" s="166"/>
      <c r="CU182" s="166"/>
      <c r="CV182" s="166"/>
      <c r="CW182" s="166"/>
      <c r="CX182" s="166"/>
      <c r="CY182" s="166"/>
      <c r="CZ182" s="166"/>
    </row>
    <row r="183" spans="1:104" ht="12.75" customHeight="1" x14ac:dyDescent="0.2">
      <c r="A183" s="72"/>
      <c r="B183" s="350"/>
      <c r="C183" s="350"/>
      <c r="D183" s="350"/>
      <c r="E183" s="350"/>
      <c r="F183" s="72"/>
      <c r="G183" s="345"/>
      <c r="H183" s="345"/>
      <c r="I183" s="345"/>
      <c r="J183" s="345"/>
      <c r="K183" s="72"/>
      <c r="L183" s="72"/>
      <c r="M183" s="72"/>
      <c r="N183" s="72"/>
      <c r="O183" s="72"/>
      <c r="P183" s="166"/>
      <c r="Q183" s="166"/>
      <c r="R183" s="166"/>
      <c r="S183" s="166"/>
      <c r="T183" s="166"/>
      <c r="U183" s="166"/>
      <c r="V183" s="72"/>
      <c r="W183" s="72"/>
      <c r="X183" s="72"/>
      <c r="CQ183" s="166"/>
      <c r="CR183" s="166"/>
      <c r="CS183" s="166"/>
      <c r="CT183" s="166"/>
      <c r="CU183" s="166"/>
      <c r="CV183" s="166"/>
      <c r="CW183" s="166"/>
      <c r="CX183" s="166"/>
      <c r="CY183" s="166"/>
      <c r="CZ183" s="166"/>
    </row>
    <row r="184" spans="1:104" ht="12.75" customHeight="1" x14ac:dyDescent="0.2">
      <c r="A184" s="348"/>
      <c r="B184" s="351"/>
      <c r="C184" s="351"/>
      <c r="D184" s="351"/>
      <c r="E184" s="351"/>
      <c r="F184" s="72"/>
      <c r="G184" s="345"/>
      <c r="H184" s="345"/>
      <c r="I184" s="345"/>
      <c r="J184" s="345"/>
      <c r="K184" s="72"/>
      <c r="L184" s="72"/>
      <c r="M184" s="72"/>
      <c r="N184" s="72"/>
      <c r="O184" s="72"/>
      <c r="P184" s="166"/>
      <c r="Q184" s="166"/>
      <c r="R184" s="166"/>
      <c r="S184" s="166"/>
      <c r="T184" s="166"/>
      <c r="U184" s="166"/>
      <c r="V184" s="72"/>
      <c r="W184" s="72"/>
      <c r="X184" s="72"/>
      <c r="CQ184" s="166"/>
      <c r="CR184" s="166"/>
      <c r="CS184" s="166"/>
      <c r="CT184" s="166"/>
      <c r="CU184" s="166"/>
      <c r="CV184" s="166"/>
      <c r="CW184" s="166"/>
      <c r="CX184" s="166"/>
      <c r="CY184" s="166"/>
      <c r="CZ184" s="166"/>
    </row>
    <row r="185" spans="1:104" ht="12.75" customHeight="1" x14ac:dyDescent="0.2">
      <c r="A185" s="348"/>
      <c r="B185" s="72"/>
      <c r="C185" s="72"/>
      <c r="D185" s="72"/>
      <c r="E185" s="72"/>
      <c r="F185" s="72"/>
      <c r="G185" s="72"/>
      <c r="H185" s="72"/>
      <c r="I185" s="72"/>
      <c r="J185" s="72"/>
      <c r="K185" s="140"/>
      <c r="L185" s="72"/>
      <c r="M185" s="72"/>
      <c r="N185" s="72"/>
      <c r="O185" s="72"/>
      <c r="P185" s="166"/>
      <c r="Q185" s="166"/>
      <c r="R185" s="166"/>
      <c r="S185" s="166"/>
      <c r="T185" s="166"/>
      <c r="U185" s="166"/>
      <c r="V185" s="72"/>
      <c r="W185" s="72"/>
      <c r="X185" s="72"/>
      <c r="CQ185" s="166"/>
      <c r="CR185" s="166"/>
      <c r="CS185" s="166"/>
      <c r="CT185" s="166"/>
      <c r="CU185" s="166"/>
      <c r="CV185" s="166"/>
      <c r="CW185" s="166"/>
      <c r="CX185" s="166"/>
      <c r="CY185" s="166"/>
      <c r="CZ185" s="166"/>
    </row>
    <row r="186" spans="1:104" ht="12.75" customHeight="1" x14ac:dyDescent="0.2">
      <c r="A186" s="348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166"/>
      <c r="Q186" s="166"/>
      <c r="R186" s="166"/>
      <c r="S186" s="166"/>
      <c r="T186" s="166"/>
      <c r="U186" s="166"/>
      <c r="V186" s="72"/>
      <c r="W186" s="72"/>
      <c r="X186" s="72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</row>
    <row r="187" spans="1:104" ht="12.75" customHeight="1" x14ac:dyDescent="0.2">
      <c r="A187" s="348"/>
      <c r="B187" s="140"/>
      <c r="C187" s="140"/>
      <c r="D187" s="140"/>
      <c r="E187" s="140"/>
      <c r="F187" s="348"/>
      <c r="G187" s="72"/>
      <c r="H187" s="72"/>
      <c r="I187" s="72"/>
      <c r="J187" s="72"/>
      <c r="K187" s="101"/>
      <c r="L187" s="72"/>
      <c r="M187" s="72"/>
      <c r="N187" s="72"/>
      <c r="O187" s="72"/>
      <c r="P187" s="166"/>
      <c r="Q187" s="166"/>
      <c r="R187" s="166"/>
      <c r="S187" s="166"/>
      <c r="T187" s="166"/>
      <c r="U187" s="166"/>
      <c r="V187" s="72"/>
      <c r="W187" s="72"/>
      <c r="X187" s="72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</row>
    <row r="188" spans="1:104" ht="12.75" customHeight="1" x14ac:dyDescent="0.2">
      <c r="A188" s="110"/>
      <c r="B188" s="72"/>
      <c r="C188" s="72"/>
      <c r="D188" s="72"/>
      <c r="E188" s="72"/>
      <c r="F188" s="348"/>
      <c r="G188" s="72"/>
      <c r="H188" s="72"/>
      <c r="I188" s="72"/>
      <c r="J188" s="72"/>
      <c r="K188" s="72"/>
      <c r="L188" s="72"/>
      <c r="M188" s="72"/>
      <c r="N188" s="72"/>
      <c r="O188" s="72"/>
      <c r="P188" s="166"/>
      <c r="Q188" s="166"/>
      <c r="R188" s="166"/>
      <c r="S188" s="166"/>
      <c r="T188" s="166"/>
      <c r="U188" s="166"/>
      <c r="V188" s="72"/>
      <c r="W188" s="72"/>
      <c r="X188" s="72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</row>
    <row r="189" spans="1:104" ht="12.75" customHeight="1" x14ac:dyDescent="0.2">
      <c r="A189" s="110"/>
      <c r="B189" s="101"/>
      <c r="C189" s="101"/>
      <c r="D189" s="101"/>
      <c r="E189" s="101"/>
      <c r="F189" s="348"/>
      <c r="G189" s="72"/>
      <c r="H189" s="72"/>
      <c r="I189" s="72"/>
      <c r="J189" s="72"/>
      <c r="K189" s="346"/>
      <c r="L189" s="72"/>
      <c r="M189" s="72"/>
      <c r="N189" s="72"/>
      <c r="O189" s="72"/>
      <c r="P189" s="166"/>
      <c r="Q189" s="166"/>
      <c r="R189" s="166"/>
      <c r="S189" s="166"/>
      <c r="T189" s="166"/>
      <c r="U189" s="166"/>
      <c r="V189" s="72"/>
      <c r="W189" s="72"/>
      <c r="X189" s="72"/>
      <c r="CQ189" s="166"/>
      <c r="CR189" s="166"/>
      <c r="CS189" s="166"/>
      <c r="CT189" s="166"/>
      <c r="CU189" s="166"/>
      <c r="CV189" s="166"/>
      <c r="CW189" s="166"/>
      <c r="CX189" s="166"/>
      <c r="CY189" s="166"/>
      <c r="CZ189" s="166"/>
    </row>
    <row r="190" spans="1:104" ht="12.75" customHeight="1" x14ac:dyDescent="0.2">
      <c r="A190" s="110"/>
      <c r="B190" s="72"/>
      <c r="C190" s="72"/>
      <c r="D190" s="72"/>
      <c r="E190" s="72"/>
      <c r="F190" s="348"/>
      <c r="G190" s="72"/>
      <c r="H190" s="72"/>
      <c r="I190" s="72"/>
      <c r="J190" s="72"/>
      <c r="K190" s="72"/>
      <c r="L190" s="72"/>
      <c r="M190" s="72"/>
      <c r="N190" s="72"/>
      <c r="O190" s="72"/>
      <c r="P190" s="166"/>
      <c r="Q190" s="166"/>
      <c r="R190" s="166"/>
      <c r="S190" s="166"/>
      <c r="T190" s="166"/>
      <c r="U190" s="166"/>
      <c r="V190" s="72"/>
      <c r="W190" s="72"/>
      <c r="X190" s="72"/>
      <c r="CQ190" s="166"/>
      <c r="CR190" s="166"/>
      <c r="CS190" s="166"/>
      <c r="CT190" s="166"/>
      <c r="CU190" s="166"/>
      <c r="CV190" s="166"/>
      <c r="CW190" s="166"/>
      <c r="CX190" s="166"/>
      <c r="CY190" s="166"/>
      <c r="CZ190" s="166"/>
    </row>
    <row r="191" spans="1:104" ht="12.75" customHeight="1" x14ac:dyDescent="0.2">
      <c r="A191" s="343"/>
      <c r="B191" s="346"/>
      <c r="C191" s="346"/>
      <c r="D191" s="346"/>
      <c r="E191" s="346"/>
      <c r="F191" s="110"/>
      <c r="G191" s="72"/>
      <c r="H191" s="72"/>
      <c r="I191" s="72"/>
      <c r="J191" s="72"/>
      <c r="K191" s="347"/>
      <c r="L191" s="72"/>
      <c r="M191" s="72"/>
      <c r="N191" s="72"/>
      <c r="O191" s="72"/>
      <c r="P191" s="166"/>
      <c r="Q191" s="166"/>
      <c r="R191" s="166"/>
      <c r="S191" s="166"/>
      <c r="T191" s="166"/>
      <c r="U191" s="166"/>
      <c r="V191" s="72"/>
      <c r="W191" s="72"/>
      <c r="X191" s="72"/>
      <c r="CQ191" s="166"/>
      <c r="CR191" s="166"/>
      <c r="CS191" s="166"/>
      <c r="CT191" s="166"/>
      <c r="CU191" s="166"/>
      <c r="CV191" s="166"/>
      <c r="CW191" s="166"/>
      <c r="CX191" s="166"/>
      <c r="CY191" s="166"/>
      <c r="CZ191" s="166"/>
    </row>
    <row r="192" spans="1:104" ht="12.75" customHeight="1" x14ac:dyDescent="0.2">
      <c r="A192" s="343"/>
      <c r="B192" s="72"/>
      <c r="C192" s="72"/>
      <c r="D192" s="72"/>
      <c r="E192" s="72"/>
      <c r="F192" s="110"/>
      <c r="G192" s="72"/>
      <c r="H192" s="72"/>
      <c r="I192" s="72"/>
      <c r="J192" s="72"/>
      <c r="K192" s="72"/>
      <c r="L192" s="72"/>
      <c r="M192" s="72"/>
      <c r="N192" s="72"/>
      <c r="O192" s="72"/>
      <c r="P192" s="166"/>
      <c r="Q192" s="166"/>
      <c r="R192" s="166"/>
      <c r="S192" s="166"/>
      <c r="T192" s="166"/>
      <c r="U192" s="166"/>
      <c r="V192" s="72"/>
      <c r="W192" s="72"/>
      <c r="X192" s="72"/>
      <c r="CQ192" s="166"/>
      <c r="CR192" s="166"/>
      <c r="CS192" s="166"/>
      <c r="CT192" s="166"/>
      <c r="CU192" s="166"/>
      <c r="CV192" s="166"/>
      <c r="CW192" s="166"/>
      <c r="CX192" s="166"/>
      <c r="CY192" s="166"/>
      <c r="CZ192" s="166"/>
    </row>
    <row r="193" spans="1:104" ht="12.75" customHeight="1" x14ac:dyDescent="0.2">
      <c r="A193" s="343"/>
      <c r="B193" s="347"/>
      <c r="C193" s="347"/>
      <c r="D193" s="347"/>
      <c r="E193" s="347"/>
      <c r="F193" s="110"/>
      <c r="G193" s="72"/>
      <c r="H193" s="72"/>
      <c r="I193" s="72"/>
      <c r="J193" s="72"/>
      <c r="K193" s="72"/>
      <c r="L193" s="72"/>
      <c r="M193" s="72"/>
      <c r="N193" s="72"/>
      <c r="O193" s="72"/>
      <c r="P193" s="166"/>
      <c r="Q193" s="166"/>
      <c r="R193" s="166"/>
      <c r="S193" s="166"/>
      <c r="T193" s="166"/>
      <c r="U193" s="166"/>
      <c r="V193" s="72"/>
      <c r="W193" s="72"/>
      <c r="X193" s="72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</row>
    <row r="194" spans="1:104" ht="12.75" customHeight="1" x14ac:dyDescent="0.2">
      <c r="A194" s="72"/>
      <c r="B194" s="72"/>
      <c r="C194" s="72"/>
      <c r="D194" s="72"/>
      <c r="E194" s="72"/>
      <c r="F194" s="343"/>
      <c r="G194" s="72"/>
      <c r="H194" s="72"/>
      <c r="I194" s="72"/>
      <c r="J194" s="72"/>
      <c r="K194" s="101"/>
      <c r="L194" s="72"/>
      <c r="M194" s="72"/>
      <c r="N194" s="72"/>
      <c r="O194" s="72"/>
      <c r="P194" s="166"/>
      <c r="Q194" s="166"/>
      <c r="R194" s="166"/>
      <c r="S194" s="166"/>
      <c r="T194" s="166"/>
      <c r="U194" s="166"/>
      <c r="V194" s="72"/>
      <c r="W194" s="72"/>
      <c r="X194" s="72"/>
      <c r="CQ194" s="166"/>
      <c r="CR194" s="166"/>
      <c r="CS194" s="166"/>
      <c r="CT194" s="166"/>
      <c r="CU194" s="166"/>
      <c r="CV194" s="166"/>
      <c r="CW194" s="166"/>
      <c r="CX194" s="166"/>
      <c r="CY194" s="166"/>
      <c r="CZ194" s="166"/>
    </row>
    <row r="195" spans="1:104" ht="12.75" customHeight="1" x14ac:dyDescent="0.2">
      <c r="A195" s="343"/>
      <c r="B195" s="72"/>
      <c r="C195" s="72"/>
      <c r="D195" s="72"/>
      <c r="E195" s="72"/>
      <c r="F195" s="343"/>
      <c r="G195" s="72"/>
      <c r="H195" s="72"/>
      <c r="I195" s="72"/>
      <c r="J195" s="72"/>
      <c r="K195" s="72"/>
      <c r="L195" s="72"/>
      <c r="M195" s="72"/>
      <c r="N195" s="72"/>
      <c r="O195" s="72"/>
      <c r="P195" s="166"/>
      <c r="Q195" s="166"/>
      <c r="R195" s="166"/>
      <c r="S195" s="166"/>
      <c r="T195" s="166"/>
      <c r="U195" s="166"/>
      <c r="V195" s="72"/>
      <c r="W195" s="72"/>
      <c r="X195" s="72"/>
      <c r="CQ195" s="166"/>
      <c r="CR195" s="166"/>
      <c r="CS195" s="166"/>
      <c r="CT195" s="166"/>
      <c r="CU195" s="166"/>
      <c r="CV195" s="166"/>
      <c r="CW195" s="166"/>
      <c r="CX195" s="166"/>
      <c r="CY195" s="166"/>
      <c r="CZ195" s="166"/>
    </row>
    <row r="196" spans="1:104" ht="12.75" customHeight="1" x14ac:dyDescent="0.2">
      <c r="A196" s="343"/>
      <c r="B196" s="101"/>
      <c r="C196" s="101"/>
      <c r="D196" s="101"/>
      <c r="E196" s="101"/>
      <c r="F196" s="343"/>
      <c r="G196" s="72"/>
      <c r="H196" s="72"/>
      <c r="I196" s="72"/>
      <c r="J196" s="72"/>
      <c r="K196" s="140"/>
      <c r="L196" s="72"/>
      <c r="M196" s="72"/>
      <c r="N196" s="72"/>
      <c r="O196" s="72"/>
      <c r="P196" s="166"/>
      <c r="Q196" s="166"/>
      <c r="R196" s="166"/>
      <c r="S196" s="166"/>
      <c r="T196" s="166"/>
      <c r="U196" s="166"/>
      <c r="V196" s="72"/>
      <c r="W196" s="72"/>
      <c r="X196" s="72"/>
      <c r="CQ196" s="166"/>
      <c r="CR196" s="166"/>
      <c r="CS196" s="166"/>
      <c r="CT196" s="166"/>
      <c r="CU196" s="166"/>
      <c r="CV196" s="166"/>
      <c r="CW196" s="166"/>
      <c r="CX196" s="166"/>
      <c r="CY196" s="166"/>
      <c r="CZ196" s="166"/>
    </row>
    <row r="197" spans="1:104" ht="12.75" customHeight="1" x14ac:dyDescent="0.2">
      <c r="A197" s="343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166"/>
      <c r="Q197" s="166"/>
      <c r="R197" s="166"/>
      <c r="S197" s="166"/>
      <c r="T197" s="166"/>
      <c r="U197" s="166"/>
      <c r="V197" s="72"/>
      <c r="W197" s="72"/>
      <c r="X197" s="72"/>
      <c r="CQ197" s="166"/>
      <c r="CR197" s="166"/>
      <c r="CS197" s="166"/>
      <c r="CT197" s="166"/>
      <c r="CU197" s="166"/>
      <c r="CV197" s="166"/>
      <c r="CW197" s="166"/>
      <c r="CX197" s="166"/>
      <c r="CY197" s="166"/>
      <c r="CZ197" s="166"/>
    </row>
    <row r="198" spans="1:104" ht="12.75" customHeight="1" x14ac:dyDescent="0.2">
      <c r="A198" s="343"/>
      <c r="B198" s="140"/>
      <c r="C198" s="140"/>
      <c r="D198" s="140"/>
      <c r="E198" s="140"/>
      <c r="F198" s="343"/>
      <c r="G198" s="72"/>
      <c r="H198" s="72"/>
      <c r="I198" s="72"/>
      <c r="J198" s="72"/>
      <c r="K198" s="72"/>
      <c r="L198" s="72"/>
      <c r="M198" s="72"/>
      <c r="N198" s="72"/>
      <c r="O198" s="72"/>
      <c r="P198" s="166"/>
      <c r="Q198" s="166"/>
      <c r="R198" s="166"/>
      <c r="S198" s="166"/>
      <c r="T198" s="166"/>
      <c r="U198" s="166"/>
      <c r="V198" s="72"/>
      <c r="W198" s="72"/>
      <c r="X198" s="72"/>
      <c r="CQ198" s="166"/>
      <c r="CR198" s="166"/>
      <c r="CS198" s="166"/>
      <c r="CT198" s="166"/>
      <c r="CU198" s="166"/>
      <c r="CV198" s="166"/>
      <c r="CW198" s="166"/>
      <c r="CX198" s="166"/>
      <c r="CY198" s="166"/>
      <c r="CZ198" s="166"/>
    </row>
    <row r="199" spans="1:104" ht="12.75" customHeight="1" x14ac:dyDescent="0.2">
      <c r="A199" s="343"/>
      <c r="B199" s="72"/>
      <c r="C199" s="72"/>
      <c r="D199" s="72"/>
      <c r="E199" s="72"/>
      <c r="F199" s="343"/>
      <c r="G199" s="72"/>
      <c r="H199" s="72"/>
      <c r="I199" s="72"/>
      <c r="J199" s="352"/>
      <c r="K199" s="351"/>
      <c r="L199" s="72"/>
      <c r="M199" s="72"/>
      <c r="N199" s="72"/>
      <c r="O199" s="72"/>
      <c r="P199" s="166"/>
      <c r="Q199" s="166"/>
      <c r="R199" s="166"/>
      <c r="S199" s="166"/>
      <c r="T199" s="166"/>
      <c r="U199" s="166"/>
      <c r="V199" s="72"/>
      <c r="W199" s="72"/>
      <c r="X199" s="72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</row>
    <row r="200" spans="1:104" ht="12.75" customHeight="1" x14ac:dyDescent="0.2">
      <c r="A200" s="343"/>
      <c r="B200" s="72"/>
      <c r="C200" s="72"/>
      <c r="D200" s="72"/>
      <c r="E200" s="72"/>
      <c r="F200" s="343"/>
      <c r="G200" s="72"/>
      <c r="H200" s="72"/>
      <c r="I200" s="72"/>
      <c r="J200" s="72"/>
      <c r="K200" s="72"/>
      <c r="L200" s="72"/>
      <c r="M200" s="72"/>
      <c r="N200" s="72"/>
      <c r="O200" s="72"/>
      <c r="P200" s="166"/>
      <c r="Q200" s="166"/>
      <c r="R200" s="166"/>
      <c r="S200" s="166"/>
      <c r="T200" s="166"/>
      <c r="U200" s="166"/>
      <c r="V200" s="72"/>
      <c r="W200" s="72"/>
      <c r="X200" s="72"/>
      <c r="CQ200" s="166"/>
      <c r="CR200" s="166"/>
      <c r="CS200" s="166"/>
      <c r="CT200" s="166"/>
      <c r="CU200" s="166"/>
      <c r="CV200" s="166"/>
      <c r="CW200" s="166"/>
      <c r="CX200" s="166"/>
      <c r="CY200" s="166"/>
      <c r="CZ200" s="166"/>
    </row>
    <row r="201" spans="1:104" ht="12.75" customHeight="1" x14ac:dyDescent="0.2">
      <c r="A201" s="343"/>
      <c r="B201" s="351"/>
      <c r="C201" s="351"/>
      <c r="D201" s="351"/>
      <c r="E201" s="351"/>
      <c r="F201" s="343"/>
      <c r="G201" s="72"/>
      <c r="H201" s="72"/>
      <c r="I201" s="72"/>
      <c r="J201" s="72"/>
      <c r="K201" s="351"/>
      <c r="L201" s="72"/>
      <c r="M201" s="72"/>
      <c r="N201" s="72"/>
      <c r="O201" s="72"/>
      <c r="P201" s="166"/>
      <c r="Q201" s="166"/>
      <c r="R201" s="166"/>
      <c r="S201" s="166"/>
      <c r="T201" s="166"/>
      <c r="U201" s="166"/>
      <c r="V201" s="72"/>
      <c r="W201" s="72"/>
      <c r="X201" s="72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</row>
    <row r="202" spans="1:104" ht="12.75" customHeight="1" x14ac:dyDescent="0.2">
      <c r="A202" s="343"/>
      <c r="B202" s="72"/>
      <c r="C202" s="72"/>
      <c r="D202" s="72"/>
      <c r="E202" s="72"/>
      <c r="F202" s="343"/>
      <c r="G202" s="72"/>
      <c r="H202" s="72"/>
      <c r="I202" s="72"/>
      <c r="J202" s="72"/>
      <c r="K202" s="72"/>
      <c r="L202" s="72"/>
      <c r="M202" s="72"/>
      <c r="N202" s="72"/>
      <c r="O202" s="72"/>
      <c r="P202" s="166"/>
      <c r="Q202" s="166"/>
      <c r="R202" s="166"/>
      <c r="S202" s="166"/>
      <c r="T202" s="166"/>
      <c r="U202" s="166"/>
      <c r="V202" s="72"/>
      <c r="W202" s="72"/>
      <c r="X202" s="72"/>
      <c r="CQ202" s="166"/>
      <c r="CR202" s="166"/>
      <c r="CS202" s="166"/>
      <c r="CT202" s="166"/>
      <c r="CU202" s="166"/>
      <c r="CV202" s="166"/>
      <c r="CW202" s="166"/>
      <c r="CX202" s="166"/>
      <c r="CY202" s="166"/>
      <c r="CZ202" s="166"/>
    </row>
    <row r="203" spans="1:104" ht="12.75" customHeight="1" x14ac:dyDescent="0.2">
      <c r="A203" s="343"/>
      <c r="B203" s="351"/>
      <c r="C203" s="351"/>
      <c r="D203" s="351"/>
      <c r="E203" s="351"/>
      <c r="F203" s="343"/>
      <c r="G203" s="72"/>
      <c r="H203" s="72"/>
      <c r="I203" s="72"/>
      <c r="J203" s="72"/>
      <c r="K203" s="72"/>
      <c r="L203" s="72"/>
      <c r="M203" s="72"/>
      <c r="N203" s="72"/>
      <c r="O203" s="72"/>
      <c r="P203" s="166"/>
      <c r="Q203" s="166"/>
      <c r="R203" s="166"/>
      <c r="S203" s="166"/>
      <c r="T203" s="166"/>
      <c r="U203" s="166"/>
      <c r="V203" s="72"/>
      <c r="W203" s="72"/>
      <c r="X203" s="72"/>
      <c r="CQ203" s="166"/>
      <c r="CR203" s="166"/>
      <c r="CS203" s="166"/>
      <c r="CT203" s="166"/>
      <c r="CU203" s="166"/>
      <c r="CV203" s="166"/>
      <c r="CW203" s="166"/>
      <c r="CX203" s="166"/>
      <c r="CY203" s="166"/>
      <c r="CZ203" s="166"/>
    </row>
    <row r="204" spans="1:104" ht="12.75" customHeight="1" x14ac:dyDescent="0.2">
      <c r="A204" s="343"/>
      <c r="B204" s="72"/>
      <c r="C204" s="72"/>
      <c r="D204" s="72"/>
      <c r="E204" s="72"/>
      <c r="F204" s="343"/>
      <c r="G204" s="72"/>
      <c r="H204" s="72"/>
      <c r="I204" s="72"/>
      <c r="J204" s="72"/>
      <c r="K204" s="72"/>
      <c r="L204" s="72"/>
      <c r="M204" s="72"/>
      <c r="N204" s="72"/>
      <c r="O204" s="72"/>
      <c r="P204" s="166"/>
      <c r="Q204" s="166"/>
      <c r="R204" s="166"/>
      <c r="S204" s="166"/>
      <c r="T204" s="166"/>
      <c r="U204" s="166"/>
      <c r="V204" s="72"/>
      <c r="W204" s="72"/>
      <c r="X204" s="72"/>
      <c r="CQ204" s="166"/>
      <c r="CR204" s="166"/>
      <c r="CS204" s="166"/>
      <c r="CT204" s="166"/>
      <c r="CU204" s="166"/>
      <c r="CV204" s="166"/>
      <c r="CW204" s="166"/>
      <c r="CX204" s="166"/>
      <c r="CY204" s="166"/>
      <c r="CZ204" s="166"/>
    </row>
    <row r="205" spans="1:104" ht="12.75" customHeight="1" x14ac:dyDescent="0.2">
      <c r="A205" s="343"/>
      <c r="B205" s="72"/>
      <c r="C205" s="72"/>
      <c r="D205" s="72"/>
      <c r="E205" s="72"/>
      <c r="F205" s="343"/>
      <c r="G205" s="72"/>
      <c r="H205" s="72"/>
      <c r="I205" s="72"/>
      <c r="J205" s="72"/>
      <c r="K205" s="72"/>
      <c r="L205" s="72"/>
      <c r="M205" s="72"/>
      <c r="N205" s="72"/>
      <c r="O205" s="72"/>
      <c r="P205" s="166"/>
      <c r="Q205" s="166"/>
      <c r="R205" s="166"/>
      <c r="S205" s="166"/>
      <c r="T205" s="166"/>
      <c r="U205" s="166"/>
      <c r="V205" s="72"/>
      <c r="W205" s="72"/>
      <c r="X205" s="72"/>
      <c r="CQ205" s="166"/>
      <c r="CR205" s="166"/>
      <c r="CS205" s="166"/>
      <c r="CT205" s="166"/>
      <c r="CU205" s="166"/>
      <c r="CV205" s="166"/>
      <c r="CW205" s="166"/>
      <c r="CX205" s="166"/>
      <c r="CY205" s="166"/>
      <c r="CZ205" s="166"/>
    </row>
    <row r="206" spans="1:104" ht="12.75" customHeight="1" x14ac:dyDescent="0.2">
      <c r="A206" s="110"/>
      <c r="B206" s="72"/>
      <c r="C206" s="72"/>
      <c r="D206" s="72"/>
      <c r="E206" s="72"/>
      <c r="F206" s="343"/>
      <c r="G206" s="72"/>
      <c r="H206" s="72"/>
      <c r="I206" s="72"/>
      <c r="J206" s="72"/>
      <c r="K206" s="72"/>
      <c r="L206" s="72"/>
      <c r="M206" s="72"/>
      <c r="N206" s="72"/>
      <c r="O206" s="72"/>
      <c r="P206" s="166"/>
      <c r="Q206" s="166"/>
      <c r="R206" s="166"/>
      <c r="S206" s="166"/>
      <c r="T206" s="166"/>
      <c r="U206" s="166"/>
      <c r="V206" s="72"/>
      <c r="W206" s="72"/>
      <c r="X206" s="72"/>
      <c r="CQ206" s="166"/>
      <c r="CR206" s="166"/>
      <c r="CS206" s="166"/>
      <c r="CT206" s="166"/>
      <c r="CU206" s="166"/>
      <c r="CV206" s="166"/>
      <c r="CW206" s="166"/>
      <c r="CX206" s="166"/>
      <c r="CY206" s="166"/>
      <c r="CZ206" s="166"/>
    </row>
    <row r="207" spans="1:104" ht="12.75" customHeight="1" x14ac:dyDescent="0.2">
      <c r="A207" s="72"/>
      <c r="B207" s="72"/>
      <c r="C207" s="72"/>
      <c r="D207" s="72"/>
      <c r="E207" s="72"/>
      <c r="F207" s="343"/>
      <c r="G207" s="72"/>
      <c r="H207" s="72"/>
      <c r="I207" s="72"/>
      <c r="J207" s="72"/>
      <c r="K207" s="72"/>
      <c r="L207" s="72"/>
      <c r="M207" s="72"/>
      <c r="N207" s="72"/>
      <c r="O207" s="72"/>
      <c r="P207" s="166"/>
      <c r="Q207" s="166"/>
      <c r="R207" s="166"/>
      <c r="S207" s="166"/>
      <c r="T207" s="166"/>
      <c r="U207" s="166"/>
      <c r="V207" s="72"/>
      <c r="W207" s="72"/>
      <c r="X207" s="72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</row>
    <row r="208" spans="1:104" ht="12.75" customHeight="1" x14ac:dyDescent="0.2">
      <c r="A208" s="72"/>
      <c r="B208" s="72"/>
      <c r="C208" s="72"/>
      <c r="D208" s="72"/>
      <c r="E208" s="72"/>
      <c r="F208" s="343"/>
      <c r="G208" s="72"/>
      <c r="H208" s="72"/>
      <c r="I208" s="72"/>
      <c r="J208" s="72"/>
      <c r="K208" s="72"/>
      <c r="L208" s="72"/>
      <c r="M208" s="72"/>
      <c r="N208" s="72"/>
      <c r="O208" s="72"/>
      <c r="P208" s="166"/>
      <c r="Q208" s="166"/>
      <c r="R208" s="166"/>
      <c r="S208" s="166"/>
      <c r="T208" s="166"/>
      <c r="U208" s="166"/>
      <c r="V208" s="72"/>
      <c r="W208" s="72"/>
      <c r="X208" s="72"/>
      <c r="CQ208" s="166"/>
      <c r="CR208" s="166"/>
      <c r="CS208" s="166"/>
      <c r="CT208" s="166"/>
      <c r="CU208" s="166"/>
      <c r="CV208" s="166"/>
      <c r="CW208" s="166"/>
      <c r="CX208" s="166"/>
      <c r="CY208" s="166"/>
      <c r="CZ208" s="166"/>
    </row>
    <row r="209" spans="1:104" ht="12.75" customHeight="1" x14ac:dyDescent="0.2">
      <c r="A209" s="72"/>
      <c r="B209" s="72"/>
      <c r="C209" s="72"/>
      <c r="D209" s="72"/>
      <c r="E209" s="72"/>
      <c r="F209" s="110"/>
      <c r="G209" s="72"/>
      <c r="H209" s="72"/>
      <c r="I209" s="72"/>
      <c r="J209" s="72"/>
      <c r="K209" s="72"/>
      <c r="L209" s="72"/>
      <c r="M209" s="72"/>
      <c r="N209" s="72"/>
      <c r="O209" s="72"/>
      <c r="P209" s="166"/>
      <c r="Q209" s="166"/>
      <c r="R209" s="166"/>
      <c r="S209" s="166"/>
      <c r="T209" s="166"/>
      <c r="U209" s="166"/>
      <c r="V209" s="72"/>
      <c r="W209" s="72"/>
      <c r="X209" s="72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</row>
    <row r="210" spans="1:104" ht="12.75" customHeight="1" x14ac:dyDescent="0.2">
      <c r="A210" s="72"/>
      <c r="B210" s="72"/>
      <c r="C210" s="72"/>
      <c r="D210" s="72"/>
      <c r="E210" s="72"/>
      <c r="F210" s="72"/>
      <c r="G210" s="348"/>
      <c r="H210" s="348"/>
      <c r="I210" s="348"/>
      <c r="J210" s="348"/>
      <c r="K210" s="348"/>
      <c r="L210" s="72"/>
      <c r="M210" s="72"/>
      <c r="N210" s="72"/>
      <c r="O210" s="72"/>
      <c r="P210" s="166"/>
      <c r="Q210" s="166"/>
      <c r="R210" s="166"/>
      <c r="S210" s="166"/>
      <c r="T210" s="166"/>
      <c r="U210" s="166"/>
      <c r="V210" s="72"/>
      <c r="W210" s="72"/>
      <c r="X210" s="72"/>
      <c r="CQ210" s="166"/>
      <c r="CR210" s="166"/>
      <c r="CS210" s="166"/>
      <c r="CT210" s="166"/>
      <c r="CU210" s="166"/>
      <c r="CV210" s="166"/>
      <c r="CW210" s="166"/>
      <c r="CX210" s="166"/>
      <c r="CY210" s="166"/>
      <c r="CZ210" s="166"/>
    </row>
    <row r="211" spans="1:104" ht="12.75" customHeight="1" x14ac:dyDescent="0.2">
      <c r="A211" s="72"/>
      <c r="B211" s="72"/>
      <c r="C211" s="72"/>
      <c r="D211" s="72"/>
      <c r="E211" s="72"/>
      <c r="F211" s="72"/>
      <c r="G211" s="348"/>
      <c r="H211" s="348"/>
      <c r="I211" s="348"/>
      <c r="J211" s="348"/>
      <c r="K211" s="348"/>
      <c r="L211" s="72"/>
      <c r="M211" s="72"/>
      <c r="N211" s="72"/>
      <c r="O211" s="72"/>
      <c r="P211" s="166"/>
      <c r="Q211" s="166"/>
      <c r="R211" s="166"/>
      <c r="S211" s="166"/>
      <c r="T211" s="166"/>
      <c r="U211" s="166"/>
      <c r="V211" s="72"/>
      <c r="W211" s="72"/>
      <c r="X211" s="72"/>
      <c r="CQ211" s="166"/>
      <c r="CR211" s="166"/>
      <c r="CS211" s="166"/>
      <c r="CT211" s="166"/>
      <c r="CU211" s="166"/>
      <c r="CV211" s="166"/>
      <c r="CW211" s="166"/>
      <c r="CX211" s="166"/>
      <c r="CY211" s="166"/>
      <c r="CZ211" s="166"/>
    </row>
    <row r="212" spans="1:104" ht="12.75" customHeight="1" x14ac:dyDescent="0.2">
      <c r="A212" s="72"/>
      <c r="B212" s="348"/>
      <c r="C212" s="348"/>
      <c r="D212" s="348"/>
      <c r="E212" s="348"/>
      <c r="F212" s="72"/>
      <c r="G212" s="348"/>
      <c r="H212" s="348"/>
      <c r="I212" s="348"/>
      <c r="J212" s="348"/>
      <c r="K212" s="348"/>
      <c r="L212" s="72"/>
      <c r="M212" s="72"/>
      <c r="N212" s="72"/>
      <c r="O212" s="72"/>
      <c r="P212" s="166"/>
      <c r="Q212" s="166"/>
      <c r="R212" s="166"/>
      <c r="S212" s="166"/>
      <c r="T212" s="166"/>
      <c r="U212" s="166"/>
      <c r="V212" s="72"/>
      <c r="W212" s="72"/>
      <c r="X212" s="72"/>
      <c r="CQ212" s="166"/>
      <c r="CR212" s="166"/>
      <c r="CS212" s="166"/>
      <c r="CT212" s="166"/>
      <c r="CU212" s="166"/>
      <c r="CV212" s="166"/>
      <c r="CW212" s="166"/>
      <c r="CX212" s="166"/>
      <c r="CY212" s="166"/>
      <c r="CZ212" s="166"/>
    </row>
    <row r="213" spans="1:104" ht="12.75" customHeight="1" x14ac:dyDescent="0.2">
      <c r="A213" s="72"/>
      <c r="B213" s="348"/>
      <c r="C213" s="348"/>
      <c r="D213" s="348"/>
      <c r="E213" s="348"/>
      <c r="F213" s="72"/>
      <c r="G213" s="348"/>
      <c r="H213" s="348"/>
      <c r="I213" s="348"/>
      <c r="J213" s="348"/>
      <c r="K213" s="348"/>
      <c r="L213" s="72"/>
      <c r="M213" s="72"/>
      <c r="N213" s="72"/>
      <c r="O213" s="72"/>
      <c r="P213" s="166"/>
      <c r="Q213" s="166"/>
      <c r="R213" s="166"/>
      <c r="S213" s="166"/>
      <c r="T213" s="166"/>
      <c r="U213" s="166"/>
      <c r="V213" s="72"/>
      <c r="W213" s="72"/>
      <c r="X213" s="72"/>
      <c r="CQ213" s="166"/>
      <c r="CR213" s="166"/>
      <c r="CS213" s="166"/>
      <c r="CT213" s="166"/>
      <c r="CU213" s="166"/>
      <c r="CV213" s="166"/>
      <c r="CW213" s="166"/>
      <c r="CX213" s="166"/>
      <c r="CY213" s="166"/>
      <c r="CZ213" s="166"/>
    </row>
    <row r="214" spans="1:104" ht="12.75" customHeight="1" x14ac:dyDescent="0.2">
      <c r="A214" s="72"/>
      <c r="B214" s="348"/>
      <c r="C214" s="348"/>
      <c r="D214" s="348"/>
      <c r="E214" s="348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166"/>
      <c r="Q214" s="166"/>
      <c r="R214" s="166"/>
      <c r="S214" s="166"/>
      <c r="T214" s="166"/>
      <c r="U214" s="166"/>
      <c r="V214" s="72"/>
      <c r="W214" s="72"/>
      <c r="X214" s="72"/>
      <c r="CQ214" s="166"/>
      <c r="CR214" s="166"/>
      <c r="CS214" s="166"/>
      <c r="CT214" s="166"/>
      <c r="CU214" s="166"/>
      <c r="CV214" s="166"/>
      <c r="CW214" s="166"/>
      <c r="CX214" s="166"/>
      <c r="CY214" s="166"/>
      <c r="CZ214" s="166"/>
    </row>
    <row r="215" spans="1:104" ht="12.75" customHeight="1" x14ac:dyDescent="0.2">
      <c r="A215" s="72"/>
      <c r="B215" s="348"/>
      <c r="C215" s="348"/>
      <c r="D215" s="348"/>
      <c r="E215" s="348"/>
      <c r="F215" s="72"/>
      <c r="G215" s="345"/>
      <c r="H215" s="345"/>
      <c r="I215" s="345"/>
      <c r="J215" s="72"/>
      <c r="K215" s="72"/>
      <c r="L215" s="72"/>
      <c r="M215" s="72"/>
      <c r="N215" s="72"/>
      <c r="O215" s="72"/>
      <c r="P215" s="166"/>
      <c r="Q215" s="166"/>
      <c r="R215" s="166"/>
      <c r="S215" s="166"/>
      <c r="T215" s="166"/>
      <c r="U215" s="166"/>
      <c r="V215" s="72"/>
      <c r="W215" s="72"/>
      <c r="X215" s="72"/>
      <c r="CQ215" s="166"/>
      <c r="CR215" s="166"/>
      <c r="CS215" s="166"/>
      <c r="CT215" s="166"/>
      <c r="CU215" s="166"/>
      <c r="CV215" s="166"/>
      <c r="CW215" s="166"/>
      <c r="CX215" s="166"/>
      <c r="CY215" s="166"/>
      <c r="CZ215" s="166"/>
    </row>
    <row r="216" spans="1:104" ht="12.75" customHeight="1" x14ac:dyDescent="0.2">
      <c r="A216" s="72"/>
      <c r="B216" s="72"/>
      <c r="C216" s="72"/>
      <c r="D216" s="72"/>
      <c r="E216" s="72"/>
      <c r="F216" s="72"/>
      <c r="G216" s="345"/>
      <c r="H216" s="345"/>
      <c r="I216" s="345"/>
      <c r="J216" s="345"/>
      <c r="K216" s="72"/>
      <c r="L216" s="72"/>
      <c r="M216" s="72"/>
      <c r="N216" s="72"/>
      <c r="O216" s="72"/>
      <c r="P216" s="166"/>
      <c r="Q216" s="166"/>
      <c r="R216" s="166"/>
      <c r="S216" s="166"/>
      <c r="T216" s="166"/>
      <c r="U216" s="166"/>
      <c r="V216" s="72"/>
      <c r="W216" s="72"/>
      <c r="X216" s="72"/>
      <c r="CQ216" s="166"/>
      <c r="CR216" s="166"/>
      <c r="CS216" s="166"/>
      <c r="CT216" s="166"/>
      <c r="CU216" s="166"/>
      <c r="CV216" s="166"/>
      <c r="CW216" s="166"/>
      <c r="CX216" s="166"/>
      <c r="CY216" s="166"/>
      <c r="CZ216" s="166"/>
    </row>
    <row r="217" spans="1:104" ht="12.75" customHeight="1" x14ac:dyDescent="0.2">
      <c r="A217" s="72"/>
      <c r="B217" s="72"/>
      <c r="C217" s="72"/>
      <c r="D217" s="72"/>
      <c r="E217" s="72"/>
      <c r="F217" s="72"/>
      <c r="G217" s="72"/>
      <c r="H217" s="72"/>
      <c r="I217" s="72"/>
      <c r="J217" s="140"/>
      <c r="K217" s="72"/>
      <c r="L217" s="72"/>
      <c r="M217" s="72"/>
      <c r="N217" s="72"/>
      <c r="O217" s="72"/>
      <c r="P217" s="166"/>
      <c r="Q217" s="166"/>
      <c r="R217" s="166"/>
      <c r="S217" s="166"/>
      <c r="T217" s="166"/>
      <c r="U217" s="166"/>
      <c r="V217" s="72"/>
      <c r="W217" s="72"/>
      <c r="X217" s="72"/>
      <c r="CQ217" s="166"/>
      <c r="CR217" s="166"/>
      <c r="CS217" s="166"/>
      <c r="CT217" s="166"/>
      <c r="CU217" s="166"/>
      <c r="CV217" s="166"/>
      <c r="CW217" s="166"/>
      <c r="CX217" s="166"/>
      <c r="CY217" s="166"/>
      <c r="CZ217" s="166"/>
    </row>
    <row r="218" spans="1:104" ht="12.75" customHeight="1" x14ac:dyDescent="0.2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166"/>
      <c r="Q218" s="166"/>
      <c r="R218" s="166"/>
      <c r="S218" s="166"/>
      <c r="T218" s="166"/>
      <c r="U218" s="166"/>
      <c r="V218" s="72"/>
      <c r="W218" s="72"/>
      <c r="X218" s="72"/>
      <c r="CQ218" s="166"/>
      <c r="CR218" s="166"/>
      <c r="CS218" s="166"/>
      <c r="CT218" s="166"/>
      <c r="CU218" s="166"/>
      <c r="CV218" s="166"/>
      <c r="CW218" s="166"/>
      <c r="CX218" s="166"/>
      <c r="CY218" s="166"/>
      <c r="CZ218" s="166"/>
    </row>
    <row r="219" spans="1:104" ht="12.75" customHeight="1" x14ac:dyDescent="0.2">
      <c r="A219" s="72"/>
      <c r="B219" s="72"/>
      <c r="C219" s="72"/>
      <c r="D219" s="72"/>
      <c r="E219" s="72"/>
      <c r="F219" s="72"/>
      <c r="G219" s="72"/>
      <c r="H219" s="72"/>
      <c r="I219" s="72"/>
      <c r="J219" s="101"/>
      <c r="K219" s="72"/>
      <c r="L219" s="72"/>
      <c r="M219" s="72"/>
      <c r="N219" s="72"/>
      <c r="O219" s="72"/>
      <c r="P219" s="166"/>
      <c r="Q219" s="166"/>
      <c r="R219" s="166"/>
      <c r="S219" s="166"/>
      <c r="T219" s="166"/>
      <c r="U219" s="166"/>
      <c r="V219" s="72"/>
      <c r="W219" s="72"/>
      <c r="X219" s="72"/>
      <c r="CQ219" s="166"/>
      <c r="CR219" s="166"/>
      <c r="CS219" s="166"/>
      <c r="CT219" s="166"/>
      <c r="CU219" s="166"/>
      <c r="CV219" s="166"/>
      <c r="CW219" s="166"/>
      <c r="CX219" s="166"/>
      <c r="CY219" s="166"/>
      <c r="CZ219" s="166"/>
    </row>
    <row r="220" spans="1:104" ht="12.75" customHeight="1" x14ac:dyDescent="0.2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166"/>
      <c r="Q220" s="166"/>
      <c r="R220" s="166"/>
      <c r="S220" s="166"/>
      <c r="T220" s="166"/>
      <c r="U220" s="166"/>
      <c r="V220" s="72"/>
      <c r="W220" s="72"/>
      <c r="X220" s="72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</row>
    <row r="221" spans="1:104" ht="12.75" customHeight="1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101"/>
      <c r="K221" s="72"/>
      <c r="L221" s="72"/>
      <c r="M221" s="72"/>
      <c r="N221" s="72"/>
      <c r="O221" s="72"/>
      <c r="P221" s="166"/>
      <c r="Q221" s="166"/>
      <c r="R221" s="166"/>
      <c r="S221" s="166"/>
      <c r="T221" s="166"/>
      <c r="U221" s="166"/>
      <c r="V221" s="72"/>
      <c r="W221" s="72"/>
      <c r="X221" s="72"/>
      <c r="CQ221" s="166"/>
      <c r="CR221" s="166"/>
      <c r="CS221" s="166"/>
      <c r="CT221" s="166"/>
      <c r="CU221" s="166"/>
      <c r="CV221" s="166"/>
      <c r="CW221" s="166"/>
      <c r="CX221" s="166"/>
      <c r="CY221" s="166"/>
      <c r="CZ221" s="166"/>
    </row>
    <row r="222" spans="1:104" ht="12.75" customHeight="1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101"/>
      <c r="K222" s="72"/>
      <c r="L222" s="72"/>
      <c r="M222" s="72"/>
      <c r="N222" s="72"/>
      <c r="O222" s="72"/>
      <c r="P222" s="166"/>
      <c r="Q222" s="166"/>
      <c r="R222" s="166"/>
      <c r="S222" s="166"/>
      <c r="T222" s="166"/>
      <c r="U222" s="166"/>
      <c r="V222" s="72"/>
      <c r="W222" s="72"/>
      <c r="X222" s="72"/>
      <c r="CQ222" s="166"/>
      <c r="CR222" s="166"/>
      <c r="CS222" s="166"/>
      <c r="CT222" s="166"/>
      <c r="CU222" s="166"/>
      <c r="CV222" s="166"/>
      <c r="CW222" s="166"/>
      <c r="CX222" s="166"/>
      <c r="CY222" s="166"/>
      <c r="CZ222" s="166"/>
    </row>
    <row r="223" spans="1:104" ht="12.75" customHeight="1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101"/>
      <c r="K223" s="72"/>
      <c r="L223" s="72"/>
      <c r="M223" s="72"/>
      <c r="N223" s="72"/>
      <c r="O223" s="72"/>
      <c r="P223" s="166"/>
      <c r="Q223" s="166"/>
      <c r="R223" s="166"/>
      <c r="S223" s="166"/>
      <c r="T223" s="166"/>
      <c r="U223" s="166"/>
      <c r="V223" s="72"/>
      <c r="W223" s="72"/>
      <c r="X223" s="72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</row>
    <row r="224" spans="1:104" ht="12.75" customHeight="1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166"/>
      <c r="Q224" s="166"/>
      <c r="R224" s="166"/>
      <c r="S224" s="166"/>
      <c r="T224" s="166"/>
      <c r="U224" s="166"/>
      <c r="V224" s="72"/>
      <c r="W224" s="72"/>
      <c r="X224" s="72"/>
      <c r="CQ224" s="166"/>
      <c r="CR224" s="166"/>
      <c r="CS224" s="166"/>
      <c r="CT224" s="166"/>
      <c r="CU224" s="166"/>
      <c r="CV224" s="166"/>
      <c r="CW224" s="166"/>
      <c r="CX224" s="166"/>
      <c r="CY224" s="166"/>
      <c r="CZ224" s="166"/>
    </row>
    <row r="225" spans="1:104" ht="12.75" customHeight="1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140"/>
      <c r="K225" s="72"/>
      <c r="L225" s="72"/>
      <c r="M225" s="72"/>
      <c r="N225" s="72"/>
      <c r="O225" s="72"/>
      <c r="P225" s="166"/>
      <c r="Q225" s="166"/>
      <c r="R225" s="166"/>
      <c r="S225" s="166"/>
      <c r="T225" s="166"/>
      <c r="U225" s="166"/>
      <c r="V225" s="72"/>
      <c r="W225" s="72"/>
      <c r="X225" s="72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</row>
    <row r="226" spans="1:104" ht="12.75" customHeight="1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166"/>
      <c r="Q226" s="166"/>
      <c r="R226" s="166"/>
      <c r="S226" s="166"/>
      <c r="T226" s="166"/>
      <c r="U226" s="166"/>
      <c r="V226" s="72"/>
      <c r="W226" s="72"/>
      <c r="X226" s="72"/>
      <c r="CQ226" s="166"/>
      <c r="CR226" s="166"/>
      <c r="CS226" s="166"/>
      <c r="CT226" s="166"/>
      <c r="CU226" s="166"/>
      <c r="CV226" s="166"/>
      <c r="CW226" s="166"/>
      <c r="CX226" s="166"/>
      <c r="CY226" s="166"/>
      <c r="CZ226" s="166"/>
    </row>
    <row r="227" spans="1:104" ht="12.75" customHeight="1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353"/>
      <c r="K227" s="72"/>
      <c r="L227" s="72"/>
      <c r="M227" s="72"/>
      <c r="N227" s="72"/>
      <c r="O227" s="72"/>
      <c r="P227" s="166"/>
      <c r="Q227" s="166"/>
      <c r="R227" s="166"/>
      <c r="S227" s="166"/>
      <c r="T227" s="166"/>
      <c r="U227" s="166"/>
      <c r="V227" s="72"/>
      <c r="W227" s="72"/>
      <c r="X227" s="72"/>
      <c r="CQ227" s="166"/>
      <c r="CR227" s="166"/>
      <c r="CS227" s="166"/>
      <c r="CT227" s="166"/>
      <c r="CU227" s="166"/>
      <c r="CV227" s="166"/>
      <c r="CW227" s="166"/>
      <c r="CX227" s="166"/>
      <c r="CY227" s="166"/>
      <c r="CZ227" s="166"/>
    </row>
    <row r="228" spans="1:104" ht="12.75" customHeight="1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166"/>
      <c r="Q228" s="166"/>
      <c r="R228" s="166"/>
      <c r="S228" s="166"/>
      <c r="T228" s="166"/>
      <c r="U228" s="166"/>
      <c r="V228" s="72"/>
      <c r="W228" s="72"/>
      <c r="X228" s="72"/>
      <c r="CQ228" s="166"/>
      <c r="CR228" s="166"/>
      <c r="CS228" s="166"/>
      <c r="CT228" s="166"/>
      <c r="CU228" s="166"/>
      <c r="CV228" s="166"/>
      <c r="CW228" s="166"/>
      <c r="CX228" s="166"/>
      <c r="CY228" s="166"/>
      <c r="CZ228" s="166"/>
    </row>
    <row r="229" spans="1:104" ht="12.75" customHeight="1" x14ac:dyDescent="0.2">
      <c r="A229" s="72"/>
      <c r="B229" s="72"/>
      <c r="C229" s="72"/>
      <c r="D229" s="72"/>
      <c r="E229" s="72"/>
      <c r="F229" s="72"/>
      <c r="G229" s="72"/>
      <c r="H229" s="72"/>
      <c r="I229" s="72"/>
      <c r="J229" s="140"/>
      <c r="K229" s="72"/>
      <c r="L229" s="72"/>
      <c r="M229" s="72"/>
      <c r="N229" s="72"/>
      <c r="O229" s="72"/>
      <c r="P229" s="166"/>
      <c r="Q229" s="166"/>
      <c r="R229" s="166"/>
      <c r="S229" s="166"/>
      <c r="T229" s="166"/>
      <c r="U229" s="166"/>
      <c r="V229" s="72"/>
      <c r="W229" s="72"/>
      <c r="X229" s="72"/>
      <c r="CQ229" s="166"/>
      <c r="CR229" s="166"/>
      <c r="CS229" s="166"/>
      <c r="CT229" s="166"/>
      <c r="CU229" s="166"/>
      <c r="CV229" s="166"/>
      <c r="CW229" s="166"/>
      <c r="CX229" s="166"/>
      <c r="CY229" s="166"/>
      <c r="CZ229" s="166"/>
    </row>
    <row r="230" spans="1:104" ht="12.75" customHeight="1" x14ac:dyDescent="0.2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166"/>
      <c r="Q230" s="166"/>
      <c r="R230" s="166"/>
      <c r="S230" s="166"/>
      <c r="T230" s="166"/>
      <c r="U230" s="166"/>
      <c r="V230" s="72"/>
      <c r="W230" s="72"/>
      <c r="X230" s="72"/>
      <c r="CQ230" s="166"/>
      <c r="CR230" s="166"/>
      <c r="CS230" s="166"/>
      <c r="CT230" s="166"/>
      <c r="CU230" s="166"/>
      <c r="CV230" s="166"/>
      <c r="CW230" s="166"/>
      <c r="CX230" s="166"/>
      <c r="CY230" s="166"/>
      <c r="CZ230" s="166"/>
    </row>
    <row r="231" spans="1:104" ht="12.75" customHeight="1" x14ac:dyDescent="0.2">
      <c r="A231" s="72"/>
      <c r="B231" s="72"/>
      <c r="C231" s="72"/>
      <c r="D231" s="72"/>
      <c r="E231" s="72"/>
      <c r="F231" s="72"/>
      <c r="G231" s="72"/>
      <c r="H231" s="72"/>
      <c r="I231" s="72"/>
      <c r="J231" s="351"/>
      <c r="K231" s="72"/>
      <c r="L231" s="72"/>
      <c r="M231" s="72"/>
      <c r="N231" s="72"/>
      <c r="O231" s="72"/>
      <c r="P231" s="166"/>
      <c r="Q231" s="166"/>
      <c r="R231" s="166"/>
      <c r="S231" s="166"/>
      <c r="T231" s="166"/>
      <c r="U231" s="166"/>
      <c r="V231" s="72"/>
      <c r="W231" s="72"/>
      <c r="X231" s="72"/>
      <c r="CQ231" s="166"/>
      <c r="CR231" s="166"/>
      <c r="CS231" s="166"/>
      <c r="CT231" s="166"/>
      <c r="CU231" s="166"/>
      <c r="CV231" s="166"/>
      <c r="CW231" s="166"/>
      <c r="CX231" s="166"/>
      <c r="CY231" s="166"/>
      <c r="CZ231" s="166"/>
    </row>
    <row r="232" spans="1:104" ht="12.75" customHeight="1" x14ac:dyDescent="0.2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166"/>
      <c r="Q232" s="166"/>
      <c r="R232" s="166"/>
      <c r="S232" s="166"/>
      <c r="T232" s="166"/>
      <c r="U232" s="166"/>
      <c r="V232" s="72"/>
      <c r="W232" s="72"/>
      <c r="X232" s="72"/>
      <c r="CQ232" s="166"/>
      <c r="CR232" s="166"/>
      <c r="CS232" s="166"/>
      <c r="CT232" s="166"/>
      <c r="CU232" s="166"/>
      <c r="CV232" s="166"/>
      <c r="CW232" s="166"/>
      <c r="CX232" s="166"/>
      <c r="CY232" s="166"/>
      <c r="CZ232" s="166"/>
    </row>
    <row r="233" spans="1:104" ht="12.75" customHeight="1" x14ac:dyDescent="0.2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166"/>
      <c r="Q233" s="166"/>
      <c r="R233" s="166"/>
      <c r="S233" s="166"/>
      <c r="T233" s="166"/>
      <c r="U233" s="166"/>
      <c r="V233" s="72"/>
      <c r="W233" s="72"/>
      <c r="X233" s="72"/>
      <c r="CQ233" s="166"/>
      <c r="CR233" s="166"/>
      <c r="CS233" s="166"/>
      <c r="CT233" s="166"/>
      <c r="CU233" s="166"/>
      <c r="CV233" s="166"/>
      <c r="CW233" s="166"/>
      <c r="CX233" s="166"/>
      <c r="CY233" s="166"/>
      <c r="CZ233" s="166"/>
    </row>
    <row r="234" spans="1:104" ht="12.75" customHeight="1" x14ac:dyDescent="0.2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166"/>
      <c r="Q234" s="166"/>
      <c r="R234" s="166"/>
      <c r="S234" s="166"/>
      <c r="T234" s="166"/>
      <c r="U234" s="166"/>
      <c r="V234" s="72"/>
      <c r="W234" s="72"/>
      <c r="X234" s="72"/>
      <c r="CQ234" s="166"/>
      <c r="CR234" s="166"/>
      <c r="CS234" s="166"/>
      <c r="CT234" s="166"/>
      <c r="CU234" s="166"/>
      <c r="CV234" s="166"/>
      <c r="CW234" s="166"/>
      <c r="CX234" s="166"/>
      <c r="CY234" s="166"/>
      <c r="CZ234" s="166"/>
    </row>
    <row r="235" spans="1:104" ht="12.75" customHeight="1" x14ac:dyDescent="0.2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166"/>
      <c r="Q235" s="166"/>
      <c r="R235" s="166"/>
      <c r="S235" s="166"/>
      <c r="T235" s="166"/>
      <c r="U235" s="166"/>
      <c r="V235" s="72"/>
      <c r="W235" s="72"/>
      <c r="X235" s="72"/>
      <c r="CQ235" s="166"/>
      <c r="CR235" s="166"/>
      <c r="CS235" s="166"/>
      <c r="CT235" s="166"/>
      <c r="CU235" s="166"/>
      <c r="CV235" s="166"/>
      <c r="CW235" s="166"/>
      <c r="CX235" s="166"/>
      <c r="CY235" s="166"/>
      <c r="CZ235" s="166"/>
    </row>
    <row r="236" spans="1:104" ht="12.75" customHeight="1" x14ac:dyDescent="0.2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166"/>
      <c r="Q236" s="166"/>
      <c r="R236" s="166"/>
      <c r="S236" s="166"/>
      <c r="T236" s="166"/>
      <c r="U236" s="166"/>
      <c r="V236" s="72"/>
      <c r="W236" s="72"/>
      <c r="X236" s="72"/>
      <c r="CQ236" s="166"/>
      <c r="CR236" s="166"/>
      <c r="CS236" s="166"/>
      <c r="CT236" s="166"/>
      <c r="CU236" s="166"/>
      <c r="CV236" s="166"/>
      <c r="CW236" s="166"/>
      <c r="CX236" s="166"/>
      <c r="CY236" s="166"/>
      <c r="CZ236" s="166"/>
    </row>
    <row r="237" spans="1:104" ht="12.75" customHeight="1" x14ac:dyDescent="0.2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166"/>
      <c r="Q237" s="166"/>
      <c r="R237" s="166"/>
      <c r="S237" s="166"/>
      <c r="T237" s="166"/>
      <c r="U237" s="166"/>
      <c r="V237" s="72"/>
      <c r="W237" s="72"/>
      <c r="X237" s="72"/>
      <c r="CQ237" s="166"/>
      <c r="CR237" s="166"/>
      <c r="CS237" s="166"/>
      <c r="CT237" s="166"/>
      <c r="CU237" s="166"/>
      <c r="CV237" s="166"/>
      <c r="CW237" s="166"/>
      <c r="CX237" s="166"/>
      <c r="CY237" s="166"/>
      <c r="CZ237" s="166"/>
    </row>
    <row r="238" spans="1:104" ht="12.75" customHeight="1" x14ac:dyDescent="0.2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166"/>
      <c r="Q238" s="166"/>
      <c r="R238" s="166"/>
      <c r="S238" s="166"/>
      <c r="T238" s="166"/>
      <c r="U238" s="166"/>
      <c r="V238" s="72"/>
      <c r="W238" s="72"/>
      <c r="X238" s="72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</row>
    <row r="239" spans="1:104" ht="12.75" customHeight="1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166"/>
      <c r="Q239" s="166"/>
      <c r="R239" s="166"/>
      <c r="S239" s="166"/>
      <c r="T239" s="166"/>
      <c r="U239" s="166"/>
      <c r="V239" s="72"/>
      <c r="W239" s="72"/>
      <c r="X239" s="72"/>
      <c r="CQ239" s="166"/>
      <c r="CR239" s="166"/>
      <c r="CS239" s="166"/>
      <c r="CT239" s="166"/>
      <c r="CU239" s="166"/>
      <c r="CV239" s="166"/>
      <c r="CW239" s="166"/>
      <c r="CX239" s="166"/>
      <c r="CY239" s="166"/>
      <c r="CZ239" s="166"/>
    </row>
    <row r="240" spans="1:104" ht="12.75" customHeight="1" x14ac:dyDescent="0.2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166"/>
      <c r="Q240" s="166"/>
      <c r="R240" s="166"/>
      <c r="S240" s="166"/>
      <c r="T240" s="166"/>
      <c r="U240" s="166"/>
      <c r="V240" s="72"/>
      <c r="W240" s="72"/>
      <c r="X240" s="72"/>
      <c r="CQ240" s="166"/>
      <c r="CR240" s="166"/>
      <c r="CS240" s="166"/>
      <c r="CT240" s="166"/>
      <c r="CU240" s="166"/>
      <c r="CV240" s="166"/>
      <c r="CW240" s="166"/>
      <c r="CX240" s="166"/>
      <c r="CY240" s="166"/>
      <c r="CZ240" s="166"/>
    </row>
    <row r="241" spans="2:104" ht="12.75" customHeight="1" x14ac:dyDescent="0.2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166"/>
      <c r="Q241" s="166"/>
      <c r="R241" s="166"/>
      <c r="S241" s="166"/>
      <c r="T241" s="166"/>
      <c r="U241" s="166"/>
      <c r="V241" s="72"/>
      <c r="W241" s="72"/>
      <c r="X241" s="72"/>
      <c r="CQ241" s="166"/>
      <c r="CR241" s="166"/>
      <c r="CS241" s="166"/>
      <c r="CT241" s="166"/>
      <c r="CU241" s="166"/>
      <c r="CV241" s="166"/>
      <c r="CW241" s="166"/>
      <c r="CX241" s="166"/>
      <c r="CY241" s="166"/>
      <c r="CZ241" s="166"/>
    </row>
    <row r="242" spans="2:104" ht="12.75" customHeight="1" x14ac:dyDescent="0.2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166"/>
      <c r="Q242" s="166"/>
      <c r="R242" s="166"/>
      <c r="S242" s="166"/>
      <c r="T242" s="166"/>
      <c r="U242" s="166"/>
      <c r="V242" s="72"/>
      <c r="W242" s="72"/>
      <c r="X242" s="72"/>
      <c r="CQ242" s="166"/>
      <c r="CR242" s="166"/>
      <c r="CS242" s="166"/>
      <c r="CT242" s="166"/>
      <c r="CU242" s="166"/>
      <c r="CV242" s="166"/>
      <c r="CW242" s="166"/>
      <c r="CX242" s="166"/>
      <c r="CY242" s="166"/>
      <c r="CZ242" s="166"/>
    </row>
    <row r="243" spans="2:104" ht="12.75" customHeight="1" x14ac:dyDescent="0.2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166"/>
      <c r="Q243" s="166"/>
      <c r="R243" s="166"/>
      <c r="S243" s="166"/>
      <c r="T243" s="166"/>
      <c r="U243" s="166"/>
      <c r="V243" s="72"/>
      <c r="W243" s="72"/>
      <c r="X243" s="72"/>
      <c r="CQ243" s="166"/>
      <c r="CR243" s="166"/>
      <c r="CS243" s="166"/>
      <c r="CT243" s="166"/>
      <c r="CU243" s="166"/>
      <c r="CV243" s="166"/>
      <c r="CW243" s="166"/>
      <c r="CX243" s="166"/>
      <c r="CY243" s="166"/>
      <c r="CZ243" s="166"/>
    </row>
    <row r="244" spans="2:104" ht="12.75" customHeight="1" x14ac:dyDescent="0.2">
      <c r="B244" s="72"/>
      <c r="C244" s="72"/>
      <c r="D244" s="72"/>
      <c r="E244" s="72"/>
      <c r="G244" s="72"/>
      <c r="H244" s="72"/>
      <c r="I244" s="72"/>
      <c r="J244" s="72"/>
      <c r="K244" s="72"/>
      <c r="L244" s="72"/>
      <c r="M244" s="72"/>
      <c r="N244" s="72"/>
      <c r="O244" s="72"/>
      <c r="P244" s="166"/>
      <c r="Q244" s="166"/>
      <c r="R244" s="166"/>
      <c r="S244" s="166"/>
      <c r="T244" s="166"/>
      <c r="U244" s="166"/>
      <c r="V244" s="72"/>
      <c r="W244" s="72"/>
      <c r="X244" s="72"/>
      <c r="CQ244" s="166"/>
      <c r="CR244" s="166"/>
      <c r="CS244" s="166"/>
      <c r="CT244" s="166"/>
      <c r="CU244" s="166"/>
      <c r="CV244" s="166"/>
      <c r="CW244" s="166"/>
      <c r="CX244" s="166"/>
      <c r="CY244" s="166"/>
      <c r="CZ244" s="166"/>
    </row>
    <row r="245" spans="2:104" ht="12.75" customHeight="1" x14ac:dyDescent="0.2">
      <c r="B245" s="72"/>
      <c r="C245" s="72"/>
      <c r="D245" s="72"/>
      <c r="E245" s="72"/>
      <c r="G245" s="72"/>
      <c r="H245" s="72"/>
      <c r="I245" s="72"/>
      <c r="J245" s="72"/>
      <c r="K245" s="72"/>
      <c r="L245" s="72"/>
      <c r="M245" s="72"/>
      <c r="N245" s="72"/>
      <c r="O245" s="72"/>
      <c r="P245" s="166"/>
      <c r="Q245" s="166"/>
      <c r="R245" s="166"/>
      <c r="S245" s="166"/>
      <c r="T245" s="166"/>
      <c r="U245" s="166"/>
      <c r="V245" s="72"/>
      <c r="W245" s="72"/>
      <c r="X245" s="72"/>
      <c r="CQ245" s="166"/>
      <c r="CR245" s="166"/>
      <c r="CS245" s="166"/>
      <c r="CT245" s="166"/>
      <c r="CU245" s="166"/>
      <c r="CV245" s="166"/>
      <c r="CW245" s="166"/>
      <c r="CX245" s="166"/>
      <c r="CY245" s="166"/>
      <c r="CZ245" s="166"/>
    </row>
    <row r="246" spans="2:104" ht="12.75" customHeight="1" x14ac:dyDescent="0.2">
      <c r="B246" s="72"/>
      <c r="C246" s="72"/>
      <c r="D246" s="72"/>
      <c r="E246" s="72"/>
      <c r="G246" s="72"/>
      <c r="H246" s="72"/>
      <c r="I246" s="72"/>
      <c r="J246" s="72"/>
      <c r="K246" s="72"/>
      <c r="L246" s="72"/>
      <c r="M246" s="72"/>
      <c r="N246" s="72"/>
      <c r="O246" s="72"/>
      <c r="P246" s="166"/>
      <c r="Q246" s="166"/>
      <c r="R246" s="166"/>
      <c r="S246" s="166"/>
      <c r="T246" s="166"/>
      <c r="U246" s="166"/>
      <c r="V246" s="72"/>
      <c r="W246" s="72"/>
      <c r="X246" s="72"/>
      <c r="CQ246" s="166"/>
      <c r="CR246" s="166"/>
      <c r="CS246" s="166"/>
      <c r="CT246" s="166"/>
      <c r="CU246" s="166"/>
      <c r="CV246" s="166"/>
      <c r="CW246" s="166"/>
      <c r="CX246" s="166"/>
      <c r="CY246" s="166"/>
      <c r="CZ246" s="166"/>
    </row>
    <row r="247" spans="2:104" ht="12.75" customHeight="1" x14ac:dyDescent="0.2">
      <c r="B247" s="72"/>
      <c r="C247" s="72"/>
      <c r="D247" s="72"/>
      <c r="E247" s="72"/>
      <c r="G247" s="72"/>
      <c r="H247" s="72"/>
      <c r="I247" s="72"/>
      <c r="J247" s="72"/>
      <c r="K247" s="72"/>
      <c r="L247" s="72"/>
      <c r="M247" s="72"/>
      <c r="N247" s="72"/>
      <c r="O247" s="72"/>
      <c r="P247" s="166"/>
      <c r="Q247" s="166"/>
      <c r="R247" s="166"/>
      <c r="S247" s="166"/>
      <c r="T247" s="166"/>
      <c r="U247" s="166"/>
      <c r="V247" s="72"/>
      <c r="W247" s="72"/>
      <c r="X247" s="72"/>
      <c r="CQ247" s="166"/>
      <c r="CR247" s="166"/>
      <c r="CS247" s="166"/>
      <c r="CT247" s="166"/>
      <c r="CU247" s="166"/>
      <c r="CV247" s="166"/>
      <c r="CW247" s="166"/>
      <c r="CX247" s="166"/>
      <c r="CY247" s="166"/>
      <c r="CZ247" s="166"/>
    </row>
    <row r="248" spans="2:104" ht="12.75" customHeight="1" x14ac:dyDescent="0.2">
      <c r="B248" s="72"/>
      <c r="C248" s="72"/>
      <c r="D248" s="72"/>
      <c r="E248" s="72"/>
      <c r="G248" s="72"/>
      <c r="H248" s="72"/>
      <c r="I248" s="72"/>
      <c r="J248" s="72"/>
      <c r="K248" s="72"/>
      <c r="L248" s="72"/>
      <c r="M248" s="72"/>
      <c r="N248" s="72"/>
      <c r="O248" s="72"/>
      <c r="P248" s="166"/>
      <c r="Q248" s="166"/>
      <c r="R248" s="166"/>
      <c r="S248" s="166"/>
      <c r="T248" s="166"/>
      <c r="U248" s="166"/>
      <c r="V248" s="72"/>
      <c r="W248" s="72"/>
      <c r="X248" s="72"/>
      <c r="CQ248" s="166"/>
      <c r="CR248" s="166"/>
      <c r="CS248" s="166"/>
      <c r="CT248" s="166"/>
      <c r="CU248" s="166"/>
      <c r="CV248" s="166"/>
      <c r="CW248" s="166"/>
      <c r="CX248" s="166"/>
      <c r="CY248" s="166"/>
      <c r="CZ248" s="166"/>
    </row>
    <row r="249" spans="2:104" ht="12.75" customHeight="1" x14ac:dyDescent="0.2">
      <c r="B249" s="72"/>
      <c r="C249" s="72"/>
      <c r="D249" s="72"/>
      <c r="E249" s="72"/>
      <c r="G249" s="72"/>
      <c r="H249" s="72"/>
      <c r="I249" s="72"/>
      <c r="J249" s="72"/>
      <c r="K249" s="72"/>
      <c r="L249" s="72"/>
      <c r="M249" s="72"/>
      <c r="N249" s="72"/>
      <c r="O249" s="72"/>
      <c r="P249" s="166"/>
      <c r="Q249" s="166"/>
      <c r="R249" s="166"/>
      <c r="S249" s="166"/>
      <c r="T249" s="166"/>
      <c r="U249" s="166"/>
      <c r="V249" s="72"/>
      <c r="W249" s="72"/>
      <c r="X249" s="72"/>
      <c r="CQ249" s="166"/>
      <c r="CR249" s="166"/>
      <c r="CS249" s="166"/>
      <c r="CT249" s="166"/>
      <c r="CU249" s="166"/>
      <c r="CV249" s="166"/>
      <c r="CW249" s="166"/>
      <c r="CX249" s="166"/>
      <c r="CY249" s="166"/>
      <c r="CZ249" s="166"/>
    </row>
    <row r="250" spans="2:104" ht="12.75" customHeight="1" x14ac:dyDescent="0.2">
      <c r="B250" s="72"/>
      <c r="C250" s="72"/>
      <c r="D250" s="72"/>
      <c r="E250" s="72"/>
      <c r="G250" s="72"/>
      <c r="H250" s="72"/>
      <c r="I250" s="72"/>
      <c r="J250" s="72"/>
      <c r="K250" s="72"/>
      <c r="L250" s="72"/>
      <c r="M250" s="72"/>
      <c r="N250" s="72"/>
      <c r="O250" s="72"/>
      <c r="P250" s="166"/>
      <c r="Q250" s="166"/>
      <c r="R250" s="166"/>
      <c r="S250" s="166"/>
      <c r="T250" s="166"/>
      <c r="U250" s="166"/>
      <c r="V250" s="72"/>
      <c r="W250" s="72"/>
      <c r="X250" s="72"/>
      <c r="CQ250" s="166"/>
      <c r="CR250" s="166"/>
      <c r="CS250" s="166"/>
      <c r="CT250" s="166"/>
      <c r="CU250" s="166"/>
      <c r="CV250" s="166"/>
      <c r="CW250" s="166"/>
      <c r="CX250" s="166"/>
      <c r="CY250" s="166"/>
      <c r="CZ250" s="166"/>
    </row>
    <row r="251" spans="2:104" ht="12.75" customHeight="1" x14ac:dyDescent="0.2">
      <c r="B251" s="72"/>
      <c r="C251" s="72"/>
      <c r="D251" s="72"/>
      <c r="E251" s="72"/>
      <c r="G251" s="72"/>
      <c r="H251" s="72"/>
      <c r="I251" s="72"/>
      <c r="J251" s="72"/>
      <c r="K251" s="72"/>
      <c r="L251" s="72"/>
      <c r="M251" s="72"/>
      <c r="N251" s="72"/>
      <c r="O251" s="72"/>
      <c r="P251" s="166"/>
      <c r="Q251" s="166"/>
      <c r="R251" s="166"/>
      <c r="S251" s="166"/>
      <c r="T251" s="166"/>
      <c r="U251" s="166"/>
      <c r="V251" s="72"/>
      <c r="W251" s="72"/>
      <c r="X251" s="72"/>
      <c r="CQ251" s="166"/>
      <c r="CR251" s="166"/>
      <c r="CS251" s="166"/>
      <c r="CT251" s="166"/>
      <c r="CU251" s="166"/>
      <c r="CV251" s="166"/>
      <c r="CW251" s="166"/>
      <c r="CX251" s="166"/>
      <c r="CY251" s="166"/>
      <c r="CZ251" s="166"/>
    </row>
    <row r="252" spans="2:104" ht="12.75" customHeight="1" x14ac:dyDescent="0.2">
      <c r="B252" s="72"/>
      <c r="C252" s="72"/>
      <c r="D252" s="72"/>
      <c r="E252" s="72"/>
      <c r="G252" s="72"/>
      <c r="H252" s="72"/>
      <c r="I252" s="72"/>
      <c r="J252" s="72"/>
      <c r="K252" s="72"/>
      <c r="L252" s="72"/>
      <c r="M252" s="72"/>
      <c r="N252" s="72"/>
      <c r="O252" s="72"/>
      <c r="P252" s="166"/>
      <c r="Q252" s="166"/>
      <c r="R252" s="166"/>
      <c r="S252" s="166"/>
      <c r="T252" s="166"/>
      <c r="U252" s="166"/>
      <c r="V252" s="72"/>
      <c r="W252" s="72"/>
      <c r="X252" s="72"/>
      <c r="CQ252" s="166"/>
      <c r="CR252" s="166"/>
      <c r="CS252" s="166"/>
      <c r="CT252" s="166"/>
      <c r="CU252" s="166"/>
      <c r="CV252" s="166"/>
      <c r="CW252" s="166"/>
      <c r="CX252" s="166"/>
      <c r="CY252" s="166"/>
      <c r="CZ252" s="166"/>
    </row>
    <row r="253" spans="2:104" ht="12.75" customHeight="1" x14ac:dyDescent="0.2">
      <c r="B253" s="72"/>
      <c r="C253" s="72"/>
      <c r="D253" s="72"/>
      <c r="E253" s="72"/>
      <c r="G253" s="72"/>
      <c r="H253" s="72"/>
      <c r="I253" s="72"/>
      <c r="J253" s="72"/>
      <c r="K253" s="72"/>
      <c r="L253" s="72"/>
      <c r="M253" s="72"/>
      <c r="N253" s="72"/>
      <c r="O253" s="72"/>
      <c r="P253" s="166"/>
      <c r="Q253" s="166"/>
      <c r="R253" s="166"/>
      <c r="S253" s="166"/>
      <c r="T253" s="166"/>
      <c r="U253" s="166"/>
      <c r="V253" s="72"/>
      <c r="W253" s="72"/>
      <c r="X253" s="72"/>
      <c r="CQ253" s="166"/>
      <c r="CR253" s="166"/>
      <c r="CS253" s="166"/>
      <c r="CT253" s="166"/>
      <c r="CU253" s="166"/>
      <c r="CV253" s="166"/>
      <c r="CW253" s="166"/>
      <c r="CX253" s="166"/>
      <c r="CY253" s="166"/>
      <c r="CZ253" s="166"/>
    </row>
    <row r="254" spans="2:104" ht="12.75" customHeight="1" x14ac:dyDescent="0.2">
      <c r="B254" s="72"/>
      <c r="C254" s="72"/>
      <c r="D254" s="72"/>
      <c r="E254" s="72"/>
      <c r="G254" s="72"/>
      <c r="H254" s="72"/>
      <c r="I254" s="72"/>
      <c r="J254" s="72"/>
      <c r="K254" s="72"/>
      <c r="L254" s="72"/>
      <c r="M254" s="72"/>
      <c r="N254" s="72"/>
      <c r="O254" s="72"/>
      <c r="P254" s="166"/>
      <c r="Q254" s="166"/>
      <c r="R254" s="166"/>
      <c r="S254" s="166"/>
      <c r="T254" s="166"/>
      <c r="U254" s="166"/>
      <c r="V254" s="72"/>
      <c r="W254" s="72"/>
      <c r="X254" s="72"/>
      <c r="CQ254" s="166"/>
      <c r="CR254" s="166"/>
      <c r="CS254" s="166"/>
      <c r="CT254" s="166"/>
      <c r="CU254" s="166"/>
      <c r="CV254" s="166"/>
      <c r="CW254" s="166"/>
      <c r="CX254" s="166"/>
      <c r="CY254" s="166"/>
      <c r="CZ254" s="166"/>
    </row>
    <row r="255" spans="2:104" ht="12.75" customHeight="1" x14ac:dyDescent="0.2">
      <c r="B255" s="72"/>
      <c r="C255" s="72"/>
      <c r="D255" s="72"/>
      <c r="E255" s="72"/>
      <c r="G255" s="72"/>
      <c r="H255" s="72"/>
      <c r="I255" s="72"/>
      <c r="J255" s="72"/>
      <c r="K255" s="72"/>
      <c r="L255" s="72"/>
      <c r="M255" s="72"/>
      <c r="N255" s="72"/>
      <c r="O255" s="72"/>
      <c r="P255" s="166"/>
      <c r="Q255" s="166"/>
      <c r="R255" s="166"/>
      <c r="S255" s="166"/>
      <c r="T255" s="166"/>
      <c r="U255" s="166"/>
      <c r="V255" s="72"/>
      <c r="W255" s="72"/>
      <c r="X255" s="72"/>
      <c r="CQ255" s="166"/>
      <c r="CR255" s="166"/>
      <c r="CS255" s="166"/>
      <c r="CT255" s="166"/>
      <c r="CU255" s="166"/>
      <c r="CV255" s="166"/>
      <c r="CW255" s="166"/>
      <c r="CX255" s="166"/>
      <c r="CY255" s="166"/>
      <c r="CZ255" s="166"/>
    </row>
    <row r="256" spans="2:104" ht="12.75" customHeight="1" x14ac:dyDescent="0.2">
      <c r="B256" s="72"/>
      <c r="C256" s="72"/>
      <c r="D256" s="72"/>
      <c r="E256" s="72"/>
      <c r="G256" s="72"/>
      <c r="H256" s="72"/>
      <c r="I256" s="72"/>
      <c r="J256" s="72"/>
      <c r="K256" s="72"/>
      <c r="L256" s="72"/>
      <c r="M256" s="72"/>
      <c r="N256" s="72"/>
      <c r="O256" s="72"/>
      <c r="P256" s="166"/>
      <c r="Q256" s="166"/>
      <c r="R256" s="166"/>
      <c r="S256" s="166"/>
      <c r="T256" s="166"/>
      <c r="U256" s="166"/>
      <c r="V256" s="72"/>
      <c r="W256" s="72"/>
      <c r="X256" s="72"/>
      <c r="CQ256" s="166"/>
      <c r="CR256" s="166"/>
      <c r="CS256" s="166"/>
      <c r="CT256" s="166"/>
      <c r="CU256" s="166"/>
      <c r="CV256" s="166"/>
      <c r="CW256" s="166"/>
      <c r="CX256" s="166"/>
      <c r="CY256" s="166"/>
      <c r="CZ256" s="166"/>
    </row>
    <row r="257" spans="2:104" ht="12.75" customHeight="1" x14ac:dyDescent="0.2">
      <c r="B257" s="72"/>
      <c r="C257" s="72"/>
      <c r="D257" s="72"/>
      <c r="E257" s="72"/>
      <c r="G257" s="72"/>
      <c r="H257" s="72"/>
      <c r="I257" s="72"/>
      <c r="J257" s="72"/>
      <c r="K257" s="72"/>
      <c r="L257" s="72"/>
      <c r="M257" s="72"/>
      <c r="N257" s="72"/>
      <c r="O257" s="72"/>
      <c r="P257" s="166"/>
      <c r="Q257" s="166"/>
      <c r="R257" s="166"/>
      <c r="S257" s="166"/>
      <c r="T257" s="166"/>
      <c r="U257" s="166"/>
      <c r="V257" s="72"/>
      <c r="W257" s="72"/>
      <c r="X257" s="72"/>
      <c r="CQ257" s="166"/>
      <c r="CR257" s="166"/>
      <c r="CS257" s="166"/>
      <c r="CT257" s="166"/>
      <c r="CU257" s="166"/>
      <c r="CV257" s="166"/>
      <c r="CW257" s="166"/>
      <c r="CX257" s="166"/>
      <c r="CY257" s="166"/>
      <c r="CZ257" s="166"/>
    </row>
    <row r="258" spans="2:104" ht="12.75" customHeight="1" x14ac:dyDescent="0.2">
      <c r="B258" s="72"/>
      <c r="C258" s="72"/>
      <c r="D258" s="72"/>
      <c r="E258" s="72"/>
      <c r="G258" s="72"/>
      <c r="H258" s="72"/>
      <c r="I258" s="72"/>
      <c r="J258" s="72"/>
      <c r="K258" s="72"/>
      <c r="L258" s="72"/>
      <c r="M258" s="72"/>
      <c r="N258" s="72"/>
      <c r="O258" s="72"/>
      <c r="P258" s="166"/>
      <c r="Q258" s="166"/>
      <c r="R258" s="166"/>
      <c r="S258" s="166"/>
      <c r="T258" s="166"/>
      <c r="U258" s="166"/>
      <c r="V258" s="72"/>
      <c r="W258" s="72"/>
      <c r="X258" s="72"/>
      <c r="CQ258" s="166"/>
      <c r="CR258" s="166"/>
      <c r="CS258" s="166"/>
      <c r="CT258" s="166"/>
      <c r="CU258" s="166"/>
      <c r="CV258" s="166"/>
      <c r="CW258" s="166"/>
      <c r="CX258" s="166"/>
      <c r="CY258" s="166"/>
      <c r="CZ258" s="166"/>
    </row>
    <row r="259" spans="2:104" ht="12.75" customHeight="1" x14ac:dyDescent="0.2">
      <c r="B259" s="72"/>
      <c r="C259" s="72"/>
      <c r="D259" s="72"/>
      <c r="E259" s="72"/>
      <c r="G259" s="72"/>
      <c r="H259" s="72"/>
      <c r="I259" s="72"/>
      <c r="J259" s="72"/>
      <c r="K259" s="72"/>
      <c r="L259" s="72"/>
      <c r="M259" s="72"/>
      <c r="N259" s="72"/>
      <c r="O259" s="72"/>
      <c r="P259" s="166"/>
      <c r="Q259" s="166"/>
      <c r="R259" s="166"/>
      <c r="S259" s="166"/>
      <c r="T259" s="166"/>
      <c r="U259" s="166"/>
      <c r="V259" s="72"/>
      <c r="W259" s="72"/>
      <c r="X259" s="72"/>
      <c r="CQ259" s="166"/>
      <c r="CR259" s="166"/>
      <c r="CS259" s="166"/>
      <c r="CT259" s="166"/>
      <c r="CU259" s="166"/>
      <c r="CV259" s="166"/>
      <c r="CW259" s="166"/>
      <c r="CX259" s="166"/>
      <c r="CY259" s="166"/>
      <c r="CZ259" s="166"/>
    </row>
    <row r="260" spans="2:104" ht="12.75" customHeight="1" x14ac:dyDescent="0.2">
      <c r="B260" s="72"/>
      <c r="C260" s="72"/>
      <c r="D260" s="72"/>
      <c r="E260" s="72"/>
      <c r="G260" s="72"/>
      <c r="H260" s="72"/>
      <c r="I260" s="72"/>
      <c r="J260" s="72"/>
      <c r="K260" s="72"/>
      <c r="L260" s="72"/>
      <c r="M260" s="72"/>
      <c r="N260" s="72"/>
      <c r="O260" s="72"/>
      <c r="P260" s="166"/>
      <c r="Q260" s="166"/>
      <c r="R260" s="166"/>
      <c r="S260" s="166"/>
      <c r="T260" s="166"/>
      <c r="U260" s="166"/>
      <c r="V260" s="72"/>
      <c r="W260" s="72"/>
      <c r="X260" s="72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</row>
    <row r="261" spans="2:104" ht="12.75" customHeight="1" x14ac:dyDescent="0.2">
      <c r="B261" s="72"/>
      <c r="C261" s="72"/>
      <c r="D261" s="72"/>
      <c r="E261" s="72"/>
      <c r="G261" s="72"/>
      <c r="H261" s="72"/>
      <c r="I261" s="72"/>
      <c r="J261" s="72"/>
      <c r="K261" s="72"/>
      <c r="L261" s="72"/>
      <c r="M261" s="72"/>
      <c r="N261" s="72"/>
      <c r="O261" s="72"/>
      <c r="P261" s="166"/>
      <c r="Q261" s="166"/>
      <c r="R261" s="166"/>
      <c r="S261" s="166"/>
      <c r="T261" s="166"/>
      <c r="U261" s="166"/>
      <c r="V261" s="72"/>
      <c r="W261" s="72"/>
      <c r="X261" s="72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</row>
    <row r="262" spans="2:104" ht="12.75" customHeight="1" x14ac:dyDescent="0.2">
      <c r="B262" s="72"/>
      <c r="C262" s="72"/>
      <c r="D262" s="72"/>
      <c r="E262" s="72"/>
      <c r="G262" s="72"/>
      <c r="H262" s="72"/>
      <c r="I262" s="72"/>
      <c r="J262" s="72"/>
      <c r="K262" s="72"/>
      <c r="L262" s="72"/>
      <c r="M262" s="72"/>
      <c r="N262" s="72"/>
      <c r="O262" s="72"/>
      <c r="P262" s="166"/>
      <c r="Q262" s="166"/>
      <c r="R262" s="166"/>
      <c r="S262" s="166"/>
      <c r="T262" s="166"/>
      <c r="U262" s="166"/>
      <c r="V262" s="72"/>
      <c r="W262" s="72"/>
      <c r="X262" s="72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</row>
    <row r="263" spans="2:104" ht="12.75" customHeight="1" x14ac:dyDescent="0.2">
      <c r="B263" s="72"/>
      <c r="C263" s="72"/>
      <c r="D263" s="72"/>
      <c r="E263" s="72"/>
      <c r="G263" s="72"/>
      <c r="H263" s="72"/>
      <c r="I263" s="72"/>
      <c r="J263" s="72"/>
      <c r="K263" s="72"/>
      <c r="L263" s="72"/>
      <c r="M263" s="72"/>
      <c r="N263" s="72"/>
      <c r="O263" s="72"/>
      <c r="P263" s="166"/>
      <c r="Q263" s="166"/>
      <c r="R263" s="166"/>
      <c r="S263" s="166"/>
      <c r="T263" s="166"/>
      <c r="U263" s="166"/>
      <c r="V263" s="72"/>
      <c r="W263" s="72"/>
      <c r="X263" s="72"/>
      <c r="CQ263" s="166"/>
      <c r="CR263" s="166"/>
      <c r="CS263" s="166"/>
      <c r="CT263" s="166"/>
      <c r="CU263" s="166"/>
      <c r="CV263" s="166"/>
      <c r="CW263" s="166"/>
      <c r="CX263" s="166"/>
      <c r="CY263" s="166"/>
      <c r="CZ263" s="166"/>
    </row>
    <row r="264" spans="2:104" ht="12.75" customHeight="1" x14ac:dyDescent="0.2">
      <c r="B264" s="72"/>
      <c r="C264" s="72"/>
      <c r="D264" s="72"/>
      <c r="E264" s="72"/>
      <c r="G264" s="72"/>
      <c r="H264" s="72"/>
      <c r="I264" s="72"/>
      <c r="J264" s="72"/>
      <c r="K264" s="72"/>
      <c r="L264" s="72"/>
      <c r="M264" s="72"/>
      <c r="N264" s="72"/>
      <c r="O264" s="72"/>
      <c r="P264" s="166"/>
      <c r="Q264" s="166"/>
      <c r="R264" s="166"/>
      <c r="S264" s="166"/>
      <c r="T264" s="166"/>
      <c r="U264" s="166"/>
      <c r="V264" s="72"/>
      <c r="W264" s="72"/>
      <c r="X264" s="72"/>
      <c r="CQ264" s="166"/>
      <c r="CR264" s="166"/>
      <c r="CS264" s="166"/>
      <c r="CT264" s="166"/>
      <c r="CU264" s="166"/>
      <c r="CV264" s="166"/>
      <c r="CW264" s="166"/>
      <c r="CX264" s="166"/>
      <c r="CY264" s="166"/>
      <c r="CZ264" s="166"/>
    </row>
    <row r="265" spans="2:104" ht="12.75" customHeight="1" x14ac:dyDescent="0.2">
      <c r="B265" s="72"/>
      <c r="C265" s="72"/>
      <c r="D265" s="72"/>
      <c r="E265" s="72"/>
      <c r="G265" s="72"/>
      <c r="H265" s="72"/>
      <c r="I265" s="72"/>
      <c r="J265" s="72"/>
      <c r="K265" s="72"/>
      <c r="L265" s="72"/>
      <c r="M265" s="72"/>
      <c r="N265" s="72"/>
      <c r="O265" s="72"/>
      <c r="P265" s="166"/>
      <c r="Q265" s="166"/>
      <c r="R265" s="166"/>
      <c r="S265" s="166"/>
      <c r="T265" s="166"/>
      <c r="U265" s="166"/>
      <c r="V265" s="72"/>
      <c r="W265" s="72"/>
      <c r="X265" s="72"/>
      <c r="CQ265" s="166"/>
      <c r="CR265" s="166"/>
      <c r="CS265" s="166"/>
      <c r="CT265" s="166"/>
      <c r="CU265" s="166"/>
      <c r="CV265" s="166"/>
      <c r="CW265" s="166"/>
      <c r="CX265" s="166"/>
      <c r="CY265" s="166"/>
      <c r="CZ265" s="166"/>
    </row>
    <row r="266" spans="2:104" ht="12.75" customHeight="1" x14ac:dyDescent="0.2">
      <c r="B266" s="72"/>
      <c r="C266" s="72"/>
      <c r="D266" s="72"/>
      <c r="E266" s="72"/>
      <c r="G266" s="72"/>
      <c r="H266" s="72"/>
      <c r="I266" s="72"/>
      <c r="J266" s="72"/>
      <c r="K266" s="72"/>
      <c r="L266" s="72"/>
      <c r="M266" s="72"/>
      <c r="N266" s="72"/>
      <c r="O266" s="72"/>
      <c r="P266" s="166"/>
      <c r="Q266" s="166"/>
      <c r="R266" s="166"/>
      <c r="S266" s="166"/>
      <c r="T266" s="166"/>
      <c r="U266" s="166"/>
      <c r="V266" s="72"/>
      <c r="W266" s="72"/>
      <c r="X266" s="72"/>
      <c r="CQ266" s="166"/>
      <c r="CR266" s="166"/>
      <c r="CS266" s="166"/>
      <c r="CT266" s="166"/>
      <c r="CU266" s="166"/>
      <c r="CV266" s="166"/>
      <c r="CW266" s="166"/>
      <c r="CX266" s="166"/>
      <c r="CY266" s="166"/>
      <c r="CZ266" s="166"/>
    </row>
    <row r="267" spans="2:104" ht="12.75" customHeight="1" x14ac:dyDescent="0.2">
      <c r="B267" s="72"/>
      <c r="C267" s="72"/>
      <c r="D267" s="72"/>
      <c r="E267" s="72"/>
      <c r="L267" s="72"/>
      <c r="M267" s="72"/>
      <c r="N267" s="72"/>
      <c r="O267" s="72"/>
      <c r="P267" s="166"/>
      <c r="Q267" s="166"/>
      <c r="R267" s="166"/>
      <c r="S267" s="166"/>
      <c r="T267" s="166"/>
      <c r="U267" s="166"/>
      <c r="V267" s="72"/>
      <c r="W267" s="72"/>
      <c r="X267" s="72"/>
      <c r="CQ267" s="166"/>
      <c r="CR267" s="166"/>
      <c r="CS267" s="166"/>
      <c r="CT267" s="166"/>
      <c r="CU267" s="166"/>
      <c r="CV267" s="166"/>
      <c r="CW267" s="166"/>
      <c r="CX267" s="166"/>
      <c r="CY267" s="166"/>
      <c r="CZ267" s="166"/>
    </row>
    <row r="268" spans="2:104" ht="12.75" customHeight="1" x14ac:dyDescent="0.2">
      <c r="B268" s="72"/>
      <c r="C268" s="72"/>
      <c r="D268" s="72"/>
      <c r="E268" s="72"/>
      <c r="L268" s="72"/>
      <c r="M268" s="72"/>
      <c r="N268" s="72"/>
      <c r="O268" s="72"/>
      <c r="P268" s="166"/>
      <c r="Q268" s="166"/>
      <c r="R268" s="166"/>
      <c r="S268" s="166"/>
      <c r="T268" s="166"/>
      <c r="U268" s="166"/>
      <c r="V268" s="72"/>
      <c r="W268" s="72"/>
      <c r="X268" s="72"/>
      <c r="CQ268" s="166"/>
      <c r="CR268" s="166"/>
      <c r="CS268" s="166"/>
      <c r="CT268" s="166"/>
      <c r="CU268" s="166"/>
      <c r="CV268" s="166"/>
      <c r="CW268" s="166"/>
      <c r="CX268" s="166"/>
      <c r="CY268" s="166"/>
      <c r="CZ268" s="166"/>
    </row>
    <row r="269" spans="2:104" ht="12.75" customHeight="1" x14ac:dyDescent="0.2">
      <c r="L269" s="72"/>
      <c r="M269" s="72"/>
      <c r="N269" s="72"/>
      <c r="O269" s="72"/>
      <c r="P269" s="166"/>
      <c r="Q269" s="166"/>
      <c r="R269" s="166"/>
      <c r="S269" s="166"/>
      <c r="T269" s="166"/>
      <c r="U269" s="166"/>
      <c r="V269" s="72"/>
      <c r="W269" s="72"/>
      <c r="X269" s="72"/>
      <c r="CQ269" s="166"/>
      <c r="CR269" s="166"/>
      <c r="CS269" s="166"/>
      <c r="CT269" s="166"/>
      <c r="CU269" s="166"/>
      <c r="CV269" s="166"/>
      <c r="CW269" s="166"/>
      <c r="CX269" s="166"/>
      <c r="CY269" s="166"/>
      <c r="CZ269" s="166"/>
    </row>
    <row r="270" spans="2:104" ht="12.75" customHeight="1" x14ac:dyDescent="0.2">
      <c r="L270" s="72"/>
      <c r="M270" s="72"/>
      <c r="N270" s="72"/>
      <c r="O270" s="72"/>
      <c r="P270" s="166"/>
      <c r="Q270" s="166"/>
      <c r="R270" s="166"/>
      <c r="S270" s="166"/>
      <c r="T270" s="166"/>
      <c r="U270" s="166"/>
      <c r="V270" s="72"/>
      <c r="W270" s="72"/>
      <c r="X270" s="72"/>
      <c r="CQ270" s="166"/>
      <c r="CR270" s="166"/>
      <c r="CS270" s="166"/>
      <c r="CT270" s="166"/>
      <c r="CU270" s="166"/>
      <c r="CV270" s="166"/>
      <c r="CW270" s="166"/>
      <c r="CX270" s="166"/>
      <c r="CY270" s="166"/>
      <c r="CZ270" s="166"/>
    </row>
    <row r="271" spans="2:104" ht="12.75" customHeight="1" x14ac:dyDescent="0.2">
      <c r="L271" s="72"/>
      <c r="M271" s="72"/>
      <c r="N271" s="72"/>
      <c r="O271" s="72"/>
      <c r="P271" s="166"/>
      <c r="Q271" s="166"/>
      <c r="R271" s="166"/>
      <c r="S271" s="166"/>
      <c r="T271" s="166"/>
      <c r="U271" s="166"/>
      <c r="V271" s="72"/>
      <c r="W271" s="72"/>
      <c r="X271" s="72"/>
      <c r="CQ271" s="166"/>
      <c r="CR271" s="166"/>
      <c r="CS271" s="166"/>
      <c r="CT271" s="166"/>
      <c r="CU271" s="166"/>
      <c r="CV271" s="166"/>
      <c r="CW271" s="166"/>
      <c r="CX271" s="166"/>
      <c r="CY271" s="166"/>
      <c r="CZ271" s="166"/>
    </row>
    <row r="272" spans="2:104" ht="12.75" customHeight="1" x14ac:dyDescent="0.2">
      <c r="L272" s="72"/>
      <c r="M272" s="72"/>
      <c r="N272" s="72"/>
      <c r="O272" s="72"/>
      <c r="P272" s="166"/>
      <c r="Q272" s="166"/>
      <c r="R272" s="166"/>
      <c r="S272" s="166"/>
      <c r="T272" s="166"/>
      <c r="U272" s="166"/>
      <c r="V272" s="72"/>
      <c r="W272" s="72"/>
      <c r="X272" s="72"/>
      <c r="CQ272" s="166"/>
      <c r="CR272" s="166"/>
      <c r="CS272" s="166"/>
      <c r="CT272" s="166"/>
      <c r="CU272" s="166"/>
      <c r="CV272" s="166"/>
      <c r="CW272" s="166"/>
      <c r="CX272" s="166"/>
      <c r="CY272" s="166"/>
      <c r="CZ272" s="166"/>
    </row>
    <row r="273" spans="12:104" ht="12.75" customHeight="1" x14ac:dyDescent="0.2">
      <c r="L273" s="72"/>
      <c r="M273" s="72"/>
      <c r="N273" s="72"/>
      <c r="O273" s="72"/>
      <c r="P273" s="166"/>
      <c r="Q273" s="166"/>
      <c r="R273" s="166"/>
      <c r="S273" s="166"/>
      <c r="T273" s="166"/>
      <c r="U273" s="166"/>
      <c r="V273" s="72"/>
      <c r="W273" s="72"/>
      <c r="X273" s="72"/>
      <c r="CQ273" s="166"/>
      <c r="CR273" s="166"/>
      <c r="CS273" s="166"/>
      <c r="CT273" s="166"/>
      <c r="CU273" s="166"/>
      <c r="CW273" s="166"/>
      <c r="CX273" s="166"/>
      <c r="CY273" s="166"/>
      <c r="CZ273" s="166"/>
    </row>
    <row r="274" spans="12:104" ht="12.75" customHeight="1" x14ac:dyDescent="0.2">
      <c r="L274" s="72"/>
      <c r="M274" s="72"/>
      <c r="N274" s="72"/>
      <c r="O274" s="72"/>
      <c r="U274" s="72"/>
      <c r="V274" s="72"/>
      <c r="W274" s="72"/>
      <c r="X274" s="72"/>
      <c r="CQ274" s="166"/>
      <c r="CR274" s="166"/>
      <c r="CS274" s="166"/>
      <c r="CT274" s="166"/>
      <c r="CU274" s="166"/>
      <c r="CW274" s="166"/>
      <c r="CX274" s="166"/>
      <c r="CY274" s="166"/>
      <c r="CZ274" s="166"/>
    </row>
    <row r="275" spans="12:104" ht="12.75" customHeight="1" x14ac:dyDescent="0.2">
      <c r="L275" s="72"/>
      <c r="M275" s="72"/>
      <c r="N275" s="72"/>
      <c r="O275" s="72"/>
      <c r="U275" s="72"/>
      <c r="V275" s="72"/>
      <c r="W275" s="72"/>
      <c r="X275" s="72"/>
      <c r="CW275" s="166"/>
      <c r="CX275" s="166"/>
      <c r="CY275" s="166"/>
      <c r="CZ275" s="166"/>
    </row>
    <row r="276" spans="12:104" ht="12.75" customHeight="1" x14ac:dyDescent="0.2">
      <c r="L276" s="72"/>
      <c r="M276" s="72"/>
      <c r="N276" s="72"/>
      <c r="O276" s="72"/>
      <c r="U276" s="72"/>
      <c r="V276" s="72"/>
      <c r="W276" s="72"/>
      <c r="X276" s="72"/>
      <c r="CW276" s="166"/>
      <c r="CX276" s="166"/>
      <c r="CY276" s="166"/>
      <c r="CZ276" s="166"/>
    </row>
    <row r="277" spans="12:104" ht="12.75" customHeight="1" x14ac:dyDescent="0.2">
      <c r="L277" s="72"/>
      <c r="M277" s="72"/>
      <c r="N277" s="72"/>
      <c r="O277" s="72"/>
      <c r="U277" s="72"/>
      <c r="V277" s="72"/>
      <c r="W277" s="72"/>
      <c r="X277" s="72"/>
      <c r="CW277" s="166"/>
      <c r="CX277" s="166"/>
      <c r="CY277" s="166"/>
      <c r="CZ277" s="166"/>
    </row>
    <row r="278" spans="12:104" ht="12.75" customHeight="1" x14ac:dyDescent="0.2">
      <c r="L278" s="72"/>
      <c r="M278" s="72"/>
      <c r="N278" s="72"/>
      <c r="O278" s="72"/>
      <c r="U278" s="72"/>
      <c r="V278" s="72"/>
      <c r="W278" s="72"/>
      <c r="X278" s="72"/>
    </row>
    <row r="279" spans="12:104" ht="12.75" customHeight="1" x14ac:dyDescent="0.2">
      <c r="L279" s="72"/>
      <c r="M279" s="72"/>
      <c r="N279" s="72"/>
      <c r="O279" s="72"/>
      <c r="U279" s="72"/>
      <c r="V279" s="72"/>
      <c r="W279" s="72"/>
      <c r="X279" s="72"/>
    </row>
    <row r="280" spans="12:104" ht="12.75" customHeight="1" x14ac:dyDescent="0.2">
      <c r="L280" s="72"/>
      <c r="M280" s="72"/>
      <c r="N280" s="72"/>
      <c r="O280" s="72"/>
      <c r="U280" s="72"/>
      <c r="V280" s="72"/>
      <c r="W280" s="72"/>
      <c r="X280" s="72"/>
    </row>
    <row r="281" spans="12:104" ht="12.75" customHeight="1" x14ac:dyDescent="0.2">
      <c r="L281" s="72"/>
      <c r="M281" s="72"/>
      <c r="N281" s="72"/>
      <c r="O281" s="72"/>
      <c r="U281" s="72"/>
      <c r="V281" s="72"/>
      <c r="W281" s="72"/>
      <c r="X281" s="72"/>
    </row>
    <row r="282" spans="12:104" ht="12.75" customHeight="1" x14ac:dyDescent="0.2">
      <c r="L282" s="72"/>
      <c r="M282" s="72"/>
      <c r="N282" s="72"/>
      <c r="O282" s="72"/>
      <c r="U282" s="72"/>
      <c r="V282" s="72"/>
      <c r="W282" s="72"/>
      <c r="X282" s="72"/>
    </row>
    <row r="283" spans="12:104" ht="12.75" customHeight="1" x14ac:dyDescent="0.2">
      <c r="L283" s="72"/>
      <c r="M283" s="72"/>
      <c r="N283" s="72"/>
      <c r="O283" s="72"/>
      <c r="U283" s="72"/>
      <c r="V283" s="72"/>
      <c r="W283" s="72"/>
      <c r="X283" s="72"/>
    </row>
    <row r="284" spans="12:104" ht="12.75" customHeight="1" x14ac:dyDescent="0.2">
      <c r="L284" s="72"/>
      <c r="M284" s="72"/>
      <c r="N284" s="72"/>
      <c r="O284" s="72"/>
      <c r="U284" s="72"/>
      <c r="V284" s="72"/>
      <c r="W284" s="72"/>
      <c r="X284" s="72"/>
    </row>
    <row r="285" spans="12:104" ht="12.75" customHeight="1" x14ac:dyDescent="0.2">
      <c r="L285" s="72"/>
      <c r="M285" s="72"/>
      <c r="N285" s="72"/>
      <c r="O285" s="72"/>
      <c r="U285" s="72"/>
      <c r="V285" s="72"/>
      <c r="W285" s="72"/>
      <c r="X285" s="72"/>
    </row>
    <row r="286" spans="12:104" ht="12.75" customHeight="1" x14ac:dyDescent="0.2">
      <c r="L286" s="72"/>
      <c r="M286" s="72"/>
      <c r="N286" s="72"/>
      <c r="O286" s="72"/>
      <c r="U286" s="72"/>
      <c r="V286" s="72"/>
      <c r="W286" s="72"/>
      <c r="X286" s="72"/>
    </row>
    <row r="287" spans="12:104" ht="12.75" customHeight="1" x14ac:dyDescent="0.2">
      <c r="L287" s="72"/>
      <c r="M287" s="72"/>
      <c r="N287" s="72"/>
      <c r="O287" s="72"/>
      <c r="U287" s="72"/>
      <c r="V287" s="72"/>
      <c r="W287" s="72"/>
      <c r="X287" s="72"/>
    </row>
    <row r="288" spans="12:104" ht="12.75" customHeight="1" x14ac:dyDescent="0.2">
      <c r="L288" s="72"/>
      <c r="M288" s="72"/>
      <c r="N288" s="72"/>
      <c r="O288" s="72"/>
      <c r="U288" s="72"/>
      <c r="V288" s="72"/>
      <c r="W288" s="72"/>
      <c r="X288" s="72"/>
    </row>
    <row r="289" spans="12:24" s="3" customFormat="1" ht="12.75" customHeight="1" x14ac:dyDescent="0.2">
      <c r="L289" s="72"/>
      <c r="M289" s="72"/>
      <c r="N289" s="72"/>
      <c r="O289" s="72"/>
      <c r="U289" s="72"/>
      <c r="V289" s="72"/>
      <c r="W289" s="72"/>
      <c r="X289" s="72"/>
    </row>
    <row r="290" spans="12:24" s="3" customFormat="1" ht="12.75" customHeight="1" x14ac:dyDescent="0.2">
      <c r="L290" s="72"/>
      <c r="M290" s="72"/>
      <c r="N290" s="72"/>
      <c r="O290" s="72"/>
      <c r="U290" s="72"/>
      <c r="V290" s="72"/>
      <c r="W290" s="72"/>
      <c r="X290" s="72"/>
    </row>
    <row r="291" spans="12:24" s="3" customFormat="1" ht="12.75" customHeight="1" x14ac:dyDescent="0.2">
      <c r="L291" s="72"/>
      <c r="M291" s="72"/>
      <c r="N291" s="72"/>
      <c r="O291" s="72"/>
      <c r="U291" s="72"/>
      <c r="V291" s="72"/>
      <c r="W291" s="72"/>
      <c r="X291" s="72"/>
    </row>
    <row r="292" spans="12:24" s="3" customFormat="1" ht="12.75" customHeight="1" x14ac:dyDescent="0.2">
      <c r="L292" s="72"/>
      <c r="M292" s="72"/>
      <c r="N292" s="72"/>
      <c r="O292" s="72"/>
      <c r="U292" s="72"/>
      <c r="V292" s="72"/>
      <c r="W292" s="72"/>
      <c r="X292" s="72"/>
    </row>
    <row r="293" spans="12:24" s="3" customFormat="1" ht="12.75" customHeight="1" x14ac:dyDescent="0.2">
      <c r="L293" s="72"/>
      <c r="M293" s="72"/>
      <c r="N293" s="72"/>
      <c r="O293" s="72"/>
      <c r="U293" s="72"/>
      <c r="V293" s="72"/>
      <c r="W293" s="72"/>
      <c r="X293" s="72"/>
    </row>
    <row r="294" spans="12:24" s="3" customFormat="1" ht="12.75" customHeight="1" x14ac:dyDescent="0.2">
      <c r="L294" s="72"/>
      <c r="M294" s="72"/>
      <c r="N294" s="72"/>
      <c r="O294" s="72"/>
      <c r="U294" s="72"/>
      <c r="V294" s="72"/>
      <c r="W294" s="72"/>
      <c r="X294" s="72"/>
    </row>
    <row r="295" spans="12:24" s="3" customFormat="1" ht="12.75" customHeight="1" x14ac:dyDescent="0.2">
      <c r="L295" s="72"/>
      <c r="M295" s="72"/>
      <c r="N295" s="72"/>
      <c r="O295" s="72"/>
      <c r="U295" s="72"/>
      <c r="V295" s="72"/>
      <c r="W295" s="72"/>
      <c r="X295" s="72"/>
    </row>
    <row r="296" spans="12:24" s="3" customFormat="1" ht="12.75" customHeight="1" x14ac:dyDescent="0.2">
      <c r="L296" s="72"/>
      <c r="M296" s="72"/>
      <c r="N296" s="72"/>
      <c r="O296" s="72"/>
      <c r="U296" s="72"/>
      <c r="V296" s="72"/>
      <c r="W296" s="72"/>
      <c r="X296" s="72"/>
    </row>
    <row r="297" spans="12:24" s="3" customFormat="1" ht="12.75" customHeight="1" x14ac:dyDescent="0.2">
      <c r="L297" s="72"/>
      <c r="M297" s="72"/>
      <c r="N297" s="72"/>
      <c r="O297" s="72"/>
      <c r="U297" s="72"/>
      <c r="V297" s="72"/>
      <c r="W297" s="72"/>
      <c r="X297" s="72"/>
    </row>
    <row r="298" spans="12:24" s="3" customFormat="1" ht="12.75" customHeight="1" x14ac:dyDescent="0.2">
      <c r="L298" s="72"/>
      <c r="M298" s="72"/>
      <c r="N298" s="72"/>
      <c r="O298" s="72"/>
      <c r="U298" s="72"/>
      <c r="V298" s="72"/>
      <c r="W298" s="72"/>
      <c r="X298" s="72"/>
    </row>
    <row r="299" spans="12:24" s="3" customFormat="1" ht="12.75" customHeight="1" x14ac:dyDescent="0.2">
      <c r="L299" s="72"/>
      <c r="M299" s="72"/>
      <c r="N299" s="72"/>
      <c r="O299" s="72"/>
      <c r="U299" s="72"/>
      <c r="V299" s="72"/>
      <c r="W299" s="72"/>
      <c r="X299" s="72"/>
    </row>
    <row r="300" spans="12:24" s="3" customFormat="1" ht="12.75" customHeight="1" x14ac:dyDescent="0.2">
      <c r="L300" s="72"/>
      <c r="M300" s="72"/>
      <c r="N300" s="72"/>
      <c r="O300" s="72"/>
      <c r="U300" s="72"/>
      <c r="V300" s="72"/>
      <c r="W300" s="72"/>
      <c r="X300" s="72"/>
    </row>
    <row r="301" spans="12:24" s="3" customFormat="1" ht="12.75" customHeight="1" x14ac:dyDescent="0.2">
      <c r="L301" s="72"/>
      <c r="M301" s="72"/>
      <c r="N301" s="72"/>
      <c r="O301" s="72"/>
      <c r="U301" s="72"/>
      <c r="V301" s="72"/>
      <c r="W301" s="72"/>
      <c r="X301" s="72"/>
    </row>
    <row r="302" spans="12:24" s="3" customFormat="1" ht="12.75" customHeight="1" x14ac:dyDescent="0.2">
      <c r="L302" s="72"/>
      <c r="M302" s="72"/>
      <c r="N302" s="72"/>
      <c r="O302" s="72"/>
      <c r="U302" s="72"/>
      <c r="V302" s="72"/>
      <c r="W302" s="72"/>
      <c r="X302" s="72"/>
    </row>
    <row r="303" spans="12:24" s="3" customFormat="1" ht="12.75" customHeight="1" x14ac:dyDescent="0.2">
      <c r="L303" s="72"/>
      <c r="M303" s="72"/>
      <c r="N303" s="72"/>
      <c r="O303" s="72"/>
      <c r="U303" s="72"/>
      <c r="V303" s="72"/>
      <c r="W303" s="72"/>
      <c r="X303" s="72"/>
    </row>
    <row r="304" spans="12:24" s="3" customFormat="1" ht="12.75" customHeight="1" x14ac:dyDescent="0.2">
      <c r="L304" s="72"/>
      <c r="M304" s="72"/>
      <c r="N304" s="72"/>
      <c r="O304" s="72"/>
      <c r="U304" s="72"/>
      <c r="V304" s="72"/>
      <c r="W304" s="72"/>
      <c r="X304" s="72"/>
    </row>
    <row r="305" spans="12:24" s="3" customFormat="1" ht="12.75" customHeight="1" x14ac:dyDescent="0.2">
      <c r="L305" s="72"/>
      <c r="M305" s="72"/>
      <c r="N305" s="72"/>
      <c r="O305" s="72"/>
      <c r="U305" s="72"/>
      <c r="V305" s="72"/>
      <c r="W305" s="72"/>
      <c r="X305" s="72"/>
    </row>
    <row r="306" spans="12:24" s="3" customFormat="1" ht="12.75" customHeight="1" x14ac:dyDescent="0.2">
      <c r="L306" s="72"/>
      <c r="M306" s="72"/>
      <c r="N306" s="72"/>
      <c r="O306" s="72"/>
      <c r="U306" s="72"/>
      <c r="V306" s="72"/>
      <c r="W306" s="72"/>
      <c r="X306" s="72"/>
    </row>
    <row r="307" spans="12:24" s="3" customFormat="1" ht="12.75" customHeight="1" x14ac:dyDescent="0.2">
      <c r="L307" s="72"/>
      <c r="M307" s="72"/>
      <c r="N307" s="72"/>
      <c r="O307" s="72"/>
      <c r="U307" s="72"/>
      <c r="V307" s="72"/>
      <c r="W307" s="72"/>
      <c r="X307" s="72"/>
    </row>
    <row r="308" spans="12:24" s="3" customFormat="1" ht="12.75" customHeight="1" x14ac:dyDescent="0.2">
      <c r="L308" s="72"/>
      <c r="M308" s="72"/>
      <c r="N308" s="72"/>
      <c r="O308" s="72"/>
      <c r="U308" s="72"/>
      <c r="V308" s="72"/>
      <c r="W308" s="72"/>
      <c r="X308" s="72"/>
    </row>
    <row r="309" spans="12:24" s="3" customFormat="1" ht="12.75" customHeight="1" x14ac:dyDescent="0.2">
      <c r="L309" s="72"/>
      <c r="M309" s="72"/>
      <c r="N309" s="72"/>
      <c r="O309" s="72"/>
      <c r="U309" s="72"/>
      <c r="V309" s="72"/>
      <c r="W309" s="72"/>
      <c r="X309" s="72"/>
    </row>
    <row r="310" spans="12:24" s="3" customFormat="1" ht="12.75" customHeight="1" x14ac:dyDescent="0.2">
      <c r="L310" s="72"/>
      <c r="M310" s="72"/>
      <c r="N310" s="72"/>
      <c r="O310" s="72"/>
      <c r="U310" s="72"/>
      <c r="V310" s="72"/>
      <c r="W310" s="72"/>
      <c r="X310" s="72"/>
    </row>
    <row r="311" spans="12:24" s="3" customFormat="1" ht="12.75" customHeight="1" x14ac:dyDescent="0.2">
      <c r="L311" s="72"/>
      <c r="M311" s="72"/>
      <c r="N311" s="72"/>
      <c r="O311" s="72"/>
      <c r="U311" s="72"/>
      <c r="V311" s="72"/>
      <c r="W311" s="72"/>
      <c r="X311" s="72"/>
    </row>
    <row r="312" spans="12:24" s="3" customFormat="1" ht="12.75" customHeight="1" x14ac:dyDescent="0.2">
      <c r="L312" s="72"/>
      <c r="M312" s="72"/>
      <c r="N312" s="72"/>
      <c r="O312" s="72"/>
      <c r="U312" s="72"/>
      <c r="V312" s="72"/>
      <c r="W312" s="72"/>
      <c r="X312" s="72"/>
    </row>
    <row r="313" spans="12:24" s="3" customFormat="1" ht="12.75" customHeight="1" x14ac:dyDescent="0.2">
      <c r="L313" s="72"/>
      <c r="M313" s="72"/>
      <c r="N313" s="72"/>
      <c r="O313" s="72"/>
      <c r="U313" s="72"/>
      <c r="V313" s="72"/>
      <c r="W313" s="72"/>
      <c r="X313" s="72"/>
    </row>
    <row r="314" spans="12:24" s="3" customFormat="1" ht="12.75" customHeight="1" x14ac:dyDescent="0.2">
      <c r="L314" s="72"/>
      <c r="M314" s="72"/>
      <c r="N314" s="72"/>
      <c r="O314" s="72"/>
      <c r="U314" s="72"/>
      <c r="V314" s="72"/>
      <c r="W314" s="72"/>
      <c r="X314" s="72"/>
    </row>
    <row r="315" spans="12:24" s="3" customFormat="1" ht="12.75" customHeight="1" x14ac:dyDescent="0.2">
      <c r="L315" s="72"/>
      <c r="M315" s="72"/>
      <c r="N315" s="72"/>
      <c r="O315" s="72"/>
      <c r="U315" s="72"/>
      <c r="V315" s="72"/>
      <c r="W315" s="72"/>
      <c r="X315" s="72"/>
    </row>
    <row r="316" spans="12:24" s="3" customFormat="1" ht="12.75" customHeight="1" x14ac:dyDescent="0.2">
      <c r="L316" s="72"/>
      <c r="M316" s="72"/>
      <c r="N316" s="72"/>
      <c r="O316" s="72"/>
      <c r="U316" s="72"/>
      <c r="V316" s="72"/>
      <c r="W316" s="72"/>
      <c r="X316" s="72"/>
    </row>
    <row r="317" spans="12:24" s="3" customFormat="1" ht="12.75" customHeight="1" x14ac:dyDescent="0.2">
      <c r="L317" s="72"/>
      <c r="M317" s="72"/>
      <c r="N317" s="72"/>
      <c r="O317" s="72"/>
      <c r="U317" s="72"/>
      <c r="V317" s="72"/>
      <c r="W317" s="72"/>
      <c r="X317" s="72"/>
    </row>
    <row r="318" spans="12:24" s="3" customFormat="1" ht="12.75" customHeight="1" x14ac:dyDescent="0.2">
      <c r="L318" s="72"/>
      <c r="M318" s="72"/>
      <c r="N318" s="72"/>
      <c r="O318" s="72"/>
      <c r="U318" s="72"/>
      <c r="V318" s="72"/>
      <c r="W318" s="72"/>
      <c r="X318" s="72"/>
    </row>
    <row r="319" spans="12:24" s="3" customFormat="1" ht="12.75" customHeight="1" x14ac:dyDescent="0.2">
      <c r="L319" s="72"/>
      <c r="M319" s="72"/>
      <c r="N319" s="72"/>
      <c r="O319" s="72"/>
    </row>
    <row r="320" spans="12:24" s="3" customFormat="1" ht="12.75" customHeight="1" x14ac:dyDescent="0.2">
      <c r="L320" s="72"/>
      <c r="M320" s="72"/>
      <c r="N320" s="72"/>
      <c r="O320" s="72"/>
    </row>
    <row r="321" spans="12:15" s="3" customFormat="1" ht="12.75" customHeight="1" x14ac:dyDescent="0.2">
      <c r="L321" s="72"/>
      <c r="M321" s="72"/>
      <c r="N321" s="72"/>
      <c r="O321" s="72"/>
    </row>
    <row r="322" spans="12:15" s="3" customFormat="1" ht="12.75" customHeight="1" x14ac:dyDescent="0.2">
      <c r="L322" s="72"/>
      <c r="M322" s="72"/>
      <c r="N322" s="72"/>
      <c r="O322" s="72"/>
    </row>
    <row r="323" spans="12:15" s="3" customFormat="1" ht="12.75" customHeight="1" x14ac:dyDescent="0.2">
      <c r="L323" s="72"/>
      <c r="M323" s="72"/>
      <c r="N323" s="72"/>
      <c r="O323" s="72"/>
    </row>
    <row r="324" spans="12:15" s="3" customFormat="1" ht="12.75" customHeight="1" x14ac:dyDescent="0.2">
      <c r="L324" s="72"/>
      <c r="M324" s="72"/>
      <c r="N324" s="72"/>
      <c r="O324" s="72"/>
    </row>
    <row r="325" spans="12:15" s="3" customFormat="1" ht="12.75" customHeight="1" x14ac:dyDescent="0.2">
      <c r="L325" s="72"/>
      <c r="M325" s="72"/>
      <c r="N325" s="72"/>
      <c r="O325" s="72"/>
    </row>
    <row r="326" spans="12:15" s="3" customFormat="1" ht="12.75" customHeight="1" x14ac:dyDescent="0.2">
      <c r="L326" s="72"/>
      <c r="M326" s="72"/>
      <c r="N326" s="72"/>
      <c r="O326" s="72"/>
    </row>
    <row r="327" spans="12:15" s="3" customFormat="1" ht="12.75" customHeight="1" x14ac:dyDescent="0.2">
      <c r="L327" s="72"/>
      <c r="M327" s="72"/>
      <c r="N327" s="72"/>
      <c r="O327" s="72"/>
    </row>
    <row r="328" spans="12:15" s="3" customFormat="1" ht="12.75" customHeight="1" x14ac:dyDescent="0.2">
      <c r="L328" s="72"/>
      <c r="M328" s="72"/>
      <c r="N328" s="72"/>
      <c r="O328" s="72"/>
    </row>
    <row r="329" spans="12:15" s="3" customFormat="1" ht="12.75" customHeight="1" x14ac:dyDescent="0.2">
      <c r="L329" s="72"/>
      <c r="M329" s="72"/>
      <c r="N329" s="72"/>
      <c r="O329" s="72"/>
    </row>
    <row r="330" spans="12:15" s="3" customFormat="1" ht="12.75" customHeight="1" x14ac:dyDescent="0.2">
      <c r="L330" s="72"/>
      <c r="M330" s="72"/>
      <c r="N330" s="72"/>
      <c r="O330" s="72"/>
    </row>
    <row r="331" spans="12:15" s="3" customFormat="1" ht="12.75" customHeight="1" x14ac:dyDescent="0.2">
      <c r="L331" s="72"/>
      <c r="M331" s="72"/>
      <c r="N331" s="72"/>
      <c r="O331" s="72"/>
    </row>
    <row r="332" spans="12:15" s="3" customFormat="1" ht="12.75" customHeight="1" x14ac:dyDescent="0.2">
      <c r="L332" s="72"/>
      <c r="M332" s="72"/>
      <c r="N332" s="72"/>
      <c r="O332" s="72"/>
    </row>
    <row r="333" spans="12:15" s="3" customFormat="1" ht="12.75" customHeight="1" x14ac:dyDescent="0.2">
      <c r="L333" s="72"/>
      <c r="M333" s="72"/>
      <c r="N333" s="72"/>
      <c r="O333" s="72"/>
    </row>
  </sheetData>
  <mergeCells count="5">
    <mergeCell ref="G5:K5"/>
    <mergeCell ref="G6:K6"/>
    <mergeCell ref="G7:K7"/>
    <mergeCell ref="G8:K8"/>
    <mergeCell ref="CA10:CC10"/>
  </mergeCells>
  <printOptions horizontalCentered="1"/>
  <pageMargins left="0.7" right="0.7" top="0.75" bottom="0.75" header="0.3" footer="0.3"/>
  <pageSetup scale="83" orientation="portrait" r:id="rId1"/>
  <colBreaks count="20" manualBreakCount="20">
    <brk id="5" max="56" man="1"/>
    <brk id="11" max="56" man="1"/>
    <brk id="15" max="56" man="1"/>
    <brk id="20" max="56" man="1"/>
    <brk id="24" max="56" man="1"/>
    <brk id="34" max="56" man="1"/>
    <brk id="41" max="56" man="1"/>
    <brk id="46" max="56" man="1"/>
    <brk id="51" max="56" man="1"/>
    <brk id="56" max="56" man="1"/>
    <brk id="60" max="56" man="1"/>
    <brk id="64" max="56" man="1"/>
    <brk id="69" max="56" man="1"/>
    <brk id="74" max="56" man="1"/>
    <brk id="81" max="56" man="1"/>
    <brk id="86" max="56" man="1"/>
    <brk id="90" max="56" man="1"/>
    <brk id="94" max="56" man="1"/>
    <brk id="99" max="56" man="1"/>
    <brk id="104" max="5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BFA1308-3C9F-4AD7-9DE0-255F894DC892}"/>
</file>

<file path=customXml/itemProps2.xml><?xml version="1.0" encoding="utf-8"?>
<ds:datastoreItem xmlns:ds="http://schemas.openxmlformats.org/officeDocument/2006/customXml" ds:itemID="{DD228FC3-83CD-4AA7-BCD1-4B28061A6EE7}"/>
</file>

<file path=customXml/itemProps3.xml><?xml version="1.0" encoding="utf-8"?>
<ds:datastoreItem xmlns:ds="http://schemas.openxmlformats.org/officeDocument/2006/customXml" ds:itemID="{75108CDC-40D8-42B5-9184-408707108F67}"/>
</file>

<file path=customXml/itemProps4.xml><?xml version="1.0" encoding="utf-8"?>
<ds:datastoreItem xmlns:ds="http://schemas.openxmlformats.org/officeDocument/2006/customXml" ds:itemID="{CF88CA9D-58C8-4B55-9E5F-5035D0FC7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SEF-6</vt:lpstr>
      <vt:lpstr>keep_PSE</vt:lpstr>
      <vt:lpstr>keep_SEF_6_Common_Adjs</vt:lpstr>
      <vt:lpstr>keep_TESTYEAR</vt:lpstr>
      <vt:lpstr>kp_DOCKET</vt:lpstr>
      <vt:lpstr>'SEF-6'!Print_Area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Thomas</dc:creator>
  <cp:lastModifiedBy>No Name</cp:lastModifiedBy>
  <cp:lastPrinted>2017-01-07T22:22:21Z</cp:lastPrinted>
  <dcterms:created xsi:type="dcterms:W3CDTF">2012-03-15T22:32:44Z</dcterms:created>
  <dcterms:modified xsi:type="dcterms:W3CDTF">2017-01-07T22:22:50Z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