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comments2.xml" ContentType="application/vnd.openxmlformats-officedocument.spreadsheetml.comment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15" windowWidth="15195" windowHeight="8445"/>
  </bookViews>
  <sheets>
    <sheet name="Lead Sheet" sheetId="15" r:id="rId1"/>
    <sheet name="MEHC-MEC Mgmt Fees Aug09" sheetId="35" state="hidden" r:id="rId2"/>
    <sheet name="MEHC-MEC Mgmt Fees 2008" sheetId="33" state="hidden" r:id="rId3"/>
  </sheets>
  <externalReferences>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DAT1" localSheetId="2">#REF!</definedName>
    <definedName name="_DAT1" localSheetId="1">#REF!</definedName>
    <definedName name="_DAT10" localSheetId="2">#REF!</definedName>
    <definedName name="_DAT10" localSheetId="1">#REF!</definedName>
    <definedName name="_DAT11" localSheetId="2">#REF!</definedName>
    <definedName name="_DAT11" localSheetId="1">#REF!</definedName>
    <definedName name="_DAT12" localSheetId="2">#REF!</definedName>
    <definedName name="_DAT12" localSheetId="1">#REF!</definedName>
    <definedName name="_DAT13" localSheetId="2">#REF!</definedName>
    <definedName name="_DAT13" localSheetId="1">#REF!</definedName>
    <definedName name="_DAT14" localSheetId="2">#REF!</definedName>
    <definedName name="_DAT14" localSheetId="1">#REF!</definedName>
    <definedName name="_DAT15" localSheetId="2">#REF!</definedName>
    <definedName name="_DAT15" localSheetId="1">#REF!</definedName>
    <definedName name="_DAT16" localSheetId="2">#REF!</definedName>
    <definedName name="_DAT16" localSheetId="1">#REF!</definedName>
    <definedName name="_DAT2" localSheetId="2">#REF!</definedName>
    <definedName name="_DAT2" localSheetId="1">#REF!</definedName>
    <definedName name="_DAT3" localSheetId="2">#REF!</definedName>
    <definedName name="_DAT3" localSheetId="1">#REF!</definedName>
    <definedName name="_DAT4" localSheetId="2">#REF!</definedName>
    <definedName name="_DAT4" localSheetId="1">#REF!</definedName>
    <definedName name="_DAT5" localSheetId="2">#REF!</definedName>
    <definedName name="_DAT5" localSheetId="1">#REF!</definedName>
    <definedName name="_DAT6" localSheetId="2">#REF!</definedName>
    <definedName name="_DAT6" localSheetId="1">#REF!</definedName>
    <definedName name="_DAT7" localSheetId="2">#REF!</definedName>
    <definedName name="_DAT7" localSheetId="1">#REF!</definedName>
    <definedName name="_DAT8" localSheetId="2">#REF!</definedName>
    <definedName name="_DAT8" localSheetId="1">#REF!</definedName>
    <definedName name="_DAT9" localSheetId="2">#REF!</definedName>
    <definedName name="_DAT9" localSheetId="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a" hidden="1">#REF!</definedName>
    <definedName name="Access_Button1" hidden="1">"Headcount_Workbook_Schedules_List"</definedName>
    <definedName name="AccessDatabase" hidden="1">"P:\HR\SharonPlummer\Headcount Workbook.mdb"</definedName>
    <definedName name="Accruals_Pending_Detail" localSheetId="1">#REF!</definedName>
    <definedName name="Accruals_Pending_Summary" localSheetId="1">#REF!</definedName>
    <definedName name="combined1" hidden="1">{"YTD-Total",#N/A,TRUE,"Provision";"YTD-Utility",#N/A,TRUE,"Prov Utility";"YTD-NonUtility",#N/A,TRUE,"Prov NonUtility"}</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ct07_Aging_tbl" localSheetId="1">'[2]Aged Pivot Tbl thru Dec-07'!#REF!</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_xlnm.Print_Titles" localSheetId="2">'MEHC-MEC Mgmt Fees 2008'!$1:$4</definedName>
    <definedName name="_xlnm.Print_Titles" localSheetId="1">'MEHC-MEC Mgmt Fees Aug09'!$1:$5</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TEST0" localSheetId="2">#REF!</definedName>
    <definedName name="TEST0" localSheetId="1">#REF!</definedName>
    <definedName name="TEST1" localSheetId="2">#REF!</definedName>
    <definedName name="TEST1" localSheetId="1">#REF!</definedName>
    <definedName name="TEST2" localSheetId="2">#REF!</definedName>
    <definedName name="TEST2" localSheetId="1">#REF!</definedName>
    <definedName name="TEST3" localSheetId="2">#REF!</definedName>
    <definedName name="TEST3" localSheetId="1">#REF!</definedName>
    <definedName name="TEST4" localSheetId="2">#REF!</definedName>
    <definedName name="TEST4" localSheetId="1">#REF!</definedName>
    <definedName name="TEST5" localSheetId="2">#REF!</definedName>
    <definedName name="TEST5" localSheetId="1">#REF!</definedName>
    <definedName name="TESTHKEY" localSheetId="2">#REF!</definedName>
    <definedName name="TESTHKEY" localSheetId="1">#REF!</definedName>
    <definedName name="TESTKEYS" localSheetId="2">#REF!</definedName>
    <definedName name="TESTKEYS" localSheetId="1">#REF!</definedName>
    <definedName name="TESTVKEY" localSheetId="2">#REF!</definedName>
    <definedName name="TESTVKEY" localSheetId="1">#REF!</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hidden="1">{#N/A,#N/A,FALSE,"Cover";#N/A,#N/A,FALSE,"Lead Sheet";#N/A,#N/A,FALSE,"T-Accounts";#N/A,#N/A,FALSE,"Ins &amp; Prem ActualEstimates"}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#REF!</definedName>
    <definedName name="YTD_07_Plan" localSheetId="1">'[3]Upload CY07_Act'!#REF!</definedName>
    <definedName name="z" hidden="1">#REF!</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V33" i="35"/>
  <c r="W33"/>
  <c r="W31"/>
  <c r="U31"/>
  <c r="T31"/>
  <c r="R31"/>
  <c r="Q31"/>
  <c r="P31"/>
  <c r="M31"/>
  <c r="L31"/>
  <c r="J31"/>
  <c r="H31"/>
  <c r="F31"/>
  <c r="E31"/>
  <c r="D31"/>
  <c r="AA30"/>
  <c r="O30"/>
  <c r="Y30" s="1"/>
  <c r="Z30" s="1"/>
  <c r="K30"/>
  <c r="C30"/>
  <c r="B30"/>
  <c r="I30" s="1"/>
  <c r="AA29"/>
  <c r="O29"/>
  <c r="Y29" s="1"/>
  <c r="Z29" s="1"/>
  <c r="K29"/>
  <c r="C29"/>
  <c r="B29"/>
  <c r="I29" s="1"/>
  <c r="AA28"/>
  <c r="O28"/>
  <c r="Y28" s="1"/>
  <c r="Z28" s="1"/>
  <c r="K28"/>
  <c r="C28"/>
  <c r="B28"/>
  <c r="I28" s="1"/>
  <c r="AA27"/>
  <c r="O27"/>
  <c r="Y27" s="1"/>
  <c r="Z27" s="1"/>
  <c r="K27"/>
  <c r="C27"/>
  <c r="B27"/>
  <c r="I27" s="1"/>
  <c r="AA26"/>
  <c r="O26"/>
  <c r="Y26" s="1"/>
  <c r="Z26" s="1"/>
  <c r="K26"/>
  <c r="G26"/>
  <c r="C26"/>
  <c r="B26" s="1"/>
  <c r="I26" s="1"/>
  <c r="AA25"/>
  <c r="O25"/>
  <c r="Y25" s="1"/>
  <c r="Z25" s="1"/>
  <c r="K25"/>
  <c r="G25"/>
  <c r="C25" s="1"/>
  <c r="B25" s="1"/>
  <c r="I25" s="1"/>
  <c r="AA24"/>
  <c r="O24"/>
  <c r="Y24" s="1"/>
  <c r="Z24" s="1"/>
  <c r="K24"/>
  <c r="G24"/>
  <c r="C24"/>
  <c r="B24" s="1"/>
  <c r="I24" s="1"/>
  <c r="AA23"/>
  <c r="X23"/>
  <c r="O23"/>
  <c r="Y23" s="1"/>
  <c r="K23"/>
  <c r="G23"/>
  <c r="G31"/>
  <c r="AA22"/>
  <c r="X22"/>
  <c r="O22"/>
  <c r="Y22"/>
  <c r="K22"/>
  <c r="C22"/>
  <c r="B22" s="1"/>
  <c r="I22" s="1"/>
  <c r="AA21"/>
  <c r="X21"/>
  <c r="X33" s="1"/>
  <c r="O21"/>
  <c r="Y21" s="1"/>
  <c r="Z21" s="1"/>
  <c r="K21"/>
  <c r="C21"/>
  <c r="B21"/>
  <c r="I21" s="1"/>
  <c r="S20"/>
  <c r="S31" s="1"/>
  <c r="O20"/>
  <c r="Y20" s="1"/>
  <c r="Z20" s="1"/>
  <c r="K20"/>
  <c r="C20"/>
  <c r="B20" s="1"/>
  <c r="AA19"/>
  <c r="V19"/>
  <c r="V31" s="1"/>
  <c r="O19"/>
  <c r="Y19" s="1"/>
  <c r="K19"/>
  <c r="K31"/>
  <c r="C19"/>
  <c r="B19"/>
  <c r="I19" s="1"/>
  <c r="X18"/>
  <c r="W18"/>
  <c r="V18"/>
  <c r="U18"/>
  <c r="R18"/>
  <c r="Q18"/>
  <c r="P18"/>
  <c r="M18"/>
  <c r="L18"/>
  <c r="H18"/>
  <c r="G18"/>
  <c r="F18"/>
  <c r="E18"/>
  <c r="D18"/>
  <c r="AA17"/>
  <c r="S17"/>
  <c r="O17"/>
  <c r="Y17" s="1"/>
  <c r="Z17" s="1"/>
  <c r="K17"/>
  <c r="C17"/>
  <c r="B17" s="1"/>
  <c r="I17" s="1"/>
  <c r="AA16"/>
  <c r="O16"/>
  <c r="Y16" s="1"/>
  <c r="Z16" s="1"/>
  <c r="K16"/>
  <c r="C16"/>
  <c r="B16" s="1"/>
  <c r="I16" s="1"/>
  <c r="AA15"/>
  <c r="O15"/>
  <c r="Y15" s="1"/>
  <c r="Z15" s="1"/>
  <c r="K15"/>
  <c r="C15"/>
  <c r="B15" s="1"/>
  <c r="I15" s="1"/>
  <c r="AA14"/>
  <c r="O14"/>
  <c r="Y14" s="1"/>
  <c r="Z14" s="1"/>
  <c r="K14"/>
  <c r="J14"/>
  <c r="C14"/>
  <c r="B14"/>
  <c r="I14" s="1"/>
  <c r="AA13"/>
  <c r="O13"/>
  <c r="Y13" s="1"/>
  <c r="Z13" s="1"/>
  <c r="K13"/>
  <c r="C13"/>
  <c r="B13"/>
  <c r="I13" s="1"/>
  <c r="AA12"/>
  <c r="O12"/>
  <c r="Y12" s="1"/>
  <c r="K12"/>
  <c r="C12"/>
  <c r="B12"/>
  <c r="I12" s="1"/>
  <c r="AA11"/>
  <c r="S11"/>
  <c r="S18"/>
  <c r="O11"/>
  <c r="Y11"/>
  <c r="Z11" s="1"/>
  <c r="K11"/>
  <c r="J11"/>
  <c r="C11"/>
  <c r="B11" s="1"/>
  <c r="I11" s="1"/>
  <c r="AA10"/>
  <c r="O10"/>
  <c r="Y10" s="1"/>
  <c r="Z10" s="1"/>
  <c r="K10"/>
  <c r="C10"/>
  <c r="B10" s="1"/>
  <c r="I10" s="1"/>
  <c r="T9"/>
  <c r="AA9" s="1"/>
  <c r="AA18" s="1"/>
  <c r="O9"/>
  <c r="Y9" s="1"/>
  <c r="Z9" s="1"/>
  <c r="K9"/>
  <c r="J9"/>
  <c r="J18" s="1"/>
  <c r="C9"/>
  <c r="B9" s="1"/>
  <c r="I9" s="1"/>
  <c r="AA8"/>
  <c r="O8"/>
  <c r="Y8" s="1"/>
  <c r="Z8" s="1"/>
  <c r="K8"/>
  <c r="C8"/>
  <c r="B8" s="1"/>
  <c r="I8" s="1"/>
  <c r="AA7"/>
  <c r="O7"/>
  <c r="Y7" s="1"/>
  <c r="Z7" s="1"/>
  <c r="K7"/>
  <c r="C7"/>
  <c r="B7" s="1"/>
  <c r="AA6"/>
  <c r="O6"/>
  <c r="Y6" s="1"/>
  <c r="O18"/>
  <c r="K6"/>
  <c r="K18"/>
  <c r="C6"/>
  <c r="C18"/>
  <c r="C5" i="33"/>
  <c r="B5"/>
  <c r="B17" s="1"/>
  <c r="B22" s="1"/>
  <c r="B24" s="1"/>
  <c r="B26" s="1"/>
  <c r="C6"/>
  <c r="B6"/>
  <c r="C7"/>
  <c r="B7"/>
  <c r="C8"/>
  <c r="B8"/>
  <c r="I8" s="1"/>
  <c r="C9"/>
  <c r="B9"/>
  <c r="C10"/>
  <c r="B10"/>
  <c r="I10" s="1"/>
  <c r="C11"/>
  <c r="B11"/>
  <c r="C12"/>
  <c r="B12"/>
  <c r="I12" s="1"/>
  <c r="C13"/>
  <c r="B13"/>
  <c r="C14"/>
  <c r="B14"/>
  <c r="I14" s="1"/>
  <c r="C15"/>
  <c r="B15"/>
  <c r="C16"/>
  <c r="B16"/>
  <c r="I16" s="1"/>
  <c r="B23"/>
  <c r="E17"/>
  <c r="F17"/>
  <c r="B25"/>
  <c r="J8"/>
  <c r="J10"/>
  <c r="J13"/>
  <c r="J17"/>
  <c r="I6"/>
  <c r="I7"/>
  <c r="I9"/>
  <c r="I11"/>
  <c r="I13"/>
  <c r="I15"/>
  <c r="H17"/>
  <c r="G17"/>
  <c r="D17"/>
  <c r="C17"/>
  <c r="K5"/>
  <c r="O5"/>
  <c r="Y5" s="1"/>
  <c r="AA5"/>
  <c r="K6"/>
  <c r="O6"/>
  <c r="Y6"/>
  <c r="AA6"/>
  <c r="K7"/>
  <c r="O7"/>
  <c r="Y7"/>
  <c r="Z7" s="1"/>
  <c r="AA7"/>
  <c r="K8"/>
  <c r="O8"/>
  <c r="O17" s="1"/>
  <c r="T8"/>
  <c r="Y8"/>
  <c r="Z8" s="1"/>
  <c r="AA8"/>
  <c r="K9"/>
  <c r="O9"/>
  <c r="Y9" s="1"/>
  <c r="Z9" s="1"/>
  <c r="AA9"/>
  <c r="K10"/>
  <c r="O10"/>
  <c r="S10"/>
  <c r="Y10" s="1"/>
  <c r="Z10" s="1"/>
  <c r="K11"/>
  <c r="O11"/>
  <c r="Y11"/>
  <c r="Z11" s="1"/>
  <c r="AA11"/>
  <c r="K12"/>
  <c r="O12"/>
  <c r="Y12" s="1"/>
  <c r="Z12" s="1"/>
  <c r="AA12"/>
  <c r="K13"/>
  <c r="K17" s="1"/>
  <c r="O13"/>
  <c r="Y13"/>
  <c r="Z13" s="1"/>
  <c r="AA13"/>
  <c r="K14"/>
  <c r="O14"/>
  <c r="Y14" s="1"/>
  <c r="Z14" s="1"/>
  <c r="AA14"/>
  <c r="K15"/>
  <c r="O15"/>
  <c r="Y15"/>
  <c r="Z15" s="1"/>
  <c r="AA15"/>
  <c r="K16"/>
  <c r="O16"/>
  <c r="S16"/>
  <c r="Y16"/>
  <c r="Z16" s="1"/>
  <c r="AA16"/>
  <c r="L17"/>
  <c r="M17"/>
  <c r="P17"/>
  <c r="Q17"/>
  <c r="R17"/>
  <c r="T17"/>
  <c r="U17"/>
  <c r="V17"/>
  <c r="W17"/>
  <c r="X17"/>
  <c r="Z6"/>
  <c r="AA10"/>
  <c r="AA17" s="1"/>
  <c r="Z22" i="35"/>
  <c r="B6"/>
  <c r="AA20"/>
  <c r="AA31"/>
  <c r="C23"/>
  <c r="B23" s="1"/>
  <c r="I23" s="1"/>
  <c r="O31"/>
  <c r="B34"/>
  <c r="I6"/>
  <c r="F23" i="15" l="1"/>
  <c r="F9" s="1"/>
  <c r="I9" s="1"/>
  <c r="Y18" i="35"/>
  <c r="Z6"/>
  <c r="I7"/>
  <c r="B18"/>
  <c r="Y33"/>
  <c r="Z12"/>
  <c r="Y31"/>
  <c r="Z19"/>
  <c r="Z5" i="33"/>
  <c r="Z17" s="1"/>
  <c r="Y17"/>
  <c r="I20" i="35"/>
  <c r="I31" s="1"/>
  <c r="B31"/>
  <c r="I18"/>
  <c r="Z23"/>
  <c r="C31"/>
  <c r="S17" i="33"/>
  <c r="I5"/>
  <c r="I17" s="1"/>
  <c r="T18" i="35"/>
  <c r="X31"/>
  <c r="B36" l="1"/>
  <c r="B37" s="1"/>
  <c r="B39" s="1"/>
  <c r="B35"/>
  <c r="Z31"/>
  <c r="Z18"/>
</calcChain>
</file>

<file path=xl/comments1.xml><?xml version="1.0" encoding="utf-8"?>
<comments xmlns="http://schemas.openxmlformats.org/spreadsheetml/2006/main">
  <authors>
    <author>p03395</author>
  </authors>
  <commentList>
    <comment ref="J9" authorId="0">
      <text>
        <r>
          <rPr>
            <b/>
            <sz val="10"/>
            <color indexed="81"/>
            <rFont val="Tahoma"/>
            <family val="2"/>
          </rPr>
          <t>p03395:</t>
        </r>
        <r>
          <rPr>
            <sz val="10"/>
            <color indexed="81"/>
            <rFont val="Tahoma"/>
            <family val="2"/>
          </rPr>
          <t xml:space="preserve">
$35,937.27 booked in May08
$2,086.45 booked in Aug08 (failed to pick this up in May08)</t>
        </r>
      </text>
    </comment>
    <comment ref="T9" authorId="0">
      <text>
        <r>
          <rPr>
            <b/>
            <sz val="10"/>
            <color indexed="81"/>
            <rFont val="Tahoma"/>
            <family val="2"/>
          </rPr>
          <t>p03395:</t>
        </r>
        <r>
          <rPr>
            <sz val="10"/>
            <color indexed="81"/>
            <rFont val="Tahoma"/>
            <family val="2"/>
          </rPr>
          <t xml:space="preserve">
$35,937.27 booked in May08
$2,086.45 booked in Aug08 (failed to pick this up in May08)</t>
        </r>
      </text>
    </comment>
    <comment ref="E11" authorId="0">
      <text>
        <r>
          <rPr>
            <b/>
            <sz val="8"/>
            <color indexed="81"/>
            <rFont val="Tahoma"/>
            <family val="2"/>
          </rPr>
          <t>p03395:</t>
        </r>
        <r>
          <rPr>
            <sz val="8"/>
            <color indexed="81"/>
            <rFont val="Tahoma"/>
            <family val="2"/>
          </rPr>
          <t xml:space="preserve">
These red amounts were capitalized &amp; booked in Sep08 for Jun08 - Aug08 for Populus.</t>
        </r>
      </text>
    </comment>
    <comment ref="K11" authorId="0">
      <text>
        <r>
          <rPr>
            <b/>
            <sz val="10"/>
            <color indexed="81"/>
            <rFont val="Tahoma"/>
            <family val="2"/>
          </rPr>
          <t>p03395:</t>
        </r>
        <r>
          <rPr>
            <sz val="10"/>
            <color indexed="81"/>
            <rFont val="Tahoma"/>
            <family val="2"/>
          </rPr>
          <t xml:space="preserve">
MEHC sent invoice too late so wire could not be drafted in July - will pay $836,688.51 in August.</t>
        </r>
      </text>
    </comment>
    <comment ref="S11" authorId="0">
      <text>
        <r>
          <rPr>
            <b/>
            <sz val="10"/>
            <color indexed="81"/>
            <rFont val="Tahoma"/>
            <family val="2"/>
          </rPr>
          <t>p03395:</t>
        </r>
        <r>
          <rPr>
            <sz val="10"/>
            <color indexed="81"/>
            <rFont val="Tahoma"/>
            <family val="2"/>
          </rPr>
          <t xml:space="preserve">
$896,000 is regular LTIP and $371,750.33 is LTIP forfeiture. </t>
        </r>
      </text>
    </comment>
    <comment ref="J18" authorId="0">
      <text>
        <r>
          <rPr>
            <b/>
            <sz val="10"/>
            <color indexed="81"/>
            <rFont val="Tahoma"/>
            <family val="2"/>
          </rPr>
          <t>p03395:</t>
        </r>
        <r>
          <rPr>
            <sz val="10"/>
            <color indexed="81"/>
            <rFont val="Tahoma"/>
            <family val="2"/>
          </rPr>
          <t xml:space="preserve">
In Dec-08 Mark had me moved all BTL charges from account 545266 to ATL account 545261 so I took these amounts to the ATL column. </t>
        </r>
      </text>
    </comment>
  </commentList>
</comments>
</file>

<file path=xl/comments2.xml><?xml version="1.0" encoding="utf-8"?>
<comments xmlns="http://schemas.openxmlformats.org/spreadsheetml/2006/main">
  <authors>
    <author>p03395</author>
  </authors>
  <commentList>
    <comment ref="J8" authorId="0">
      <text>
        <r>
          <rPr>
            <b/>
            <sz val="10"/>
            <color indexed="81"/>
            <rFont val="Tahoma"/>
            <family val="2"/>
          </rPr>
          <t>p03395:</t>
        </r>
        <r>
          <rPr>
            <sz val="10"/>
            <color indexed="81"/>
            <rFont val="Tahoma"/>
            <family val="2"/>
          </rPr>
          <t xml:space="preserve">
$35,937.27 booked in May08
$2,086.45 booked in Aug08 (failed to pick this up in May08)</t>
        </r>
      </text>
    </comment>
    <comment ref="T8" authorId="0">
      <text>
        <r>
          <rPr>
            <b/>
            <sz val="10"/>
            <color indexed="81"/>
            <rFont val="Tahoma"/>
            <family val="2"/>
          </rPr>
          <t>p03395:</t>
        </r>
        <r>
          <rPr>
            <sz val="10"/>
            <color indexed="81"/>
            <rFont val="Tahoma"/>
            <family val="2"/>
          </rPr>
          <t xml:space="preserve">
$35,937.27 booked in May08
$2,086.45 booked in Aug08 (failed to pick this up in May08)</t>
        </r>
      </text>
    </comment>
    <comment ref="E10" authorId="0">
      <text>
        <r>
          <rPr>
            <b/>
            <sz val="8"/>
            <color indexed="81"/>
            <rFont val="Tahoma"/>
            <family val="2"/>
          </rPr>
          <t>p03395:</t>
        </r>
        <r>
          <rPr>
            <sz val="8"/>
            <color indexed="81"/>
            <rFont val="Tahoma"/>
            <family val="2"/>
          </rPr>
          <t xml:space="preserve">
These red amounts were capitalized &amp; booked in Sep08 for Jun08 - Aug08 for Populus.</t>
        </r>
      </text>
    </comment>
    <comment ref="K10" authorId="0">
      <text>
        <r>
          <rPr>
            <b/>
            <sz val="10"/>
            <color indexed="81"/>
            <rFont val="Tahoma"/>
            <family val="2"/>
          </rPr>
          <t>p03395:</t>
        </r>
        <r>
          <rPr>
            <sz val="10"/>
            <color indexed="81"/>
            <rFont val="Tahoma"/>
            <family val="2"/>
          </rPr>
          <t xml:space="preserve">
MEHC sent invoice too late so wire could not be drafted in July - will pay $836,688.51 in August.</t>
        </r>
      </text>
    </comment>
    <comment ref="S10" authorId="0">
      <text>
        <r>
          <rPr>
            <b/>
            <sz val="10"/>
            <color indexed="81"/>
            <rFont val="Tahoma"/>
            <family val="2"/>
          </rPr>
          <t>p03395:</t>
        </r>
        <r>
          <rPr>
            <sz val="10"/>
            <color indexed="81"/>
            <rFont val="Tahoma"/>
            <family val="2"/>
          </rPr>
          <t xml:space="preserve">
$896,000 is regular LTIP and $371,750.33 is LTIP forfeiture. </t>
        </r>
      </text>
    </comment>
    <comment ref="J17" authorId="0">
      <text>
        <r>
          <rPr>
            <b/>
            <sz val="10"/>
            <color indexed="81"/>
            <rFont val="Tahoma"/>
            <family val="2"/>
          </rPr>
          <t>p03395:</t>
        </r>
        <r>
          <rPr>
            <sz val="10"/>
            <color indexed="81"/>
            <rFont val="Tahoma"/>
            <family val="2"/>
          </rPr>
          <t xml:space="preserve">
In Dec-08 Mark had me moved all BTL charges from account 545266 to ATL account 545261 so I took these amounts to the ATL column. </t>
        </r>
      </text>
    </comment>
  </commentList>
</comments>
</file>

<file path=xl/sharedStrings.xml><?xml version="1.0" encoding="utf-8"?>
<sst xmlns="http://schemas.openxmlformats.org/spreadsheetml/2006/main" count="115" uniqueCount="70">
  <si>
    <t>TOTAL</t>
  </si>
  <si>
    <t>ACCOUNT</t>
  </si>
  <si>
    <t>Type</t>
  </si>
  <si>
    <t>COMPANY</t>
  </si>
  <si>
    <t>FACTOR</t>
  </si>
  <si>
    <t>FACTOR %</t>
  </si>
  <si>
    <t>ALLOCATED</t>
  </si>
  <si>
    <t>REF#</t>
  </si>
  <si>
    <t>Adustment to Expense:</t>
  </si>
  <si>
    <t>Description of Adjustment:</t>
  </si>
  <si>
    <t>SO</t>
  </si>
  <si>
    <t>OTHER</t>
  </si>
  <si>
    <t>Operation &amp; Maintenance expense</t>
  </si>
  <si>
    <t>Adjustment Detail</t>
  </si>
  <si>
    <t>Adjustment Required</t>
  </si>
  <si>
    <t>LTIP</t>
  </si>
  <si>
    <t>SERP</t>
  </si>
  <si>
    <t>MEC</t>
  </si>
  <si>
    <t>IGC</t>
  </si>
  <si>
    <t>MidAmerican Energy Holdings Company Invoices to PacifiCorp</t>
  </si>
  <si>
    <t>BOOKED</t>
  </si>
  <si>
    <t>PAID</t>
  </si>
  <si>
    <t>INVOICED</t>
  </si>
  <si>
    <t>INVOICE DETAILS</t>
  </si>
  <si>
    <t>DATE</t>
  </si>
  <si>
    <t>EXPENSED</t>
  </si>
  <si>
    <t>CAPITALIZED</t>
  </si>
  <si>
    <t>A-T-L</t>
  </si>
  <si>
    <t>B-T-L</t>
  </si>
  <si>
    <t>(CO. 1000)</t>
  </si>
  <si>
    <t>(CO. 2015)</t>
  </si>
  <si>
    <t>MEHC</t>
  </si>
  <si>
    <t>LEGISLATIVE</t>
  </si>
  <si>
    <t>CONTRIBUTIONS</t>
  </si>
  <si>
    <t>MEHC BONUS</t>
  </si>
  <si>
    <t>MEC BONUS</t>
  </si>
  <si>
    <t>2008 TOTAL</t>
  </si>
  <si>
    <t>Source:  Jade Nyguen</t>
  </si>
  <si>
    <t>POPULUS</t>
  </si>
  <si>
    <t>R. METCALF</t>
  </si>
  <si>
    <t>S. WILLIAMS</t>
  </si>
  <si>
    <t>ORDERS</t>
  </si>
  <si>
    <t>CY 2008 Management Fees Booked</t>
  </si>
  <si>
    <t>Annual cap</t>
  </si>
  <si>
    <t>G/L  545261</t>
  </si>
  <si>
    <t>Capitalized - Direct charges to our projects</t>
  </si>
  <si>
    <t>when we make the NPC adjustment</t>
  </si>
  <si>
    <t xml:space="preserve">Charges billed to &amp; residing at Bridger Coal/Interwest Mining - don't adjust for these, they are normalized out </t>
  </si>
  <si>
    <t>PacifiCorp</t>
  </si>
  <si>
    <t>545261</t>
  </si>
  <si>
    <t>545266</t>
  </si>
  <si>
    <t>-</t>
  </si>
  <si>
    <t>2009 TOTAL</t>
  </si>
  <si>
    <t>invoiced Jan - Aug 2009</t>
  </si>
  <si>
    <t>invoiced for January - June 2010</t>
  </si>
  <si>
    <t>booked Jan - Jul 2009</t>
  </si>
  <si>
    <t>booked for January - June 2010</t>
  </si>
  <si>
    <t>Sep 2009 cap</t>
  </si>
  <si>
    <t>invoice to carry forward to future months</t>
  </si>
  <si>
    <t>booked Jan - Jun 2009</t>
  </si>
  <si>
    <t>remaining invoice to book after Jun 2009</t>
  </si>
  <si>
    <t>12ME June 2009</t>
  </si>
  <si>
    <t>MEHC Mangement Fee booked Above the Line - 12 Mos Ended December 2009</t>
  </si>
  <si>
    <t>Washington General Rate Case - December 2009</t>
  </si>
  <si>
    <t>Page 4.5</t>
  </si>
  <si>
    <t>MEHC Management Fee Limit per Commitment WA 4</t>
  </si>
  <si>
    <t>Below</t>
  </si>
  <si>
    <t>Above</t>
  </si>
  <si>
    <t>Affiliate Management Fee</t>
  </si>
  <si>
    <t>RES</t>
  </si>
</sst>
</file>

<file path=xl/styles.xml><?xml version="1.0" encoding="utf-8"?>
<styleSheet xmlns="http://schemas.openxmlformats.org/spreadsheetml/2006/main">
  <numFmts count="11">
    <numFmt numFmtId="5" formatCode="&quot;$&quot;#,##0_);\(&quot;$&quot;#,##0\)"/>
    <numFmt numFmtId="41" formatCode="_(* #,##0_);_(* \(#,##0\);_(* &quot;-&quot;_);_(@_)"/>
    <numFmt numFmtId="43" formatCode="_(* #,##0.00_);_(* \(#,##0.00\);_(* &quot;-&quot;??_);_(@_)"/>
    <numFmt numFmtId="164" formatCode="_(* #,##0_);_(* \(#,##0\);_(* &quot;-&quot;??_);_(@_)"/>
    <numFmt numFmtId="165" formatCode="0.0000%"/>
    <numFmt numFmtId="166" formatCode="mmmm\ d\,\ yyyy"/>
    <numFmt numFmtId="167" formatCode="#,##0.0000"/>
    <numFmt numFmtId="168" formatCode="_-* #,##0\ &quot;F&quot;_-;\-* #,##0\ &quot;F&quot;_-;_-* &quot;-&quot;\ &quot;F&quot;_-;_-@_-"/>
    <numFmt numFmtId="169" formatCode="#,##0.000;[Red]\-#,##0.000"/>
    <numFmt numFmtId="170" formatCode="mm/dd/yy;@"/>
    <numFmt numFmtId="171" formatCode="0.000%"/>
  </numFmts>
  <fonts count="31">
    <font>
      <sz val="10"/>
      <name val="Arial"/>
    </font>
    <font>
      <sz val="11"/>
      <color theme="1"/>
      <name val="Calibri"/>
      <family val="2"/>
      <scheme val="minor"/>
    </font>
    <font>
      <sz val="10"/>
      <name val="Arial"/>
      <family val="2"/>
    </font>
    <font>
      <sz val="8"/>
      <name val="Arial"/>
      <family val="2"/>
    </font>
    <font>
      <sz val="10"/>
      <name val="Arial"/>
      <family val="2"/>
    </font>
    <font>
      <b/>
      <sz val="10"/>
      <name val="Arial"/>
      <family val="2"/>
    </font>
    <font>
      <sz val="12"/>
      <name val="Times New Roman"/>
      <family val="1"/>
    </font>
    <font>
      <sz val="10"/>
      <name val="Courier"/>
      <family val="3"/>
    </font>
    <font>
      <sz val="10"/>
      <color indexed="8"/>
      <name val="Helv"/>
    </font>
    <font>
      <sz val="10"/>
      <name val="Helv"/>
    </font>
    <font>
      <sz val="10"/>
      <color indexed="24"/>
      <name val="Courier New"/>
      <family val="3"/>
    </font>
    <font>
      <sz val="8"/>
      <name val="Arial"/>
      <family val="2"/>
    </font>
    <font>
      <b/>
      <sz val="16"/>
      <name val="Times New Roman"/>
      <family val="1"/>
    </font>
    <font>
      <b/>
      <sz val="12"/>
      <name val="Arial"/>
      <family val="2"/>
    </font>
    <font>
      <b/>
      <sz val="18"/>
      <name val="Arial"/>
      <family val="2"/>
    </font>
    <font>
      <b/>
      <sz val="12"/>
      <name val="Arial"/>
      <family val="2"/>
    </font>
    <font>
      <b/>
      <i/>
      <sz val="8"/>
      <color indexed="18"/>
      <name val="Helv"/>
    </font>
    <font>
      <sz val="11"/>
      <color indexed="8"/>
      <name val="TimesNewRomanPS"/>
    </font>
    <font>
      <sz val="10"/>
      <color indexed="11"/>
      <name val="Geneva"/>
    </font>
    <font>
      <sz val="12"/>
      <name val="Arial MT"/>
    </font>
    <font>
      <b/>
      <sz val="10"/>
      <name val="Arial"/>
      <family val="2"/>
    </font>
    <font>
      <b/>
      <sz val="10"/>
      <color indexed="81"/>
      <name val="Tahoma"/>
      <family val="2"/>
    </font>
    <font>
      <sz val="10"/>
      <color indexed="81"/>
      <name val="Tahoma"/>
      <family val="2"/>
    </font>
    <font>
      <sz val="10"/>
      <color indexed="8"/>
      <name val="Arial"/>
      <family val="2"/>
    </font>
    <font>
      <sz val="10"/>
      <color indexed="8"/>
      <name val="Arial"/>
      <family val="2"/>
    </font>
    <font>
      <sz val="10"/>
      <color indexed="10"/>
      <name val="Arial"/>
      <family val="2"/>
    </font>
    <font>
      <b/>
      <sz val="8"/>
      <color indexed="81"/>
      <name val="Tahoma"/>
      <family val="2"/>
    </font>
    <font>
      <sz val="8"/>
      <color indexed="81"/>
      <name val="Tahoma"/>
      <family val="2"/>
    </font>
    <font>
      <sz val="10"/>
      <name val="Arial"/>
      <family val="2"/>
    </font>
    <font>
      <u/>
      <sz val="10"/>
      <name val="Arial"/>
      <family val="2"/>
    </font>
    <font>
      <b/>
      <sz val="10"/>
      <color indexed="10"/>
      <name val="Arial"/>
      <family val="2"/>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lightGray"/>
    </fill>
    <fill>
      <patternFill patternType="solid">
        <fgColor indexed="46"/>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s>
  <cellStyleXfs count="56">
    <xf numFmtId="0" fontId="0" fillId="0" borderId="0"/>
    <xf numFmtId="0" fontId="7" fillId="0" borderId="0"/>
    <xf numFmtId="43" fontId="2" fillId="0" borderId="0" applyFont="0" applyFill="0" applyBorder="0" applyAlignment="0" applyProtection="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 fontId="8" fillId="0" borderId="0"/>
    <xf numFmtId="43" fontId="28" fillId="0" borderId="0" applyFont="0" applyFill="0" applyBorder="0" applyAlignment="0" applyProtection="0"/>
    <xf numFmtId="43" fontId="4" fillId="0" borderId="0" applyFont="0" applyFill="0" applyBorder="0" applyAlignment="0" applyProtection="0"/>
    <xf numFmtId="37" fontId="2" fillId="0" borderId="0" applyFill="0" applyBorder="0" applyAlignment="0" applyProtection="0"/>
    <xf numFmtId="0" fontId="9" fillId="0" borderId="0"/>
    <xf numFmtId="0" fontId="9" fillId="0" borderId="0"/>
    <xf numFmtId="3" fontId="10" fillId="0" borderId="0" applyFont="0" applyFill="0" applyBorder="0" applyAlignment="0" applyProtection="0"/>
    <xf numFmtId="0" fontId="9" fillId="0" borderId="0"/>
    <xf numFmtId="5" fontId="9" fillId="0" borderId="0"/>
    <xf numFmtId="5" fontId="2" fillId="0" borderId="0" applyFill="0" applyBorder="0" applyAlignment="0" applyProtection="0"/>
    <xf numFmtId="166" fontId="2" fillId="0" borderId="0" applyFill="0" applyBorder="0" applyAlignment="0" applyProtection="0"/>
    <xf numFmtId="0" fontId="9" fillId="0" borderId="0"/>
    <xf numFmtId="0" fontId="10" fillId="0" borderId="0" applyFont="0" applyFill="0" applyBorder="0" applyAlignment="0" applyProtection="0"/>
    <xf numFmtId="2" fontId="2" fillId="0" borderId="0" applyFill="0" applyBorder="0" applyAlignment="0" applyProtection="0"/>
    <xf numFmtId="38" fontId="11" fillId="2" borderId="0" applyNumberFormat="0" applyBorder="0" applyAlignment="0" applyProtection="0"/>
    <xf numFmtId="0" fontId="12" fillId="0" borderId="0"/>
    <xf numFmtId="0" fontId="13" fillId="0" borderId="1" applyNumberFormat="0" applyAlignment="0" applyProtection="0">
      <alignment horizontal="left" vertical="center"/>
    </xf>
    <xf numFmtId="0" fontId="13" fillId="0" borderId="2">
      <alignment horizontal="left" vertical="center"/>
    </xf>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protection locked="0"/>
    </xf>
    <xf numFmtId="10" fontId="11" fillId="3" borderId="3" applyNumberFormat="0" applyBorder="0" applyAlignment="0" applyProtection="0"/>
    <xf numFmtId="37" fontId="17" fillId="0" borderId="0" applyNumberFormat="0" applyFill="0" applyBorder="0"/>
    <xf numFmtId="169" fontId="2" fillId="0" borderId="0"/>
    <xf numFmtId="0" fontId="4" fillId="0" borderId="0"/>
    <xf numFmtId="37" fontId="9" fillId="0" borderId="0"/>
    <xf numFmtId="0" fontId="6" fillId="0" borderId="0"/>
    <xf numFmtId="0" fontId="9" fillId="0" borderId="0"/>
    <xf numFmtId="0" fontId="9" fillId="0" borderId="0"/>
    <xf numFmtId="9" fontId="2" fillId="0" borderId="0" applyFont="0" applyFill="0" applyBorder="0" applyAlignment="0" applyProtection="0"/>
    <xf numFmtId="10" fontId="2" fillId="0" borderId="0" applyFont="0" applyFill="0" applyBorder="0" applyAlignment="0" applyProtection="0"/>
    <xf numFmtId="9" fontId="18" fillId="0" borderId="0"/>
    <xf numFmtId="37" fontId="19" fillId="4" borderId="0" applyNumberFormat="0" applyFont="0" applyBorder="0" applyAlignment="0" applyProtection="0"/>
    <xf numFmtId="167" fontId="2" fillId="0" borderId="4">
      <alignment horizontal="justify" vertical="top" wrapText="1"/>
    </xf>
    <xf numFmtId="0" fontId="20" fillId="0" borderId="3">
      <alignment horizontal="center" vertical="center" wrapText="1"/>
    </xf>
    <xf numFmtId="0" fontId="2" fillId="0" borderId="5" applyNumberFormat="0" applyFill="0" applyAlignment="0" applyProtection="0"/>
    <xf numFmtId="0" fontId="9" fillId="0" borderId="6"/>
    <xf numFmtId="0" fontId="9" fillId="0" borderId="7"/>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191">
    <xf numFmtId="0" fontId="0" fillId="0" borderId="0" xfId="0"/>
    <xf numFmtId="0" fontId="0" fillId="0" borderId="0" xfId="0" applyBorder="1"/>
    <xf numFmtId="43" fontId="2" fillId="0" borderId="0" xfId="2"/>
    <xf numFmtId="164" fontId="4" fillId="0" borderId="8" xfId="2" applyNumberFormat="1" applyFont="1" applyBorder="1"/>
    <xf numFmtId="0" fontId="4" fillId="0" borderId="0" xfId="0" applyFont="1"/>
    <xf numFmtId="0" fontId="5" fillId="0" borderId="9" xfId="0" applyFont="1" applyBorder="1" applyAlignment="1">
      <alignment horizontal="center"/>
    </xf>
    <xf numFmtId="0" fontId="0" fillId="0" borderId="0" xfId="0" applyBorder="1" applyAlignment="1">
      <alignment horizontal="center"/>
    </xf>
    <xf numFmtId="43" fontId="4" fillId="0" borderId="0" xfId="2" applyFont="1" applyBorder="1" applyAlignment="1">
      <alignment horizontal="center"/>
    </xf>
    <xf numFmtId="43" fontId="2" fillId="0" borderId="0" xfId="2" applyBorder="1" applyAlignment="1">
      <alignment horizontal="center"/>
    </xf>
    <xf numFmtId="170" fontId="2" fillId="0" borderId="0" xfId="2" applyNumberFormat="1" applyBorder="1" applyAlignment="1">
      <alignment horizontal="center"/>
    </xf>
    <xf numFmtId="43" fontId="2" fillId="0" borderId="0" xfId="2" applyBorder="1"/>
    <xf numFmtId="0" fontId="4" fillId="0" borderId="10" xfId="0" applyFont="1" applyBorder="1" applyAlignment="1">
      <alignment horizontal="center"/>
    </xf>
    <xf numFmtId="43" fontId="4" fillId="0" borderId="11" xfId="2" applyFont="1" applyBorder="1" applyAlignment="1">
      <alignment horizontal="center"/>
    </xf>
    <xf numFmtId="43" fontId="4" fillId="0" borderId="12" xfId="2" applyFont="1" applyBorder="1" applyAlignment="1">
      <alignment horizontal="center"/>
    </xf>
    <xf numFmtId="170" fontId="4" fillId="0" borderId="11" xfId="2" applyNumberFormat="1" applyFont="1" applyBorder="1" applyAlignment="1">
      <alignment horizontal="center"/>
    </xf>
    <xf numFmtId="43" fontId="2" fillId="0" borderId="11" xfId="2" applyBorder="1" applyAlignment="1">
      <alignment horizontal="center"/>
    </xf>
    <xf numFmtId="43" fontId="4" fillId="0" borderId="11" xfId="2" applyFont="1" applyFill="1" applyBorder="1" applyAlignment="1">
      <alignment horizontal="center"/>
    </xf>
    <xf numFmtId="0" fontId="0" fillId="0" borderId="11" xfId="0" applyBorder="1"/>
    <xf numFmtId="17" fontId="0" fillId="0" borderId="0" xfId="0" applyNumberFormat="1" applyBorder="1" applyAlignment="1">
      <alignment horizontal="center"/>
    </xf>
    <xf numFmtId="43" fontId="2" fillId="0" borderId="0" xfId="2" applyAlignment="1">
      <alignment horizontal="center"/>
    </xf>
    <xf numFmtId="43" fontId="2" fillId="0" borderId="13" xfId="2" applyBorder="1"/>
    <xf numFmtId="43" fontId="4" fillId="0" borderId="0" xfId="2" applyFont="1" applyAlignment="1">
      <alignment horizontal="center"/>
    </xf>
    <xf numFmtId="0" fontId="5" fillId="0" borderId="8" xfId="0" applyFont="1" applyBorder="1" applyAlignment="1">
      <alignment horizontal="center"/>
    </xf>
    <xf numFmtId="43" fontId="5" fillId="0" borderId="14" xfId="2" applyFont="1" applyBorder="1" applyAlignment="1">
      <alignment horizontal="center"/>
    </xf>
    <xf numFmtId="43" fontId="5" fillId="0" borderId="8" xfId="2" applyFont="1" applyBorder="1" applyAlignment="1">
      <alignment horizontal="center"/>
    </xf>
    <xf numFmtId="43" fontId="2" fillId="0" borderId="13" xfId="2" applyBorder="1" applyAlignment="1">
      <alignment horizontal="center"/>
    </xf>
    <xf numFmtId="43" fontId="23" fillId="0" borderId="0" xfId="2" applyFont="1" applyFill="1"/>
    <xf numFmtId="0" fontId="0" fillId="0" borderId="8" xfId="0" applyBorder="1"/>
    <xf numFmtId="0" fontId="0" fillId="0" borderId="13" xfId="0" applyBorder="1" applyAlignment="1">
      <alignment horizontal="center"/>
    </xf>
    <xf numFmtId="43" fontId="4" fillId="0" borderId="13" xfId="2" applyFont="1" applyBorder="1" applyAlignment="1">
      <alignment horizontal="center"/>
    </xf>
    <xf numFmtId="170" fontId="2" fillId="0" borderId="0" xfId="2" applyNumberFormat="1" applyAlignment="1">
      <alignment horizontal="center"/>
    </xf>
    <xf numFmtId="43" fontId="24" fillId="0" borderId="0" xfId="2" applyFont="1" applyFill="1" applyBorder="1" applyAlignment="1">
      <alignment horizontal="right" wrapText="1"/>
    </xf>
    <xf numFmtId="43" fontId="2" fillId="0" borderId="0" xfId="2" applyFont="1" applyFill="1" applyBorder="1" applyAlignment="1">
      <alignment horizontal="right" wrapText="1"/>
    </xf>
    <xf numFmtId="43" fontId="2" fillId="0" borderId="0" xfId="2" applyFont="1" applyBorder="1" applyAlignment="1">
      <alignment horizontal="center"/>
    </xf>
    <xf numFmtId="43" fontId="24" fillId="0" borderId="13" xfId="2" applyFont="1" applyFill="1" applyBorder="1" applyAlignment="1">
      <alignment horizontal="right" wrapText="1"/>
    </xf>
    <xf numFmtId="43" fontId="4" fillId="0" borderId="0" xfId="2" applyFont="1" applyFill="1" applyBorder="1" applyAlignment="1">
      <alignment horizontal="center"/>
    </xf>
    <xf numFmtId="43" fontId="2" fillId="0" borderId="0" xfId="2" applyFill="1" applyBorder="1"/>
    <xf numFmtId="43" fontId="2" fillId="0" borderId="0" xfId="2" applyFill="1"/>
    <xf numFmtId="43" fontId="2" fillId="0" borderId="0" xfId="2" applyFont="1" applyFill="1" applyBorder="1"/>
    <xf numFmtId="43" fontId="23" fillId="0" borderId="13" xfId="2" applyFont="1" applyFill="1" applyBorder="1" applyAlignment="1">
      <alignment horizontal="right" wrapText="1"/>
    </xf>
    <xf numFmtId="43" fontId="23" fillId="0" borderId="0" xfId="2" applyFont="1" applyFill="1" applyBorder="1" applyAlignment="1">
      <alignment horizontal="right" wrapText="1"/>
    </xf>
    <xf numFmtId="43" fontId="2" fillId="0" borderId="0" xfId="2" applyFill="1" applyBorder="1" applyAlignment="1">
      <alignment horizontal="center"/>
    </xf>
    <xf numFmtId="170" fontId="2" fillId="0" borderId="0" xfId="2" applyNumberFormat="1" applyFill="1" applyBorder="1" applyAlignment="1">
      <alignment horizontal="center"/>
    </xf>
    <xf numFmtId="43" fontId="4" fillId="0" borderId="0" xfId="2" applyFont="1" applyBorder="1" applyAlignment="1">
      <alignment horizontal="left"/>
    </xf>
    <xf numFmtId="0" fontId="5" fillId="0" borderId="0" xfId="0" applyFont="1" applyBorder="1" applyAlignment="1">
      <alignment horizontal="left"/>
    </xf>
    <xf numFmtId="43" fontId="5" fillId="5" borderId="14" xfId="2" applyFont="1" applyFill="1" applyBorder="1" applyAlignment="1">
      <alignment horizontal="center"/>
    </xf>
    <xf numFmtId="43" fontId="5" fillId="5" borderId="8" xfId="2" applyFont="1" applyFill="1" applyBorder="1" applyAlignment="1">
      <alignment horizontal="center"/>
    </xf>
    <xf numFmtId="43" fontId="5" fillId="6" borderId="8" xfId="2" applyFont="1" applyFill="1" applyBorder="1" applyAlignment="1">
      <alignment horizontal="center"/>
    </xf>
    <xf numFmtId="0" fontId="0" fillId="0" borderId="0" xfId="0" applyFill="1"/>
    <xf numFmtId="43" fontId="5" fillId="0" borderId="0" xfId="2" applyFont="1" applyFill="1" applyBorder="1" applyAlignment="1">
      <alignment horizontal="center"/>
    </xf>
    <xf numFmtId="43" fontId="0" fillId="0" borderId="13" xfId="2" applyFont="1" applyBorder="1" applyAlignment="1">
      <alignment horizontal="center"/>
    </xf>
    <xf numFmtId="43" fontId="25" fillId="0" borderId="0" xfId="2" applyFont="1" applyFill="1"/>
    <xf numFmtId="43" fontId="25" fillId="0" borderId="0" xfId="2" applyFont="1" applyBorder="1" applyAlignment="1">
      <alignment horizontal="center"/>
    </xf>
    <xf numFmtId="43" fontId="0" fillId="0" borderId="15" xfId="2" applyFont="1" applyBorder="1" applyAlignment="1">
      <alignment horizontal="center"/>
    </xf>
    <xf numFmtId="43" fontId="4" fillId="0" borderId="20" xfId="2" applyFont="1" applyBorder="1" applyAlignment="1">
      <alignment horizontal="center"/>
    </xf>
    <xf numFmtId="43" fontId="4" fillId="0" borderId="16" xfId="2" applyFont="1" applyBorder="1" applyAlignment="1">
      <alignment horizontal="center"/>
    </xf>
    <xf numFmtId="43" fontId="5" fillId="0" borderId="17" xfId="2" applyFont="1" applyBorder="1" applyAlignment="1">
      <alignment horizontal="left"/>
    </xf>
    <xf numFmtId="43" fontId="4" fillId="0" borderId="18" xfId="2" applyFont="1" applyBorder="1" applyAlignment="1">
      <alignment horizontal="center"/>
    </xf>
    <xf numFmtId="43" fontId="0" fillId="0" borderId="17" xfId="2" applyFont="1" applyBorder="1" applyAlignment="1">
      <alignment horizontal="center"/>
    </xf>
    <xf numFmtId="43" fontId="4" fillId="0" borderId="18" xfId="2" applyFont="1" applyFill="1" applyBorder="1"/>
    <xf numFmtId="43" fontId="0" fillId="0" borderId="19" xfId="2" applyFont="1" applyBorder="1" applyAlignment="1">
      <alignment horizontal="center"/>
    </xf>
    <xf numFmtId="43" fontId="4" fillId="0" borderId="21" xfId="2" applyFont="1" applyBorder="1" applyAlignment="1">
      <alignment horizontal="left"/>
    </xf>
    <xf numFmtId="43" fontId="4" fillId="0" borderId="21" xfId="2" applyFont="1" applyBorder="1" applyAlignment="1">
      <alignment horizontal="center"/>
    </xf>
    <xf numFmtId="43" fontId="4" fillId="0" borderId="22" xfId="2" applyFont="1" applyBorder="1" applyAlignment="1">
      <alignment horizontal="center"/>
    </xf>
    <xf numFmtId="43" fontId="0" fillId="0" borderId="0" xfId="2" applyFont="1" applyBorder="1" applyAlignment="1">
      <alignment horizontal="center"/>
    </xf>
    <xf numFmtId="43" fontId="4" fillId="0" borderId="21" xfId="2" applyFont="1" applyBorder="1" applyAlignment="1">
      <alignment horizontal="left" indent="1"/>
    </xf>
    <xf numFmtId="43" fontId="28" fillId="0" borderId="0" xfId="12" applyBorder="1" applyAlignment="1">
      <alignment horizontal="center"/>
    </xf>
    <xf numFmtId="43" fontId="4" fillId="0" borderId="0" xfId="12" applyFont="1" applyBorder="1" applyAlignment="1">
      <alignment horizontal="center"/>
    </xf>
    <xf numFmtId="170" fontId="28" fillId="0" borderId="0" xfId="12" applyNumberFormat="1" applyBorder="1" applyAlignment="1">
      <alignment horizontal="center"/>
    </xf>
    <xf numFmtId="43" fontId="28" fillId="0" borderId="0" xfId="12" applyBorder="1"/>
    <xf numFmtId="0" fontId="5" fillId="0" borderId="9" xfId="0" applyFont="1" applyFill="1" applyBorder="1" applyAlignment="1">
      <alignment horizontal="center"/>
    </xf>
    <xf numFmtId="43" fontId="5" fillId="0" borderId="0" xfId="12" applyFont="1" applyFill="1" applyBorder="1" applyAlignment="1">
      <alignment horizontal="center"/>
    </xf>
    <xf numFmtId="43" fontId="4" fillId="0" borderId="0" xfId="12" applyFont="1" applyFill="1" applyBorder="1" applyAlignment="1">
      <alignment horizontal="center"/>
    </xf>
    <xf numFmtId="43" fontId="5" fillId="0" borderId="0" xfId="12" quotePrefix="1" applyFont="1" applyFill="1" applyBorder="1" applyAlignment="1">
      <alignment horizontal="center"/>
    </xf>
    <xf numFmtId="43" fontId="5" fillId="0" borderId="13" xfId="12" applyFont="1" applyFill="1" applyBorder="1" applyAlignment="1">
      <alignment horizontal="center"/>
    </xf>
    <xf numFmtId="43" fontId="4" fillId="0" borderId="11" xfId="12" applyFont="1" applyBorder="1" applyAlignment="1">
      <alignment horizontal="center"/>
    </xf>
    <xf numFmtId="43" fontId="4" fillId="0" borderId="12" xfId="12" applyFont="1" applyBorder="1" applyAlignment="1">
      <alignment horizontal="center"/>
    </xf>
    <xf numFmtId="170" fontId="4" fillId="0" borderId="11" xfId="12" applyNumberFormat="1" applyFont="1" applyBorder="1" applyAlignment="1">
      <alignment horizontal="center"/>
    </xf>
    <xf numFmtId="43" fontId="28" fillId="0" borderId="11" xfId="12" applyBorder="1" applyAlignment="1">
      <alignment horizontal="center"/>
    </xf>
    <xf numFmtId="43" fontId="4" fillId="0" borderId="11" xfId="12" applyFont="1" applyFill="1" applyBorder="1" applyAlignment="1">
      <alignment horizontal="center"/>
    </xf>
    <xf numFmtId="43" fontId="28" fillId="0" borderId="13" xfId="12" applyBorder="1" applyAlignment="1">
      <alignment horizontal="center"/>
    </xf>
    <xf numFmtId="43" fontId="28" fillId="0" borderId="13" xfId="12" applyBorder="1"/>
    <xf numFmtId="43" fontId="24" fillId="0" borderId="0" xfId="12" applyFont="1" applyFill="1" applyBorder="1" applyAlignment="1">
      <alignment horizontal="right" wrapText="1"/>
    </xf>
    <xf numFmtId="43" fontId="28" fillId="0" borderId="0" xfId="12"/>
    <xf numFmtId="43" fontId="28" fillId="0" borderId="0" xfId="12" applyFont="1" applyBorder="1" applyAlignment="1">
      <alignment horizontal="center"/>
    </xf>
    <xf numFmtId="43" fontId="28" fillId="0" borderId="0" xfId="12" applyFill="1" applyBorder="1"/>
    <xf numFmtId="43" fontId="28" fillId="0" borderId="0" xfId="12" applyFill="1"/>
    <xf numFmtId="43" fontId="25" fillId="0" borderId="0" xfId="12" applyFont="1" applyFill="1"/>
    <xf numFmtId="43" fontId="23" fillId="0" borderId="0" xfId="12" applyFont="1" applyFill="1"/>
    <xf numFmtId="43" fontId="24" fillId="0" borderId="13" xfId="12" applyFont="1" applyFill="1" applyBorder="1" applyAlignment="1">
      <alignment horizontal="right" wrapText="1"/>
    </xf>
    <xf numFmtId="43" fontId="28" fillId="0" borderId="0" xfId="12" applyFont="1" applyFill="1" applyBorder="1" applyAlignment="1">
      <alignment horizontal="right" wrapText="1"/>
    </xf>
    <xf numFmtId="43" fontId="25" fillId="0" borderId="0" xfId="12" applyFont="1" applyBorder="1" applyAlignment="1">
      <alignment horizontal="center"/>
    </xf>
    <xf numFmtId="43" fontId="28" fillId="10" borderId="13" xfId="12" applyFill="1" applyBorder="1"/>
    <xf numFmtId="43" fontId="28" fillId="0" borderId="0" xfId="12" applyFont="1" applyFill="1" applyBorder="1"/>
    <xf numFmtId="43" fontId="23" fillId="0" borderId="13" xfId="12" applyFont="1" applyFill="1" applyBorder="1" applyAlignment="1">
      <alignment horizontal="right" wrapText="1"/>
    </xf>
    <xf numFmtId="43" fontId="23" fillId="0" borderId="0" xfId="12" applyFont="1" applyFill="1" applyBorder="1" applyAlignment="1">
      <alignment horizontal="right" wrapText="1"/>
    </xf>
    <xf numFmtId="43" fontId="28" fillId="0" borderId="0" xfId="12" applyFill="1" applyBorder="1" applyAlignment="1">
      <alignment horizontal="center"/>
    </xf>
    <xf numFmtId="170" fontId="28" fillId="0" borderId="0" xfId="12" applyNumberFormat="1" applyFill="1" applyBorder="1" applyAlignment="1">
      <alignment horizontal="center"/>
    </xf>
    <xf numFmtId="43" fontId="5" fillId="0" borderId="14" xfId="12" applyFont="1" applyBorder="1" applyAlignment="1">
      <alignment horizontal="center"/>
    </xf>
    <xf numFmtId="43" fontId="5" fillId="0" borderId="8" xfId="12" applyFont="1" applyBorder="1" applyAlignment="1">
      <alignment horizontal="center"/>
    </xf>
    <xf numFmtId="43" fontId="5" fillId="0" borderId="8" xfId="12" applyFont="1" applyFill="1" applyBorder="1" applyAlignment="1">
      <alignment horizontal="center"/>
    </xf>
    <xf numFmtId="17" fontId="28" fillId="0" borderId="0" xfId="0" applyNumberFormat="1" applyFont="1" applyBorder="1" applyAlignment="1">
      <alignment horizontal="center"/>
    </xf>
    <xf numFmtId="43" fontId="28" fillId="0" borderId="13" xfId="12" applyFont="1" applyBorder="1" applyAlignment="1">
      <alignment horizontal="center"/>
    </xf>
    <xf numFmtId="43" fontId="28" fillId="0" borderId="13" xfId="12" applyFont="1" applyBorder="1"/>
    <xf numFmtId="170" fontId="28" fillId="0" borderId="0" xfId="12" applyNumberFormat="1" applyFont="1" applyBorder="1" applyAlignment="1">
      <alignment horizontal="center"/>
    </xf>
    <xf numFmtId="43" fontId="28" fillId="0" borderId="0" xfId="12" applyFont="1" applyBorder="1"/>
    <xf numFmtId="43" fontId="28" fillId="0" borderId="0" xfId="12" applyFont="1"/>
    <xf numFmtId="0" fontId="28" fillId="0" borderId="0" xfId="0" applyFont="1"/>
    <xf numFmtId="43" fontId="28" fillId="0" borderId="0" xfId="12" applyFont="1" applyAlignment="1">
      <alignment horizontal="center"/>
    </xf>
    <xf numFmtId="43" fontId="4" fillId="0" borderId="0" xfId="13"/>
    <xf numFmtId="43" fontId="23" fillId="0" borderId="0" xfId="13" applyFont="1" applyFill="1" applyBorder="1" applyAlignment="1">
      <alignment horizontal="right" wrapText="1"/>
    </xf>
    <xf numFmtId="43" fontId="28" fillId="11" borderId="0" xfId="12" applyFill="1" applyBorder="1"/>
    <xf numFmtId="43" fontId="28" fillId="11" borderId="0" xfId="12" applyFill="1"/>
    <xf numFmtId="43" fontId="4" fillId="0" borderId="0" xfId="12" applyFont="1" applyAlignment="1">
      <alignment horizontal="center"/>
    </xf>
    <xf numFmtId="43" fontId="4" fillId="0" borderId="13" xfId="12" applyFont="1" applyBorder="1" applyAlignment="1">
      <alignment horizontal="center"/>
    </xf>
    <xf numFmtId="43" fontId="28" fillId="0" borderId="0" xfId="12" applyAlignment="1">
      <alignment horizontal="center"/>
    </xf>
    <xf numFmtId="170" fontId="28" fillId="0" borderId="0" xfId="12" applyNumberFormat="1" applyAlignment="1">
      <alignment horizontal="center"/>
    </xf>
    <xf numFmtId="43" fontId="4" fillId="0" borderId="0" xfId="12" applyFont="1" applyAlignment="1"/>
    <xf numFmtId="43" fontId="4" fillId="0" borderId="0" xfId="12" applyFont="1" applyBorder="1" applyAlignment="1">
      <alignment horizontal="left"/>
    </xf>
    <xf numFmtId="0" fontId="4" fillId="0" borderId="0" xfId="35" applyBorder="1"/>
    <xf numFmtId="43" fontId="4" fillId="0" borderId="0" xfId="13" applyBorder="1"/>
    <xf numFmtId="43" fontId="4" fillId="0" borderId="0" xfId="12" applyFont="1" applyFill="1"/>
    <xf numFmtId="43" fontId="4" fillId="0" borderId="0" xfId="12" applyFont="1" applyBorder="1" applyAlignment="1"/>
    <xf numFmtId="43" fontId="4" fillId="0" borderId="11" xfId="12" applyFont="1" applyBorder="1" applyAlignment="1">
      <alignment horizontal="left"/>
    </xf>
    <xf numFmtId="43" fontId="4" fillId="0" borderId="0" xfId="12" applyFont="1" applyAlignment="1">
      <alignment horizontal="left"/>
    </xf>
    <xf numFmtId="43" fontId="5" fillId="0" borderId="0" xfId="12" applyFont="1" applyAlignment="1"/>
    <xf numFmtId="0" fontId="4" fillId="0" borderId="0" xfId="37" applyFont="1"/>
    <xf numFmtId="0" fontId="5" fillId="0" borderId="0" xfId="37" applyFont="1"/>
    <xf numFmtId="0" fontId="4" fillId="0" borderId="0" xfId="37" applyFont="1" applyAlignment="1">
      <alignment horizontal="center"/>
    </xf>
    <xf numFmtId="0" fontId="4" fillId="0" borderId="0" xfId="37" applyNumberFormat="1" applyFont="1" applyAlignment="1">
      <alignment horizontal="center"/>
    </xf>
    <xf numFmtId="0" fontId="29" fillId="0" borderId="0" xfId="37" applyFont="1" applyAlignment="1">
      <alignment horizontal="center"/>
    </xf>
    <xf numFmtId="0" fontId="29" fillId="0" borderId="0" xfId="37" applyNumberFormat="1" applyFont="1" applyAlignment="1">
      <alignment horizontal="center"/>
    </xf>
    <xf numFmtId="0" fontId="4" fillId="0" borderId="0" xfId="37" applyFont="1" applyBorder="1"/>
    <xf numFmtId="0" fontId="5" fillId="0" borderId="0" xfId="37" applyFont="1" applyBorder="1" applyAlignment="1">
      <alignment horizontal="left"/>
    </xf>
    <xf numFmtId="0" fontId="4" fillId="0" borderId="0" xfId="37" applyFont="1" applyBorder="1" applyAlignment="1">
      <alignment horizontal="center"/>
    </xf>
    <xf numFmtId="164" fontId="4" fillId="0" borderId="0" xfId="2" applyNumberFormat="1" applyFont="1" applyBorder="1" applyAlignment="1">
      <alignment horizontal="center"/>
    </xf>
    <xf numFmtId="0" fontId="4" fillId="0" borderId="0" xfId="0" applyFont="1" applyBorder="1" applyAlignment="1">
      <alignment horizontal="center"/>
    </xf>
    <xf numFmtId="164" fontId="4" fillId="0" borderId="0" xfId="0" applyNumberFormat="1" applyFont="1"/>
    <xf numFmtId="165" fontId="4" fillId="0" borderId="0" xfId="40" applyNumberFormat="1" applyFont="1" applyBorder="1" applyAlignment="1">
      <alignment horizontal="center"/>
    </xf>
    <xf numFmtId="41" fontId="4" fillId="0" borderId="0" xfId="2" applyNumberFormat="1" applyFont="1" applyBorder="1" applyAlignment="1">
      <alignment horizontal="center"/>
    </xf>
    <xf numFmtId="0" fontId="4" fillId="0" borderId="0" xfId="37" applyNumberFormat="1" applyFont="1" applyBorder="1" applyAlignment="1">
      <alignment horizontal="center"/>
    </xf>
    <xf numFmtId="0" fontId="4" fillId="0" borderId="0" xfId="0" applyFont="1" applyAlignment="1">
      <alignment horizontal="left"/>
    </xf>
    <xf numFmtId="165" fontId="4" fillId="0" borderId="0" xfId="40" applyNumberFormat="1" applyFont="1" applyAlignment="1">
      <alignment horizontal="center"/>
    </xf>
    <xf numFmtId="41" fontId="4" fillId="0" borderId="0" xfId="2" applyNumberFormat="1" applyFont="1" applyAlignment="1">
      <alignment horizontal="center"/>
    </xf>
    <xf numFmtId="0" fontId="4" fillId="0" borderId="0" xfId="37" applyFont="1" applyBorder="1" applyAlignment="1">
      <alignment horizontal="left"/>
    </xf>
    <xf numFmtId="164" fontId="4" fillId="0" borderId="0" xfId="2" applyNumberFormat="1" applyFont="1"/>
    <xf numFmtId="0" fontId="4" fillId="0" borderId="0" xfId="37" applyFont="1" applyBorder="1" applyAlignment="1">
      <alignment horizontal="right"/>
    </xf>
    <xf numFmtId="0" fontId="4" fillId="0" borderId="0" xfId="0" applyFont="1" applyBorder="1"/>
    <xf numFmtId="0" fontId="30" fillId="0" borderId="0" xfId="37" applyFont="1"/>
    <xf numFmtId="0" fontId="5" fillId="0" borderId="0" xfId="37" applyFont="1" applyBorder="1" applyAlignment="1">
      <alignment horizontal="center"/>
    </xf>
    <xf numFmtId="0" fontId="4" fillId="0" borderId="0" xfId="37" quotePrefix="1" applyFont="1" applyBorder="1" applyAlignment="1">
      <alignment horizontal="left"/>
    </xf>
    <xf numFmtId="0" fontId="4" fillId="0" borderId="0" xfId="0" applyFont="1" applyBorder="1" applyAlignment="1">
      <alignment horizontal="left"/>
    </xf>
    <xf numFmtId="0" fontId="5" fillId="0" borderId="0" xfId="37" applyFont="1" applyBorder="1"/>
    <xf numFmtId="0" fontId="4" fillId="0" borderId="15" xfId="37" applyFont="1" applyBorder="1"/>
    <xf numFmtId="0" fontId="4" fillId="0" borderId="20" xfId="37" applyFont="1" applyBorder="1"/>
    <xf numFmtId="0" fontId="4" fillId="0" borderId="20" xfId="37" applyFont="1" applyBorder="1" applyAlignment="1">
      <alignment horizontal="center"/>
    </xf>
    <xf numFmtId="0" fontId="4" fillId="0" borderId="16" xfId="37" applyFont="1" applyBorder="1" applyAlignment="1">
      <alignment horizontal="center"/>
    </xf>
    <xf numFmtId="0" fontId="4" fillId="0" borderId="17" xfId="37" applyFont="1" applyBorder="1"/>
    <xf numFmtId="0" fontId="4" fillId="0" borderId="18" xfId="37" applyNumberFormat="1" applyFont="1" applyBorder="1" applyAlignment="1">
      <alignment horizontal="center"/>
    </xf>
    <xf numFmtId="3" fontId="4" fillId="0" borderId="0" xfId="37" applyNumberFormat="1" applyFont="1" applyBorder="1" applyAlignment="1">
      <alignment horizontal="center"/>
    </xf>
    <xf numFmtId="0" fontId="4" fillId="0" borderId="19" xfId="37" applyFont="1" applyBorder="1"/>
    <xf numFmtId="0" fontId="4" fillId="0" borderId="21" xfId="37" applyFont="1" applyBorder="1"/>
    <xf numFmtId="0" fontId="4" fillId="0" borderId="21" xfId="37" applyFont="1" applyBorder="1" applyAlignment="1">
      <alignment horizontal="center"/>
    </xf>
    <xf numFmtId="0" fontId="4" fillId="0" borderId="22" xfId="37" applyFont="1" applyBorder="1" applyAlignment="1">
      <alignment horizontal="center"/>
    </xf>
    <xf numFmtId="43" fontId="4" fillId="12" borderId="8" xfId="13" applyFill="1" applyBorder="1"/>
    <xf numFmtId="43" fontId="5" fillId="12" borderId="8" xfId="12" applyFont="1" applyFill="1" applyBorder="1" applyAlignment="1">
      <alignment horizontal="center"/>
    </xf>
    <xf numFmtId="0" fontId="2" fillId="0" borderId="0" xfId="0" applyFont="1"/>
    <xf numFmtId="0" fontId="2" fillId="0" borderId="0" xfId="37" applyNumberFormat="1" applyFont="1" applyAlignment="1">
      <alignment horizontal="center"/>
    </xf>
    <xf numFmtId="0" fontId="2" fillId="0" borderId="0" xfId="37" applyNumberFormat="1" applyFont="1" applyBorder="1" applyAlignment="1">
      <alignment horizontal="center"/>
    </xf>
    <xf numFmtId="171" fontId="4" fillId="0" borderId="0" xfId="40" applyNumberFormat="1"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43" fontId="5" fillId="7" borderId="13" xfId="12" applyFont="1" applyFill="1" applyBorder="1" applyAlignment="1">
      <alignment horizontal="center"/>
    </xf>
    <xf numFmtId="43" fontId="5" fillId="7" borderId="0" xfId="12" applyFont="1" applyFill="1" applyBorder="1" applyAlignment="1">
      <alignment horizontal="center"/>
    </xf>
    <xf numFmtId="43" fontId="5" fillId="7" borderId="9" xfId="12" applyFont="1" applyFill="1" applyBorder="1" applyAlignment="1">
      <alignment horizontal="center"/>
    </xf>
    <xf numFmtId="43" fontId="5" fillId="6" borderId="13" xfId="12" applyFont="1" applyFill="1" applyBorder="1" applyAlignment="1">
      <alignment horizontal="center"/>
    </xf>
    <xf numFmtId="43" fontId="5" fillId="6" borderId="0" xfId="12" applyFont="1" applyFill="1" applyBorder="1" applyAlignment="1">
      <alignment horizontal="center"/>
    </xf>
    <xf numFmtId="43" fontId="5" fillId="8" borderId="13" xfId="12" applyFont="1" applyFill="1" applyBorder="1" applyAlignment="1">
      <alignment horizontal="center"/>
    </xf>
    <xf numFmtId="43" fontId="5" fillId="8" borderId="0" xfId="12" applyFont="1" applyFill="1" applyBorder="1" applyAlignment="1">
      <alignment horizontal="center"/>
    </xf>
    <xf numFmtId="43" fontId="5" fillId="9" borderId="13" xfId="12" applyFont="1" applyFill="1" applyBorder="1" applyAlignment="1">
      <alignment horizontal="center"/>
    </xf>
    <xf numFmtId="43" fontId="5" fillId="9" borderId="0" xfId="12" applyFont="1" applyFill="1" applyBorder="1" applyAlignment="1">
      <alignment horizontal="center"/>
    </xf>
    <xf numFmtId="43" fontId="5" fillId="9" borderId="13" xfId="2" applyFont="1" applyFill="1" applyBorder="1" applyAlignment="1">
      <alignment horizontal="center"/>
    </xf>
    <xf numFmtId="43" fontId="5" fillId="9" borderId="0" xfId="2" applyFont="1" applyFill="1" applyBorder="1" applyAlignment="1">
      <alignment horizontal="center"/>
    </xf>
    <xf numFmtId="43" fontId="5" fillId="6" borderId="13" xfId="2" applyFont="1" applyFill="1" applyBorder="1" applyAlignment="1">
      <alignment horizontal="center"/>
    </xf>
    <xf numFmtId="43" fontId="5" fillId="6" borderId="0" xfId="2" applyFont="1" applyFill="1" applyBorder="1" applyAlignment="1">
      <alignment horizontal="center"/>
    </xf>
    <xf numFmtId="43" fontId="5" fillId="8" borderId="13" xfId="2" applyFont="1" applyFill="1" applyBorder="1" applyAlignment="1">
      <alignment horizontal="center"/>
    </xf>
    <xf numFmtId="43" fontId="5" fillId="8" borderId="0" xfId="2" applyFont="1" applyFill="1" applyBorder="1" applyAlignment="1">
      <alignment horizontal="center"/>
    </xf>
    <xf numFmtId="43" fontId="5" fillId="7" borderId="13" xfId="2" applyFont="1" applyFill="1" applyBorder="1" applyAlignment="1">
      <alignment horizontal="center"/>
    </xf>
    <xf numFmtId="43" fontId="5" fillId="7" borderId="0" xfId="2" applyFont="1" applyFill="1" applyBorder="1" applyAlignment="1">
      <alignment horizontal="center"/>
    </xf>
    <xf numFmtId="43" fontId="5" fillId="7" borderId="9" xfId="2" applyFont="1" applyFill="1" applyBorder="1" applyAlignment="1">
      <alignment horizontal="center"/>
    </xf>
    <xf numFmtId="0" fontId="2" fillId="0" borderId="0" xfId="37" applyFont="1" applyAlignment="1">
      <alignment horizontal="center"/>
    </xf>
  </cellXfs>
  <cellStyles count="56">
    <cellStyle name="Column total in dollars" xfId="1"/>
    <cellStyle name="Comma" xfId="2" builtinId="3"/>
    <cellStyle name="Comma  - Style1" xfId="3"/>
    <cellStyle name="Comma  - Style2" xfId="4"/>
    <cellStyle name="Comma  - Style3" xfId="5"/>
    <cellStyle name="Comma  - Style4" xfId="6"/>
    <cellStyle name="Comma  - Style5" xfId="7"/>
    <cellStyle name="Comma  - Style6" xfId="8"/>
    <cellStyle name="Comma  - Style7" xfId="9"/>
    <cellStyle name="Comma  - Style8" xfId="10"/>
    <cellStyle name="Comma (0)" xfId="11"/>
    <cellStyle name="Comma 2" xfId="12"/>
    <cellStyle name="Comma 2 2" xfId="13"/>
    <cellStyle name="Comma 2 2 2" xfId="50"/>
    <cellStyle name="Comma 2 3" xfId="52"/>
    <cellStyle name="Comma 3" xfId="53"/>
    <cellStyle name="Comma 4" xfId="54"/>
    <cellStyle name="Comma0" xfId="14"/>
    <cellStyle name="Comma0 - Style3" xfId="15"/>
    <cellStyle name="Comma0 - Style4" xfId="16"/>
    <cellStyle name="Comma0_OMAG by BU" xfId="17"/>
    <cellStyle name="Comma1 - Style1" xfId="18"/>
    <cellStyle name="Currency(0)" xfId="19"/>
    <cellStyle name="Currency0" xfId="20"/>
    <cellStyle name="Date" xfId="21"/>
    <cellStyle name="Date - Style3" xfId="22"/>
    <cellStyle name="Date_OMAG by BU" xfId="23"/>
    <cellStyle name="Fixed" xfId="24"/>
    <cellStyle name="Grey" xfId="25"/>
    <cellStyle name="header" xfId="26"/>
    <cellStyle name="Header1" xfId="27"/>
    <cellStyle name="Header2" xfId="28"/>
    <cellStyle name="Heading 1" xfId="29" builtinId="16" customBuiltin="1"/>
    <cellStyle name="Heading 2" xfId="30" builtinId="17" customBuiltin="1"/>
    <cellStyle name="Input" xfId="31" builtinId="20" customBuiltin="1"/>
    <cellStyle name="Input [yellow]" xfId="32"/>
    <cellStyle name="nONE" xfId="33"/>
    <cellStyle name="Normal" xfId="0" builtinId="0"/>
    <cellStyle name="Normal - Style1" xfId="34"/>
    <cellStyle name="Normal 2" xfId="35"/>
    <cellStyle name="Normal 2 2" xfId="51"/>
    <cellStyle name="Normal 3" xfId="49"/>
    <cellStyle name="Normal 4" xfId="55"/>
    <cellStyle name="Normal(0)" xfId="36"/>
    <cellStyle name="Normal_Copy of File50007" xfId="37"/>
    <cellStyle name="Percen - Style1" xfId="38"/>
    <cellStyle name="Percen - Style2" xfId="39"/>
    <cellStyle name="Percent" xfId="40" builtinId="5"/>
    <cellStyle name="Percent [2]" xfId="41"/>
    <cellStyle name="Percent(0)" xfId="42"/>
    <cellStyle name="Shade" xfId="43"/>
    <cellStyle name="Special" xfId="44"/>
    <cellStyle name="Titles" xfId="45"/>
    <cellStyle name="Total" xfId="46" builtinId="25" customBuiltin="1"/>
    <cellStyle name="Total2 - Style2" xfId="47"/>
    <cellStyle name="Underl - Style4" xfId="48"/>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9525</xdr:colOff>
      <xdr:row>54</xdr:row>
      <xdr:rowOff>95250</xdr:rowOff>
    </xdr:from>
    <xdr:to>
      <xdr:col>9</xdr:col>
      <xdr:colOff>171450</xdr:colOff>
      <xdr:row>62</xdr:row>
      <xdr:rowOff>85725</xdr:rowOff>
    </xdr:to>
    <xdr:sp macro="" textlink="">
      <xdr:nvSpPr>
        <xdr:cNvPr id="14337" name="Text 12"/>
        <xdr:cNvSpPr txBox="1">
          <a:spLocks noChangeArrowheads="1"/>
        </xdr:cNvSpPr>
      </xdr:nvSpPr>
      <xdr:spPr bwMode="auto">
        <a:xfrm>
          <a:off x="180975" y="9105900"/>
          <a:ext cx="8801100" cy="1209675"/>
        </a:xfrm>
        <a:prstGeom prst="rect">
          <a:avLst/>
        </a:prstGeom>
        <a:solidFill>
          <a:srgbClr val="FFFFFF"/>
        </a:solidFill>
        <a:ln w="1">
          <a:noFill/>
          <a:miter lim="800000"/>
          <a:headEnd/>
          <a:tailEnd/>
        </a:ln>
      </xdr:spPr>
      <xdr:txBody>
        <a:bodyPr vertOverflow="clip" wrap="square" lIns="27432" tIns="22860" rIns="0" bIns="0" anchor="t" upright="1"/>
        <a:lstStyle/>
        <a:p>
          <a:r>
            <a:rPr lang="en-US" sz="1100">
              <a:latin typeface="+mn-lt"/>
              <a:ea typeface="+mn-ea"/>
              <a:cs typeface="+mn-cs"/>
            </a:rPr>
            <a:t>This restating adjustment complies with the Mid-American Energy Holdings Company (“MEHC”) acquisition commitment WA 4 which states:</a:t>
          </a:r>
          <a:endParaRPr lang="en-US"/>
        </a:p>
        <a:p>
          <a:r>
            <a:rPr lang="en-US" sz="1100">
              <a:latin typeface="+mn-lt"/>
              <a:ea typeface="+mn-ea"/>
              <a:cs typeface="+mn-cs"/>
            </a:rPr>
            <a:t>“MEHC and PacifiCorp will hold customers harmless for increases in costs retained by PacifiCorp that were previously assigned to affiliates relating to management fees…This commitment is offsetable to the extent PacifiCorp demonstrates to the Commission’s satisfaction, in the context of a general rate case the following:</a:t>
          </a:r>
          <a:endParaRPr lang="en-US"/>
        </a:p>
        <a:p>
          <a:r>
            <a:rPr lang="en-US" sz="1100">
              <a:latin typeface="+mn-lt"/>
              <a:ea typeface="+mn-ea"/>
              <a:cs typeface="+mn-cs"/>
            </a:rPr>
            <a:t>i) Corporate allocations from MEHC to PacifiCorp included in PacifiCorp’s rates are less than $7.3 million…” </a:t>
          </a:r>
          <a:endParaRPr lang="en-US"/>
        </a:p>
        <a:p>
          <a:r>
            <a:rPr lang="en-US" sz="1100">
              <a:latin typeface="+mn-lt"/>
              <a:ea typeface="+mn-ea"/>
              <a:cs typeface="+mn-cs"/>
            </a:rPr>
            <a:t>(Order 07, Docket UE-051090). This adjustment limits the MEHC corporate charge to PacifiCorp to $7.3 million. This commitment expires in December 2010.</a:t>
          </a:r>
          <a:endParaRPr lang="en-US"/>
        </a:p>
        <a:p>
          <a:r>
            <a:rPr lang="en-US" sz="1100">
              <a:latin typeface="+mn-lt"/>
              <a:ea typeface="+mn-ea"/>
              <a:cs typeface="+mn-cs"/>
            </a:rPr>
            <a:t> </a:t>
          </a:r>
          <a:endParaRPr lang="en-US"/>
        </a:p>
        <a:p>
          <a:pPr algn="l" rtl="0">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R02\REGULATN\PA&amp;D\CASES\Wyoming97\EAST97.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03395\Local%20Settings\Temporary%20Internet%20Files\OLK134\HR%20Dec-07%20Accruals-REL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CCTNG\Corporate%20Reporting%20&amp;%20Analysis\Rene%20X%20Carrillo\Carrillo\Budget%20CY08\HR\Budget%20CY08%20Summaries\Total%20Corp%20HR%20CY08%20Plan%20Template%20Third%20Pas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Table 3"/>
      <sheetName val="Actual"/>
      <sheetName val="Unbilled"/>
      <sheetName val="Weather"/>
      <sheetName val="Weather Present"/>
      <sheetName val="Blocking"/>
      <sheetName val="TableA"/>
      <sheetName val="Franchise Ta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rual Form Dec-07"/>
      <sheetName val="Relo Summary Dec-07"/>
      <sheetName val="Relo Detail Dec-07"/>
      <sheetName val="Aged Pivot Tbl thru Dec-07"/>
      <sheetName val="PPWBUSUN Cctr Master"/>
      <sheetName val="Acct Master"/>
    </sheetNames>
    <sheetDataSet>
      <sheetData sheetId="0"/>
      <sheetData sheetId="1"/>
      <sheetData sheetId="2"/>
      <sheetData sheetId="3">
        <row r="4">
          <cell r="K4">
            <v>39417</v>
          </cell>
        </row>
      </sheetData>
      <sheetData sheetId="4">
        <row r="2">
          <cell r="A2">
            <v>10190</v>
          </cell>
        </row>
      </sheetData>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ntrl #1"/>
      <sheetName val="Total Corp HR Act &amp; Plan CY"/>
      <sheetName val="Total HR Commentary"/>
      <sheetName val="Corp HR Total Roll-up"/>
      <sheetName val="HR Mgmt Commentary"/>
      <sheetName val="HR Management Roll-up"/>
      <sheetName val="11648 HR Mgmt"/>
      <sheetName val="13335 HR Projects"/>
      <sheetName val="HR Employee Benes Commentary"/>
      <sheetName val="HR Employee Benefits Roll-up"/>
      <sheetName val="11593 PGH SERP"/>
      <sheetName val="11649 Other Benefits"/>
      <sheetName val="11898 Employee Benefits"/>
      <sheetName val="11655 HR Benefits"/>
      <sheetName val="HR Comp Commentary"/>
      <sheetName val="11656 Compensation"/>
      <sheetName val="HR Staffing Svs Commentary"/>
      <sheetName val="HR Learning &amp; Develop Rollup"/>
      <sheetName val="12637 eLearning"/>
      <sheetName val="12647 Training Ctrs"/>
      <sheetName val="13332 Talent Mgt"/>
      <sheetName val="13385 ILT"/>
      <sheetName val="HR Staffing Services Roll-up"/>
      <sheetName val="12640 Recruiting Svs"/>
      <sheetName val="13312 Grad Recruit"/>
      <sheetName val="13333 Grad Develop"/>
      <sheetName val="HR Employ Relations Commentary"/>
      <sheetName val="Employee Relations Roll-up"/>
      <sheetName val="10221 Employee Relations "/>
      <sheetName val="11651 Compliance"/>
      <sheetName val="HR Payroll Commentary"/>
      <sheetName val="12604 HRSC"/>
      <sheetName val="11620 Payroll"/>
      <sheetName val="Upload CY08"/>
      <sheetName val="Upload CY07_Act"/>
      <sheetName val="Upload CY07_Plan"/>
      <sheetName val="Acct Master"/>
      <sheetName val="PPWBUSUN Cctr Master"/>
      <sheetName val="PPWBUSUN Cctr Mast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64"/>
  <sheetViews>
    <sheetView tabSelected="1" zoomScale="85" zoomScaleNormal="85" workbookViewId="0">
      <selection activeCell="H20" sqref="H20"/>
    </sheetView>
  </sheetViews>
  <sheetFormatPr defaultColWidth="10" defaultRowHeight="12.75"/>
  <cols>
    <col min="1" max="1" width="2.5703125" style="126" customWidth="1"/>
    <col min="2" max="2" width="7.140625" style="126" customWidth="1"/>
    <col min="3" max="3" width="44.7109375" style="126" customWidth="1"/>
    <col min="4" max="4" width="11.28515625" style="126" bestFit="1" customWidth="1"/>
    <col min="5" max="5" width="5.42578125" style="126" customWidth="1"/>
    <col min="6" max="6" width="14.42578125" style="126" customWidth="1"/>
    <col min="7" max="7" width="11.140625" style="126" customWidth="1"/>
    <col min="8" max="8" width="10.28515625" style="126" customWidth="1"/>
    <col min="9" max="9" width="13" style="126" customWidth="1"/>
    <col min="10" max="10" width="8.28515625" style="126" customWidth="1"/>
    <col min="11" max="16384" width="10" style="126"/>
  </cols>
  <sheetData>
    <row r="1" spans="1:12" ht="12" customHeight="1">
      <c r="B1" s="127" t="s">
        <v>48</v>
      </c>
      <c r="D1" s="128"/>
      <c r="E1" s="128"/>
      <c r="F1" s="128"/>
      <c r="G1" s="128"/>
      <c r="H1" s="128"/>
      <c r="I1" s="128"/>
      <c r="J1" s="167" t="s">
        <v>64</v>
      </c>
    </row>
    <row r="2" spans="1:12" ht="12" customHeight="1">
      <c r="B2" s="127" t="s">
        <v>63</v>
      </c>
      <c r="D2" s="128"/>
      <c r="E2" s="128"/>
      <c r="F2" s="128"/>
      <c r="G2" s="128"/>
      <c r="H2" s="128"/>
      <c r="I2" s="128"/>
      <c r="J2" s="129"/>
    </row>
    <row r="3" spans="1:12" ht="12" customHeight="1">
      <c r="B3" s="127" t="s">
        <v>68</v>
      </c>
      <c r="D3" s="128"/>
      <c r="E3" s="128"/>
      <c r="F3" s="128"/>
      <c r="G3" s="128"/>
      <c r="H3" s="128"/>
      <c r="I3" s="128"/>
      <c r="J3" s="129"/>
    </row>
    <row r="4" spans="1:12" ht="12" customHeight="1">
      <c r="D4" s="128"/>
      <c r="E4" s="190"/>
      <c r="F4" s="128"/>
      <c r="G4" s="128"/>
      <c r="H4" s="128"/>
      <c r="I4" s="128"/>
      <c r="J4" s="129"/>
    </row>
    <row r="5" spans="1:12" ht="12" customHeight="1">
      <c r="D5" s="128"/>
      <c r="E5" s="128"/>
      <c r="F5" s="128"/>
      <c r="G5" s="128"/>
      <c r="H5" s="128"/>
      <c r="I5" s="128"/>
      <c r="J5" s="129"/>
    </row>
    <row r="6" spans="1:12" ht="12" customHeight="1">
      <c r="D6" s="128"/>
      <c r="E6" s="128"/>
      <c r="F6" s="128" t="s">
        <v>0</v>
      </c>
      <c r="G6" s="128"/>
      <c r="H6" s="128"/>
      <c r="I6" s="128"/>
      <c r="J6" s="129"/>
    </row>
    <row r="7" spans="1:12" ht="12" customHeight="1">
      <c r="D7" s="130" t="s">
        <v>1</v>
      </c>
      <c r="E7" s="130" t="s">
        <v>2</v>
      </c>
      <c r="F7" s="130" t="s">
        <v>3</v>
      </c>
      <c r="G7" s="130" t="s">
        <v>4</v>
      </c>
      <c r="H7" s="130" t="s">
        <v>5</v>
      </c>
      <c r="I7" s="130" t="s">
        <v>6</v>
      </c>
      <c r="J7" s="131" t="s">
        <v>7</v>
      </c>
    </row>
    <row r="8" spans="1:12" ht="12" customHeight="1">
      <c r="A8" s="132"/>
      <c r="B8" s="133" t="s">
        <v>8</v>
      </c>
      <c r="C8" s="132"/>
      <c r="D8" s="134"/>
      <c r="E8" s="134"/>
      <c r="F8" s="134"/>
      <c r="G8" s="134"/>
      <c r="H8" s="134"/>
      <c r="I8" s="135"/>
      <c r="J8" s="129"/>
    </row>
    <row r="9" spans="1:12" ht="12" customHeight="1">
      <c r="A9" s="132"/>
      <c r="B9" s="132" t="s">
        <v>12</v>
      </c>
      <c r="C9" s="132"/>
      <c r="D9" s="136">
        <v>930</v>
      </c>
      <c r="E9" s="190" t="s">
        <v>69</v>
      </c>
      <c r="F9" s="137">
        <f>F23</f>
        <v>-1053029.3399999999</v>
      </c>
      <c r="G9" s="136" t="s">
        <v>10</v>
      </c>
      <c r="H9" s="169">
        <v>7.408369726216299E-2</v>
      </c>
      <c r="I9" s="139">
        <f>+F9*H9</f>
        <v>-78012.306832735296</v>
      </c>
      <c r="J9" s="168" t="s">
        <v>66</v>
      </c>
      <c r="K9" s="141"/>
      <c r="L9" s="4"/>
    </row>
    <row r="10" spans="1:12" ht="12" customHeight="1">
      <c r="A10" s="132"/>
      <c r="B10" s="132"/>
      <c r="C10" s="132"/>
      <c r="D10" s="136"/>
      <c r="E10" s="134"/>
      <c r="F10" s="139"/>
      <c r="G10" s="136"/>
      <c r="H10" s="138"/>
      <c r="I10" s="139"/>
      <c r="J10" s="140"/>
      <c r="K10" s="141"/>
      <c r="L10" s="4"/>
    </row>
    <row r="11" spans="1:12" ht="12" customHeight="1">
      <c r="A11" s="132"/>
      <c r="B11" s="132"/>
      <c r="C11" s="132"/>
      <c r="D11" s="136"/>
      <c r="E11" s="134"/>
      <c r="F11" s="139"/>
      <c r="G11" s="136"/>
      <c r="H11" s="138"/>
      <c r="I11" s="139"/>
      <c r="J11" s="140"/>
      <c r="K11" s="141"/>
      <c r="L11" s="4"/>
    </row>
    <row r="12" spans="1:12" ht="12" customHeight="1">
      <c r="A12" s="132"/>
      <c r="B12" s="132"/>
      <c r="C12" s="132"/>
      <c r="D12" s="136"/>
      <c r="E12" s="134"/>
      <c r="F12" s="135"/>
      <c r="G12" s="136"/>
      <c r="H12" s="138"/>
      <c r="I12" s="139"/>
      <c r="J12" s="140"/>
      <c r="K12" s="141"/>
      <c r="L12" s="4"/>
    </row>
    <row r="13" spans="1:12" ht="12" customHeight="1">
      <c r="A13" s="132"/>
      <c r="B13" s="132"/>
      <c r="C13" s="132"/>
      <c r="D13" s="136"/>
      <c r="E13" s="134"/>
      <c r="F13" s="135"/>
      <c r="G13" s="135"/>
      <c r="H13" s="138"/>
      <c r="I13" s="139"/>
      <c r="J13" s="140"/>
      <c r="K13" s="141"/>
      <c r="L13" s="4"/>
    </row>
    <row r="14" spans="1:12" ht="12" customHeight="1">
      <c r="A14" s="132"/>
      <c r="B14" s="132"/>
      <c r="C14" s="132"/>
      <c r="D14" s="136"/>
      <c r="E14" s="134"/>
      <c r="F14" s="135"/>
      <c r="G14" s="135"/>
      <c r="H14" s="142"/>
      <c r="I14" s="143"/>
      <c r="J14" s="129"/>
      <c r="K14" s="141"/>
      <c r="L14" s="4"/>
    </row>
    <row r="15" spans="1:12" ht="12" customHeight="1">
      <c r="A15" s="132"/>
      <c r="B15" s="144"/>
      <c r="C15" s="132"/>
      <c r="D15" s="136"/>
      <c r="E15" s="134"/>
      <c r="F15" s="135"/>
      <c r="G15" s="135"/>
      <c r="H15" s="142"/>
      <c r="I15" s="143"/>
      <c r="K15" s="141"/>
      <c r="L15" s="4"/>
    </row>
    <row r="16" spans="1:12" ht="12" customHeight="1">
      <c r="A16" s="132"/>
      <c r="B16" s="144"/>
      <c r="C16" s="132"/>
      <c r="D16" s="136"/>
      <c r="E16" s="134"/>
      <c r="F16" s="135"/>
      <c r="G16" s="135"/>
      <c r="H16" s="142"/>
      <c r="I16" s="143"/>
      <c r="J16" s="129"/>
      <c r="K16" s="141"/>
      <c r="L16" s="4"/>
    </row>
    <row r="17" spans="1:12" ht="12" customHeight="1">
      <c r="A17" s="132"/>
      <c r="B17" s="144"/>
      <c r="C17" s="132"/>
      <c r="D17" s="136"/>
      <c r="E17" s="134"/>
      <c r="F17" s="135"/>
      <c r="G17" s="135"/>
      <c r="H17" s="142"/>
      <c r="I17" s="143"/>
      <c r="J17" s="129"/>
      <c r="K17" s="141"/>
      <c r="L17" s="4"/>
    </row>
    <row r="18" spans="1:12" ht="12" customHeight="1">
      <c r="A18" s="132"/>
      <c r="B18" s="144"/>
      <c r="C18" s="132"/>
      <c r="D18" s="136"/>
      <c r="E18" s="134"/>
      <c r="F18" s="135"/>
      <c r="G18" s="135"/>
      <c r="H18" s="142"/>
      <c r="I18" s="143"/>
      <c r="J18" s="129"/>
      <c r="K18" s="141"/>
      <c r="L18" s="4"/>
    </row>
    <row r="19" spans="1:12" ht="12" customHeight="1">
      <c r="A19" s="132"/>
      <c r="B19" s="144"/>
      <c r="C19" s="132"/>
      <c r="D19" s="136"/>
      <c r="E19" s="134"/>
      <c r="F19" s="135"/>
      <c r="G19" s="135"/>
      <c r="H19" s="142"/>
      <c r="I19" s="143"/>
      <c r="J19" s="129"/>
      <c r="K19" s="141"/>
      <c r="L19" s="4"/>
    </row>
    <row r="20" spans="1:12" ht="12" customHeight="1">
      <c r="A20" s="132"/>
      <c r="B20" s="133" t="s">
        <v>13</v>
      </c>
      <c r="C20" s="132"/>
      <c r="D20" s="136"/>
      <c r="E20" s="134"/>
      <c r="F20" s="135"/>
      <c r="G20" s="135"/>
      <c r="H20" s="142"/>
      <c r="I20" s="143"/>
      <c r="J20" s="129"/>
      <c r="K20" s="141"/>
      <c r="L20" s="4"/>
    </row>
    <row r="21" spans="1:12" ht="12" customHeight="1">
      <c r="A21" s="132"/>
      <c r="B21" s="166" t="s">
        <v>65</v>
      </c>
      <c r="C21" s="4"/>
      <c r="E21" s="134"/>
      <c r="F21" s="145">
        <v>7300000</v>
      </c>
      <c r="G21" s="135"/>
      <c r="H21" s="142"/>
      <c r="I21" s="143"/>
      <c r="J21" s="129"/>
      <c r="K21" s="141"/>
      <c r="L21" s="4"/>
    </row>
    <row r="22" spans="1:12" ht="12" customHeight="1">
      <c r="A22" s="132"/>
      <c r="B22" s="166" t="s">
        <v>62</v>
      </c>
      <c r="C22" s="4"/>
      <c r="E22" s="134"/>
      <c r="F22" s="137">
        <v>-8353029.3399999999</v>
      </c>
      <c r="G22" s="135"/>
      <c r="H22" s="142"/>
      <c r="I22" s="143"/>
      <c r="K22" s="141"/>
      <c r="L22" s="4"/>
    </row>
    <row r="23" spans="1:12" ht="13.5" thickBot="1">
      <c r="A23" s="132"/>
      <c r="B23" s="4" t="s">
        <v>14</v>
      </c>
      <c r="C23" s="145"/>
      <c r="F23" s="3">
        <f>F21+F22</f>
        <v>-1053029.3399999999</v>
      </c>
      <c r="G23" s="146"/>
      <c r="H23" s="142"/>
      <c r="I23" s="143"/>
      <c r="J23" s="167" t="s">
        <v>67</v>
      </c>
    </row>
    <row r="24" spans="1:12" ht="12" customHeight="1" thickTop="1">
      <c r="A24" s="132"/>
      <c r="B24" s="145"/>
      <c r="C24" s="132"/>
      <c r="D24" s="145"/>
      <c r="E24" s="134"/>
      <c r="F24" s="135"/>
      <c r="G24" s="147"/>
      <c r="H24" s="142"/>
      <c r="I24" s="143"/>
      <c r="J24" s="129"/>
    </row>
    <row r="25" spans="1:12" ht="12" customHeight="1">
      <c r="A25" s="132"/>
      <c r="D25" s="148"/>
      <c r="E25" s="134"/>
      <c r="F25" s="139"/>
      <c r="G25" s="134"/>
      <c r="H25" s="142"/>
      <c r="I25" s="143"/>
      <c r="J25" s="129"/>
    </row>
    <row r="26" spans="1:12" ht="12" customHeight="1">
      <c r="A26" s="132"/>
      <c r="B26" s="132"/>
      <c r="C26" s="132"/>
      <c r="D26" s="149"/>
      <c r="E26" s="134"/>
      <c r="F26" s="139"/>
      <c r="G26" s="134"/>
      <c r="H26" s="142"/>
      <c r="I26" s="143"/>
      <c r="J26" s="129"/>
    </row>
    <row r="27" spans="1:12" ht="12" customHeight="1">
      <c r="A27" s="132"/>
      <c r="B27" s="133"/>
      <c r="C27" s="132"/>
      <c r="D27" s="134"/>
      <c r="E27" s="134"/>
      <c r="F27" s="139"/>
      <c r="G27" s="134"/>
      <c r="H27" s="138"/>
      <c r="I27" s="139"/>
      <c r="J27" s="129"/>
    </row>
    <row r="28" spans="1:12" ht="12" customHeight="1">
      <c r="A28" s="132"/>
      <c r="B28" s="132"/>
      <c r="C28" s="132"/>
      <c r="D28" s="134"/>
      <c r="E28" s="134"/>
      <c r="F28" s="139"/>
      <c r="G28" s="147"/>
      <c r="H28" s="138"/>
      <c r="I28" s="139"/>
      <c r="J28" s="129"/>
    </row>
    <row r="29" spans="1:12" ht="12" customHeight="1">
      <c r="A29" s="132"/>
      <c r="B29" s="144"/>
      <c r="C29" s="132"/>
      <c r="D29" s="134"/>
      <c r="E29" s="134"/>
      <c r="F29" s="139"/>
      <c r="G29" s="147"/>
      <c r="H29" s="138"/>
      <c r="I29" s="139"/>
      <c r="J29" s="129"/>
    </row>
    <row r="30" spans="1:12" ht="12" customHeight="1">
      <c r="A30" s="132"/>
      <c r="B30" s="144"/>
      <c r="C30" s="132"/>
      <c r="D30" s="134"/>
      <c r="E30" s="134"/>
      <c r="F30" s="139"/>
      <c r="G30" s="147"/>
      <c r="H30" s="138"/>
      <c r="I30" s="139"/>
      <c r="J30" s="129"/>
    </row>
    <row r="31" spans="1:12" ht="12" customHeight="1">
      <c r="A31" s="132"/>
      <c r="B31" s="144"/>
      <c r="C31" s="132"/>
      <c r="D31" s="134"/>
      <c r="E31" s="134"/>
      <c r="F31" s="139"/>
      <c r="G31" s="147"/>
      <c r="H31" s="138"/>
      <c r="I31" s="139"/>
      <c r="J31" s="129"/>
    </row>
    <row r="32" spans="1:12" ht="12" customHeight="1">
      <c r="A32" s="132"/>
      <c r="B32" s="144"/>
      <c r="C32" s="132"/>
      <c r="D32" s="134"/>
      <c r="E32" s="134"/>
      <c r="F32" s="139"/>
      <c r="G32" s="147"/>
      <c r="H32" s="138"/>
      <c r="I32" s="139"/>
      <c r="J32" s="129"/>
    </row>
    <row r="33" spans="1:10" ht="12" customHeight="1">
      <c r="A33" s="132"/>
      <c r="B33" s="132"/>
      <c r="C33" s="132"/>
      <c r="D33" s="134"/>
      <c r="E33" s="134"/>
      <c r="F33" s="139"/>
      <c r="G33" s="147"/>
      <c r="H33" s="138"/>
      <c r="I33" s="139"/>
      <c r="J33" s="129"/>
    </row>
    <row r="34" spans="1:10" ht="12" customHeight="1">
      <c r="A34" s="132"/>
      <c r="B34" s="132"/>
      <c r="C34" s="132"/>
      <c r="D34" s="134"/>
      <c r="E34" s="134"/>
      <c r="F34" s="139"/>
      <c r="G34" s="147"/>
      <c r="H34" s="138"/>
      <c r="I34" s="139"/>
      <c r="J34" s="129"/>
    </row>
    <row r="35" spans="1:10" ht="12" customHeight="1">
      <c r="A35" s="132"/>
      <c r="B35" s="144"/>
      <c r="C35" s="132"/>
      <c r="D35" s="134"/>
      <c r="E35" s="134"/>
      <c r="F35" s="139"/>
      <c r="G35" s="147"/>
      <c r="H35" s="138"/>
      <c r="I35" s="139"/>
      <c r="J35" s="129"/>
    </row>
    <row r="36" spans="1:10" ht="12" customHeight="1">
      <c r="A36" s="132"/>
      <c r="B36" s="150"/>
      <c r="C36" s="132"/>
      <c r="D36" s="134"/>
      <c r="E36" s="134"/>
      <c r="F36" s="139"/>
      <c r="G36" s="134"/>
      <c r="H36" s="138"/>
      <c r="I36" s="139"/>
      <c r="J36" s="129"/>
    </row>
    <row r="37" spans="1:10" ht="12" customHeight="1">
      <c r="A37" s="132"/>
      <c r="B37" s="150"/>
      <c r="C37" s="132"/>
      <c r="D37" s="134"/>
      <c r="E37" s="134"/>
      <c r="F37" s="139"/>
      <c r="G37" s="134"/>
      <c r="H37" s="138"/>
      <c r="I37" s="139"/>
      <c r="J37" s="129"/>
    </row>
    <row r="38" spans="1:10" ht="12" customHeight="1">
      <c r="A38" s="132"/>
      <c r="B38" s="133"/>
      <c r="C38" s="132"/>
      <c r="D38" s="134"/>
      <c r="E38" s="134"/>
      <c r="F38" s="139"/>
      <c r="G38" s="134"/>
      <c r="H38" s="138"/>
      <c r="I38" s="139"/>
      <c r="J38" s="129"/>
    </row>
    <row r="39" spans="1:10" ht="12" customHeight="1">
      <c r="B39" s="132"/>
      <c r="C39" s="132"/>
      <c r="D39" s="151"/>
      <c r="E39" s="134"/>
      <c r="F39" s="139"/>
      <c r="G39" s="147"/>
      <c r="H39" s="138"/>
      <c r="I39" s="139"/>
      <c r="J39" s="129"/>
    </row>
    <row r="40" spans="1:10" ht="12" customHeight="1">
      <c r="B40" s="144"/>
      <c r="C40" s="132"/>
      <c r="D40" s="151"/>
      <c r="E40" s="134"/>
      <c r="F40" s="139"/>
      <c r="G40" s="147"/>
      <c r="H40" s="138"/>
      <c r="I40" s="139"/>
      <c r="J40" s="129"/>
    </row>
    <row r="41" spans="1:10" ht="12" customHeight="1">
      <c r="B41" s="144"/>
      <c r="C41" s="132"/>
      <c r="D41" s="151"/>
      <c r="E41" s="134"/>
      <c r="F41" s="139"/>
      <c r="G41" s="147"/>
      <c r="H41" s="138"/>
      <c r="I41" s="139"/>
      <c r="J41" s="129"/>
    </row>
    <row r="42" spans="1:10" ht="12" customHeight="1">
      <c r="B42" s="144"/>
      <c r="C42" s="132"/>
      <c r="D42" s="151"/>
      <c r="E42" s="134"/>
      <c r="F42" s="139"/>
      <c r="G42" s="147"/>
      <c r="H42" s="138"/>
      <c r="I42" s="139"/>
      <c r="J42" s="129"/>
    </row>
    <row r="43" spans="1:10" ht="12" customHeight="1">
      <c r="B43" s="144"/>
      <c r="C43" s="132"/>
      <c r="D43" s="151"/>
      <c r="E43" s="134"/>
      <c r="F43" s="139"/>
      <c r="G43" s="147"/>
      <c r="H43" s="138"/>
      <c r="I43" s="139"/>
      <c r="J43" s="129"/>
    </row>
    <row r="44" spans="1:10" ht="12" customHeight="1">
      <c r="B44" s="144"/>
      <c r="C44" s="132"/>
      <c r="D44" s="151"/>
      <c r="E44" s="134"/>
      <c r="F44" s="139"/>
      <c r="G44" s="147"/>
      <c r="H44" s="138"/>
      <c r="I44" s="139"/>
      <c r="J44" s="129"/>
    </row>
    <row r="45" spans="1:10" ht="12" customHeight="1">
      <c r="B45" s="144"/>
      <c r="C45" s="132"/>
      <c r="D45" s="151"/>
      <c r="E45" s="134"/>
      <c r="F45" s="139"/>
      <c r="G45" s="147"/>
      <c r="H45" s="138"/>
      <c r="I45" s="139"/>
      <c r="J45" s="129"/>
    </row>
    <row r="46" spans="1:10" ht="12" customHeight="1">
      <c r="B46" s="144"/>
      <c r="C46" s="132"/>
      <c r="D46" s="151"/>
      <c r="E46" s="134"/>
      <c r="F46" s="139"/>
      <c r="G46" s="147"/>
      <c r="H46" s="138"/>
      <c r="I46" s="139"/>
      <c r="J46" s="129"/>
    </row>
    <row r="47" spans="1:10" ht="12" customHeight="1">
      <c r="B47" s="150"/>
      <c r="C47" s="132"/>
      <c r="D47" s="134"/>
      <c r="E47" s="134"/>
      <c r="F47" s="139"/>
      <c r="G47" s="134"/>
      <c r="H47" s="138"/>
      <c r="I47" s="139"/>
      <c r="J47" s="129"/>
    </row>
    <row r="48" spans="1:10" ht="12" customHeight="1">
      <c r="B48" s="150"/>
      <c r="C48" s="132"/>
      <c r="D48" s="134"/>
      <c r="E48" s="134"/>
      <c r="F48" s="139"/>
      <c r="G48" s="134"/>
      <c r="H48" s="138"/>
      <c r="I48" s="139"/>
      <c r="J48" s="129"/>
    </row>
    <row r="49" spans="1:10" ht="12" customHeight="1">
      <c r="A49" s="132"/>
      <c r="B49" s="150"/>
      <c r="C49" s="132"/>
      <c r="D49" s="134"/>
      <c r="E49" s="134"/>
      <c r="F49" s="139"/>
      <c r="G49" s="134"/>
      <c r="H49" s="138"/>
      <c r="I49" s="139"/>
      <c r="J49" s="129"/>
    </row>
    <row r="50" spans="1:10" ht="12" customHeight="1">
      <c r="A50" s="132"/>
      <c r="B50" s="150"/>
      <c r="C50" s="132"/>
      <c r="D50" s="134"/>
      <c r="E50" s="134"/>
      <c r="F50" s="139"/>
      <c r="G50" s="134"/>
      <c r="H50" s="142"/>
      <c r="I50" s="143"/>
      <c r="J50" s="129"/>
    </row>
    <row r="51" spans="1:10" ht="12" customHeight="1">
      <c r="A51" s="132"/>
      <c r="B51" s="132"/>
      <c r="C51" s="132"/>
      <c r="D51" s="134"/>
      <c r="E51" s="134"/>
      <c r="F51" s="139"/>
      <c r="G51" s="134"/>
      <c r="H51" s="142"/>
      <c r="I51" s="143"/>
      <c r="J51" s="129"/>
    </row>
    <row r="52" spans="1:10" ht="12" customHeight="1">
      <c r="A52" s="132"/>
      <c r="B52" s="132"/>
      <c r="C52" s="132"/>
      <c r="D52" s="134"/>
      <c r="E52" s="134"/>
      <c r="F52" s="139"/>
      <c r="G52" s="134"/>
      <c r="H52" s="142"/>
      <c r="I52" s="143"/>
      <c r="J52" s="129"/>
    </row>
    <row r="53" spans="1:10" ht="12" customHeight="1">
      <c r="A53" s="132"/>
      <c r="B53" s="132"/>
      <c r="C53" s="132"/>
      <c r="D53" s="134"/>
      <c r="E53" s="134"/>
      <c r="F53" s="139"/>
      <c r="G53" s="134"/>
      <c r="H53" s="142"/>
      <c r="I53" s="143"/>
      <c r="J53" s="129"/>
    </row>
    <row r="54" spans="1:10" ht="12" customHeight="1" thickBot="1">
      <c r="A54" s="132"/>
      <c r="B54" s="152" t="s">
        <v>9</v>
      </c>
      <c r="C54" s="132"/>
      <c r="D54" s="134"/>
      <c r="E54" s="134"/>
      <c r="F54" s="134"/>
      <c r="G54" s="134"/>
      <c r="H54" s="134"/>
      <c r="I54" s="134"/>
      <c r="J54" s="129"/>
    </row>
    <row r="55" spans="1:10" ht="12" customHeight="1">
      <c r="A55" s="153"/>
      <c r="B55" s="154"/>
      <c r="C55" s="154"/>
      <c r="D55" s="155"/>
      <c r="E55" s="155"/>
      <c r="F55" s="155"/>
      <c r="G55" s="155"/>
      <c r="H55" s="155"/>
      <c r="I55" s="155"/>
      <c r="J55" s="156"/>
    </row>
    <row r="56" spans="1:10" ht="12" customHeight="1">
      <c r="A56" s="157"/>
      <c r="B56" s="150"/>
      <c r="C56" s="132"/>
      <c r="D56" s="134"/>
      <c r="E56" s="134"/>
      <c r="F56" s="134"/>
      <c r="G56" s="134"/>
      <c r="H56" s="134"/>
      <c r="I56" s="134"/>
      <c r="J56" s="158"/>
    </row>
    <row r="57" spans="1:10" ht="12" customHeight="1">
      <c r="A57" s="157"/>
      <c r="B57" s="150"/>
      <c r="C57" s="132"/>
      <c r="D57" s="134"/>
      <c r="E57" s="134"/>
      <c r="F57" s="134"/>
      <c r="G57" s="134"/>
      <c r="H57" s="134"/>
      <c r="I57" s="134"/>
      <c r="J57" s="158"/>
    </row>
    <row r="58" spans="1:10" ht="12" customHeight="1">
      <c r="A58" s="157"/>
      <c r="B58" s="150"/>
      <c r="C58" s="132"/>
      <c r="D58" s="134"/>
      <c r="E58" s="134"/>
      <c r="F58" s="134"/>
      <c r="G58" s="134"/>
      <c r="H58" s="134"/>
      <c r="I58" s="134"/>
      <c r="J58" s="158"/>
    </row>
    <row r="59" spans="1:10" ht="12" customHeight="1">
      <c r="A59" s="157"/>
      <c r="B59" s="150"/>
      <c r="C59" s="132"/>
      <c r="D59" s="134"/>
      <c r="E59" s="134"/>
      <c r="F59" s="134"/>
      <c r="G59" s="134"/>
      <c r="H59" s="134"/>
      <c r="I59" s="134"/>
      <c r="J59" s="158"/>
    </row>
    <row r="60" spans="1:10" ht="12" customHeight="1">
      <c r="A60" s="157"/>
      <c r="B60" s="150"/>
      <c r="C60" s="132"/>
      <c r="D60" s="134"/>
      <c r="E60" s="134"/>
      <c r="F60" s="159"/>
      <c r="G60" s="134"/>
      <c r="H60" s="134"/>
      <c r="I60" s="134"/>
      <c r="J60" s="158"/>
    </row>
    <row r="61" spans="1:10" ht="12" customHeight="1">
      <c r="A61" s="157"/>
      <c r="B61" s="150"/>
      <c r="C61" s="132"/>
      <c r="D61" s="134"/>
      <c r="E61" s="134"/>
      <c r="F61" s="134"/>
      <c r="G61" s="134"/>
      <c r="H61" s="134"/>
      <c r="I61" s="134"/>
      <c r="J61" s="158"/>
    </row>
    <row r="62" spans="1:10" ht="12" customHeight="1">
      <c r="A62" s="157"/>
      <c r="B62" s="150"/>
      <c r="C62" s="132"/>
      <c r="D62" s="134"/>
      <c r="E62" s="134"/>
      <c r="F62" s="134"/>
      <c r="G62" s="134"/>
      <c r="H62" s="134"/>
      <c r="I62" s="134"/>
      <c r="J62" s="158"/>
    </row>
    <row r="63" spans="1:10" ht="12" customHeight="1" thickBot="1">
      <c r="A63" s="160"/>
      <c r="B63" s="161"/>
      <c r="C63" s="161"/>
      <c r="D63" s="162"/>
      <c r="E63" s="162"/>
      <c r="F63" s="162"/>
      <c r="G63" s="162"/>
      <c r="H63" s="162"/>
      <c r="I63" s="162"/>
      <c r="J63" s="163"/>
    </row>
    <row r="64" spans="1:10" ht="12" customHeight="1"/>
  </sheetData>
  <phoneticPr fontId="6" type="noConversion"/>
  <conditionalFormatting sqref="B39 B28 B9:B14">
    <cfRule type="cellIs" dxfId="2" priority="1" stopIfTrue="1" operator="equal">
      <formula>"Title"</formula>
    </cfRule>
  </conditionalFormatting>
  <conditionalFormatting sqref="J1">
    <cfRule type="cellIs" dxfId="1" priority="2" stopIfTrue="1" operator="equal">
      <formula>"x.x"</formula>
    </cfRule>
  </conditionalFormatting>
  <conditionalFormatting sqref="B8 B20">
    <cfRule type="cellIs" dxfId="0" priority="3" stopIfTrue="1" operator="equal">
      <formula>"Adjustment to Income/Expense/Rate Base:"</formula>
    </cfRule>
  </conditionalFormatting>
  <dataValidations count="4">
    <dataValidation type="list" errorStyle="warning" allowBlank="1" showInputMessage="1" showErrorMessage="1" errorTitle="FERC ACCOUNT" error="This FERC Account is not included in the drop-down list. Is this the account you want to use?" sqref="D26:D38 D24 D47:D5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G23 E10:E22 E24:E53">
      <formula1>"1, 2, 3"</formula1>
    </dataValidation>
    <dataValidation type="list" errorStyle="warning" allowBlank="1" showInputMessage="1" showErrorMessage="1" errorTitle="Factor" error="This factor is not included in the drop-down list. Is this the factor you want to use?" sqref="G25:G27 G36:G38 G47:G53">
      <formula1>#REF!</formula1>
    </dataValidation>
    <dataValidation type="list" errorStyle="warning" allowBlank="1" showInputMessage="1" showErrorMessage="1" errorTitle="FERC ACCOUNT" error="This FERC Account is not included in the drop-down list. Is this the account you want to use?" sqref="F23">
      <formula1>#REF!</formula1>
    </dataValidation>
  </dataValidations>
  <pageMargins left="0.75" right="0.25" top="0.5" bottom="0.3" header="0.5" footer="0.5"/>
  <pageSetup scale="7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tabColor rgb="FFCCFFFF"/>
    <pageSetUpPr fitToPage="1"/>
  </sheetPr>
  <dimension ref="A1:AA43"/>
  <sheetViews>
    <sheetView zoomScale="90" workbookViewId="0">
      <pane xSplit="1" ySplit="5" topLeftCell="O6" activePane="bottomRight" state="frozen"/>
      <selection pane="topRight" activeCell="B1" sqref="B1"/>
      <selection pane="bottomLeft" activeCell="A5" sqref="A5"/>
      <selection pane="bottomRight" activeCell="T11" sqref="T11"/>
    </sheetView>
  </sheetViews>
  <sheetFormatPr defaultRowHeight="12.75"/>
  <cols>
    <col min="1" max="1" width="11.7109375" style="6" customWidth="1"/>
    <col min="2" max="2" width="13.5703125" style="80" customWidth="1"/>
    <col min="3" max="3" width="16.140625" style="113" customWidth="1"/>
    <col min="4" max="4" width="14.28515625" style="113" hidden="1" customWidth="1"/>
    <col min="5" max="5" width="13.42578125" style="113" customWidth="1"/>
    <col min="6" max="6" width="14.28515625" style="113" customWidth="1"/>
    <col min="7" max="7" width="13" style="113" customWidth="1"/>
    <col min="8" max="8" width="10" style="113" hidden="1" customWidth="1"/>
    <col min="9" max="9" width="13.85546875" style="113" bestFit="1" customWidth="1"/>
    <col min="10" max="10" width="14.5703125" style="113" bestFit="1" customWidth="1"/>
    <col min="11" max="11" width="13.85546875" style="114" bestFit="1" customWidth="1"/>
    <col min="12" max="12" width="13.85546875" style="115" bestFit="1" customWidth="1"/>
    <col min="13" max="13" width="11.28515625" style="115" hidden="1" customWidth="1"/>
    <col min="14" max="14" width="8.7109375" style="116" bestFit="1" customWidth="1"/>
    <col min="15" max="15" width="15" style="81" bestFit="1" customWidth="1"/>
    <col min="16" max="16" width="15" style="83" bestFit="1" customWidth="1"/>
    <col min="17" max="17" width="13.85546875" style="83" bestFit="1" customWidth="1"/>
    <col min="18" max="18" width="11.140625" style="83" hidden="1" customWidth="1"/>
    <col min="19" max="19" width="13.85546875" style="80" bestFit="1" customWidth="1"/>
    <col min="20" max="20" width="12.85546875" style="66" customWidth="1"/>
    <col min="21" max="21" width="16.28515625" style="66" customWidth="1"/>
    <col min="22" max="22" width="14.42578125" style="66" customWidth="1"/>
    <col min="23" max="23" width="13.85546875" style="69" bestFit="1" customWidth="1"/>
    <col min="24" max="24" width="13.85546875" style="83" bestFit="1" customWidth="1"/>
    <col min="25" max="25" width="14.5703125" style="83" bestFit="1" customWidth="1"/>
    <col min="26" max="26" width="14.5703125" style="69" bestFit="1" customWidth="1"/>
    <col min="27" max="27" width="13.85546875" style="83" bestFit="1" customWidth="1"/>
  </cols>
  <sheetData>
    <row r="1" spans="1:27">
      <c r="A1" s="170" t="s">
        <v>19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1"/>
    </row>
    <row r="2" spans="1:27">
      <c r="B2" s="66"/>
      <c r="C2" s="67"/>
      <c r="D2" s="67"/>
      <c r="E2" s="67"/>
      <c r="F2" s="67"/>
      <c r="G2" s="67"/>
      <c r="H2" s="67"/>
      <c r="I2" s="67"/>
      <c r="J2" s="67"/>
      <c r="K2" s="67"/>
      <c r="L2" s="66"/>
      <c r="M2" s="66"/>
      <c r="N2" s="68"/>
      <c r="O2" s="69"/>
      <c r="P2" s="69"/>
      <c r="Q2" s="69"/>
      <c r="R2" s="69"/>
      <c r="S2" s="66"/>
      <c r="X2" s="69"/>
      <c r="Y2" s="69"/>
      <c r="AA2" s="69"/>
    </row>
    <row r="3" spans="1:27">
      <c r="A3" s="5"/>
      <c r="B3" s="172" t="s">
        <v>20</v>
      </c>
      <c r="C3" s="173"/>
      <c r="D3" s="173"/>
      <c r="E3" s="173"/>
      <c r="F3" s="173"/>
      <c r="G3" s="173"/>
      <c r="H3" s="173"/>
      <c r="I3" s="173"/>
      <c r="J3" s="174"/>
      <c r="K3" s="175" t="s">
        <v>21</v>
      </c>
      <c r="L3" s="176"/>
      <c r="M3" s="176"/>
      <c r="N3" s="176"/>
      <c r="O3" s="177" t="s">
        <v>22</v>
      </c>
      <c r="P3" s="178"/>
      <c r="Q3" s="178"/>
      <c r="R3" s="178"/>
      <c r="S3" s="179" t="s">
        <v>23</v>
      </c>
      <c r="T3" s="180"/>
      <c r="U3" s="180"/>
      <c r="V3" s="180"/>
      <c r="W3" s="180"/>
      <c r="X3" s="180"/>
      <c r="Y3" s="180"/>
      <c r="Z3" s="180"/>
      <c r="AA3" s="180"/>
    </row>
    <row r="4" spans="1:27" s="48" customFormat="1">
      <c r="A4" s="70"/>
      <c r="B4" s="71"/>
      <c r="C4" s="71"/>
      <c r="D4" s="71"/>
      <c r="E4" s="72" t="s">
        <v>26</v>
      </c>
      <c r="F4" s="72" t="s">
        <v>26</v>
      </c>
      <c r="G4" s="72" t="s">
        <v>26</v>
      </c>
      <c r="H4" s="71"/>
      <c r="I4" s="73" t="s">
        <v>49</v>
      </c>
      <c r="J4" s="73" t="s">
        <v>50</v>
      </c>
      <c r="K4" s="74"/>
      <c r="L4" s="71"/>
      <c r="M4" s="71"/>
      <c r="N4" s="71"/>
      <c r="O4" s="74"/>
      <c r="P4" s="71"/>
      <c r="Q4" s="71"/>
      <c r="R4" s="71"/>
      <c r="S4" s="74"/>
      <c r="T4" s="71"/>
      <c r="U4" s="71"/>
      <c r="V4" s="71"/>
      <c r="W4" s="71"/>
      <c r="X4" s="71"/>
      <c r="Y4" s="71"/>
      <c r="Z4" s="71"/>
      <c r="AA4" s="71"/>
    </row>
    <row r="5" spans="1:27" s="17" customFormat="1">
      <c r="A5" s="11" t="s">
        <v>24</v>
      </c>
      <c r="B5" s="75" t="s">
        <v>0</v>
      </c>
      <c r="C5" s="75" t="s">
        <v>25</v>
      </c>
      <c r="D5" s="75" t="s">
        <v>26</v>
      </c>
      <c r="E5" s="75" t="s">
        <v>38</v>
      </c>
      <c r="F5" s="75" t="s">
        <v>39</v>
      </c>
      <c r="G5" s="75" t="s">
        <v>40</v>
      </c>
      <c r="H5" s="75" t="s">
        <v>41</v>
      </c>
      <c r="I5" s="75" t="s">
        <v>27</v>
      </c>
      <c r="J5" s="75" t="s">
        <v>28</v>
      </c>
      <c r="K5" s="76" t="s">
        <v>0</v>
      </c>
      <c r="L5" s="75" t="s">
        <v>29</v>
      </c>
      <c r="M5" s="75" t="s">
        <v>30</v>
      </c>
      <c r="N5" s="77" t="s">
        <v>24</v>
      </c>
      <c r="O5" s="76" t="s">
        <v>0</v>
      </c>
      <c r="P5" s="75" t="s">
        <v>31</v>
      </c>
      <c r="Q5" s="75" t="s">
        <v>17</v>
      </c>
      <c r="R5" s="75" t="s">
        <v>18</v>
      </c>
      <c r="S5" s="76" t="s">
        <v>15</v>
      </c>
      <c r="T5" s="75" t="s">
        <v>32</v>
      </c>
      <c r="U5" s="75" t="s">
        <v>33</v>
      </c>
      <c r="V5" s="75" t="s">
        <v>16</v>
      </c>
      <c r="W5" s="75" t="s">
        <v>34</v>
      </c>
      <c r="X5" s="75" t="s">
        <v>35</v>
      </c>
      <c r="Y5" s="78" t="s">
        <v>11</v>
      </c>
      <c r="Z5" s="79" t="s">
        <v>27</v>
      </c>
      <c r="AA5" s="79" t="s">
        <v>28</v>
      </c>
    </row>
    <row r="6" spans="1:27">
      <c r="A6" s="18">
        <v>39448</v>
      </c>
      <c r="B6" s="80">
        <f t="shared" ref="B6:B17" si="0">SUM(C6:H6)</f>
        <v>651336.02</v>
      </c>
      <c r="C6" s="67">
        <f>651336.02-SUM(E6:G6)</f>
        <v>635562.14</v>
      </c>
      <c r="D6" s="67"/>
      <c r="E6" s="67"/>
      <c r="F6" s="67">
        <v>15773.88</v>
      </c>
      <c r="G6" s="67"/>
      <c r="H6" s="67"/>
      <c r="I6" s="67">
        <f t="shared" ref="I6:I17" si="1">B6-J6</f>
        <v>630407.28</v>
      </c>
      <c r="J6" s="67">
        <v>20928.740000000002</v>
      </c>
      <c r="K6" s="81">
        <f t="shared" ref="K6:K17" si="2">SUM(L6:M6)</f>
        <v>651336.02</v>
      </c>
      <c r="L6" s="66">
        <v>651336.02</v>
      </c>
      <c r="M6" s="66">
        <v>0</v>
      </c>
      <c r="N6" s="68">
        <v>39525</v>
      </c>
      <c r="O6" s="81">
        <f t="shared" ref="O6:O17" si="3">SUM(P6:R6)</f>
        <v>651336.02</v>
      </c>
      <c r="P6" s="69">
        <v>372515.67</v>
      </c>
      <c r="Q6" s="69">
        <v>278820.34999999998</v>
      </c>
      <c r="R6" s="69">
        <v>0</v>
      </c>
      <c r="S6" s="80">
        <v>0</v>
      </c>
      <c r="T6" s="66">
        <v>20928.740000000002</v>
      </c>
      <c r="U6" s="66">
        <v>0</v>
      </c>
      <c r="V6" s="82">
        <v>31096.5</v>
      </c>
      <c r="W6" s="69">
        <v>65466.22</v>
      </c>
      <c r="X6" s="69">
        <v>9671.16</v>
      </c>
      <c r="Y6" s="69">
        <f t="shared" ref="Y6:Y17" si="4">O6-SUM(S6:X6)</f>
        <v>524173.4</v>
      </c>
      <c r="Z6" s="69">
        <f t="shared" ref="Z6:Z17" si="5">SUM(V6:Y6)</f>
        <v>630407.28</v>
      </c>
      <c r="AA6" s="83">
        <f t="shared" ref="AA6:AA17" si="6">SUM(S6:U6)</f>
        <v>20928.740000000002</v>
      </c>
    </row>
    <row r="7" spans="1:27">
      <c r="A7" s="18">
        <v>39479</v>
      </c>
      <c r="B7" s="80">
        <f t="shared" si="0"/>
        <v>749039.93</v>
      </c>
      <c r="C7" s="67">
        <f>749039.93-SUM(E7:G7)</f>
        <v>740294.95000000007</v>
      </c>
      <c r="D7" s="67"/>
      <c r="E7" s="67"/>
      <c r="F7" s="67">
        <v>8744.98</v>
      </c>
      <c r="G7" s="67"/>
      <c r="H7" s="67"/>
      <c r="I7" s="67">
        <f t="shared" si="1"/>
        <v>710107.55</v>
      </c>
      <c r="J7" s="67">
        <v>38932.379999999997</v>
      </c>
      <c r="K7" s="81">
        <f t="shared" si="2"/>
        <v>749039.93</v>
      </c>
      <c r="L7" s="66">
        <v>749039.93</v>
      </c>
      <c r="M7" s="66">
        <v>0</v>
      </c>
      <c r="N7" s="68">
        <v>39525</v>
      </c>
      <c r="O7" s="81">
        <f t="shared" si="3"/>
        <v>749039.92999999993</v>
      </c>
      <c r="P7" s="83">
        <v>448702.89</v>
      </c>
      <c r="Q7" s="69">
        <v>300337.03999999998</v>
      </c>
      <c r="R7" s="69">
        <v>0</v>
      </c>
      <c r="S7" s="80">
        <v>0</v>
      </c>
      <c r="T7" s="66">
        <v>38932.379999999997</v>
      </c>
      <c r="U7" s="66">
        <v>0</v>
      </c>
      <c r="V7" s="82">
        <v>43479.76</v>
      </c>
      <c r="W7" s="69">
        <v>87763.14</v>
      </c>
      <c r="X7" s="69">
        <v>10332.879999999999</v>
      </c>
      <c r="Y7" s="69">
        <f t="shared" si="4"/>
        <v>568531.7699999999</v>
      </c>
      <c r="Z7" s="69">
        <f t="shared" si="5"/>
        <v>710107.54999999993</v>
      </c>
      <c r="AA7" s="83">
        <f t="shared" si="6"/>
        <v>38932.379999999997</v>
      </c>
    </row>
    <row r="8" spans="1:27">
      <c r="A8" s="18">
        <v>39508</v>
      </c>
      <c r="B8" s="80">
        <f t="shared" si="0"/>
        <v>733084.6</v>
      </c>
      <c r="C8" s="67">
        <f>733084.6-SUM(E8:G8)</f>
        <v>715456.29999999993</v>
      </c>
      <c r="D8" s="67"/>
      <c r="E8" s="67"/>
      <c r="F8" s="67">
        <v>17628.3</v>
      </c>
      <c r="G8" s="67"/>
      <c r="H8" s="67"/>
      <c r="I8" s="67">
        <f t="shared" si="1"/>
        <v>688806.40000000002</v>
      </c>
      <c r="J8" s="67">
        <v>44278.2</v>
      </c>
      <c r="K8" s="81">
        <f t="shared" si="2"/>
        <v>733084.6</v>
      </c>
      <c r="L8" s="66">
        <v>733084.6</v>
      </c>
      <c r="M8" s="66">
        <v>0</v>
      </c>
      <c r="N8" s="68">
        <v>39568</v>
      </c>
      <c r="O8" s="81">
        <f t="shared" si="3"/>
        <v>733084.6</v>
      </c>
      <c r="P8" s="69">
        <v>387147.67</v>
      </c>
      <c r="Q8" s="69">
        <v>345936.93</v>
      </c>
      <c r="R8" s="69">
        <v>0</v>
      </c>
      <c r="S8" s="80">
        <v>0</v>
      </c>
      <c r="T8" s="66">
        <v>44278.2</v>
      </c>
      <c r="U8" s="66">
        <v>0</v>
      </c>
      <c r="V8" s="82">
        <v>33051.06</v>
      </c>
      <c r="W8" s="69">
        <v>7711.81</v>
      </c>
      <c r="X8" s="69">
        <v>13841.53</v>
      </c>
      <c r="Y8" s="69">
        <f t="shared" si="4"/>
        <v>634202</v>
      </c>
      <c r="Z8" s="69">
        <f t="shared" si="5"/>
        <v>688806.40000000002</v>
      </c>
      <c r="AA8" s="83">
        <f t="shared" si="6"/>
        <v>44278.2</v>
      </c>
    </row>
    <row r="9" spans="1:27">
      <c r="A9" s="18">
        <v>39539</v>
      </c>
      <c r="B9" s="80">
        <f t="shared" si="0"/>
        <v>737780.72</v>
      </c>
      <c r="C9" s="67">
        <f>737780.72-SUM(E9:G9)</f>
        <v>718745.59</v>
      </c>
      <c r="D9" s="67"/>
      <c r="E9" s="67"/>
      <c r="F9" s="67">
        <v>19035.13</v>
      </c>
      <c r="G9" s="67"/>
      <c r="H9" s="67"/>
      <c r="I9" s="67">
        <f t="shared" si="1"/>
        <v>699757</v>
      </c>
      <c r="J9" s="67">
        <f>35937.27+2086.45</f>
        <v>38023.719999999994</v>
      </c>
      <c r="K9" s="81">
        <f t="shared" si="2"/>
        <v>737780.72</v>
      </c>
      <c r="L9" s="66">
        <v>737780.72</v>
      </c>
      <c r="M9" s="66">
        <v>0</v>
      </c>
      <c r="N9" s="68">
        <v>39629</v>
      </c>
      <c r="O9" s="81">
        <f t="shared" si="3"/>
        <v>737780.72</v>
      </c>
      <c r="P9" s="69">
        <v>430612.46</v>
      </c>
      <c r="Q9" s="69">
        <v>307168.26</v>
      </c>
      <c r="R9" s="69">
        <v>0</v>
      </c>
      <c r="S9" s="80">
        <v>0</v>
      </c>
      <c r="T9" s="84">
        <f>35937.27+2086.45</f>
        <v>38023.719999999994</v>
      </c>
      <c r="U9" s="66">
        <v>0</v>
      </c>
      <c r="V9" s="82">
        <v>39143.64</v>
      </c>
      <c r="W9" s="85">
        <v>65912</v>
      </c>
      <c r="X9" s="86">
        <v>12394.16</v>
      </c>
      <c r="Y9" s="69">
        <f t="shared" si="4"/>
        <v>582307.19999999995</v>
      </c>
      <c r="Z9" s="69">
        <f t="shared" si="5"/>
        <v>699757</v>
      </c>
      <c r="AA9" s="83">
        <f t="shared" si="6"/>
        <v>38023.719999999994</v>
      </c>
    </row>
    <row r="10" spans="1:27">
      <c r="A10" s="18">
        <v>39569</v>
      </c>
      <c r="B10" s="80">
        <f t="shared" si="0"/>
        <v>792070.22</v>
      </c>
      <c r="C10" s="67">
        <f>792070.22-SUM(E10:G10)</f>
        <v>774035.34</v>
      </c>
      <c r="D10" s="67"/>
      <c r="E10" s="67"/>
      <c r="F10" s="67">
        <v>18034.88</v>
      </c>
      <c r="G10" s="67"/>
      <c r="H10" s="67"/>
      <c r="I10" s="67">
        <f t="shared" si="1"/>
        <v>752225.1</v>
      </c>
      <c r="J10" s="67">
        <v>39845.120000000003</v>
      </c>
      <c r="K10" s="81">
        <f t="shared" si="2"/>
        <v>792070.22</v>
      </c>
      <c r="L10" s="66">
        <v>792070.22</v>
      </c>
      <c r="M10" s="66">
        <v>0</v>
      </c>
      <c r="N10" s="68">
        <v>39629</v>
      </c>
      <c r="O10" s="81">
        <f t="shared" si="3"/>
        <v>792070.22</v>
      </c>
      <c r="P10" s="69">
        <v>383436.17</v>
      </c>
      <c r="Q10" s="69">
        <v>408634.05</v>
      </c>
      <c r="R10" s="69">
        <v>0</v>
      </c>
      <c r="S10" s="80">
        <v>0</v>
      </c>
      <c r="T10" s="66">
        <v>39845.120000000003</v>
      </c>
      <c r="U10" s="66">
        <v>0</v>
      </c>
      <c r="V10" s="82">
        <v>32809.75</v>
      </c>
      <c r="W10" s="85">
        <v>63764.31</v>
      </c>
      <c r="X10" s="86">
        <v>10843.74</v>
      </c>
      <c r="Y10" s="69">
        <f t="shared" si="4"/>
        <v>644807.30000000005</v>
      </c>
      <c r="Z10" s="69">
        <f t="shared" si="5"/>
        <v>752225.10000000009</v>
      </c>
      <c r="AA10" s="83">
        <f t="shared" si="6"/>
        <v>39845.120000000003</v>
      </c>
    </row>
    <row r="11" spans="1:27">
      <c r="A11" s="18">
        <v>39600</v>
      </c>
      <c r="B11" s="80">
        <f t="shared" si="0"/>
        <v>836688.51000000013</v>
      </c>
      <c r="C11" s="67">
        <f>836688.51-SUM(E11:G11)</f>
        <v>817976.82000000007</v>
      </c>
      <c r="D11" s="67"/>
      <c r="E11" s="87">
        <v>3403.65</v>
      </c>
      <c r="F11" s="88">
        <v>15308.04</v>
      </c>
      <c r="G11" s="88"/>
      <c r="H11" s="67"/>
      <c r="I11" s="67">
        <f t="shared" si="1"/>
        <v>269558.52000000014</v>
      </c>
      <c r="J11" s="67">
        <f>42880.32+524249.67</f>
        <v>567129.99</v>
      </c>
      <c r="K11" s="81">
        <f t="shared" si="2"/>
        <v>836688.51</v>
      </c>
      <c r="L11" s="66">
        <v>836688.51</v>
      </c>
      <c r="M11" s="66">
        <v>0</v>
      </c>
      <c r="N11" s="68">
        <v>39689</v>
      </c>
      <c r="O11" s="81">
        <f t="shared" si="3"/>
        <v>1152181.95</v>
      </c>
      <c r="P11" s="69">
        <v>218452.8</v>
      </c>
      <c r="Q11" s="69">
        <v>933729.15</v>
      </c>
      <c r="R11" s="69">
        <v>0</v>
      </c>
      <c r="S11" s="89">
        <f>896000-371750.33</f>
        <v>524249.67</v>
      </c>
      <c r="T11" s="82">
        <v>42880.32</v>
      </c>
      <c r="U11" s="66">
        <v>0</v>
      </c>
      <c r="V11" s="90">
        <v>18177.599999999999</v>
      </c>
      <c r="W11" s="85">
        <v>38545.54</v>
      </c>
      <c r="X11" s="86">
        <v>9955.26</v>
      </c>
      <c r="Y11" s="69">
        <f t="shared" si="4"/>
        <v>518373.55999999994</v>
      </c>
      <c r="Z11" s="69">
        <f t="shared" si="5"/>
        <v>585051.96</v>
      </c>
      <c r="AA11" s="83">
        <f t="shared" si="6"/>
        <v>567129.99</v>
      </c>
    </row>
    <row r="12" spans="1:27">
      <c r="A12" s="18">
        <v>39630</v>
      </c>
      <c r="B12" s="80">
        <f t="shared" si="0"/>
        <v>750000</v>
      </c>
      <c r="C12" s="67">
        <f>750000-SUM(E12:G12)</f>
        <v>726213.72</v>
      </c>
      <c r="D12" s="67"/>
      <c r="E12" s="91">
        <v>7846.75</v>
      </c>
      <c r="F12" s="67">
        <v>15939.53</v>
      </c>
      <c r="G12" s="67"/>
      <c r="H12" s="67"/>
      <c r="I12" s="67">
        <f t="shared" si="1"/>
        <v>706719.92</v>
      </c>
      <c r="J12" s="66">
        <v>43280.08</v>
      </c>
      <c r="K12" s="81">
        <f t="shared" si="2"/>
        <v>750000</v>
      </c>
      <c r="L12" s="66">
        <v>750000</v>
      </c>
      <c r="M12" s="66">
        <v>0</v>
      </c>
      <c r="N12" s="68">
        <v>39689</v>
      </c>
      <c r="O12" s="92">
        <f t="shared" si="3"/>
        <v>688893.14</v>
      </c>
      <c r="P12" s="69">
        <v>435089.59</v>
      </c>
      <c r="Q12" s="69">
        <v>253803.55</v>
      </c>
      <c r="R12" s="69">
        <v>0</v>
      </c>
      <c r="S12" s="80">
        <v>0</v>
      </c>
      <c r="T12" s="66">
        <v>43280.08</v>
      </c>
      <c r="U12" s="66">
        <v>0</v>
      </c>
      <c r="V12" s="66">
        <v>25306.51</v>
      </c>
      <c r="W12" s="85">
        <v>63491.46</v>
      </c>
      <c r="X12" s="86">
        <v>10333.219999999999</v>
      </c>
      <c r="Y12" s="69">
        <f t="shared" si="4"/>
        <v>546481.87</v>
      </c>
      <c r="Z12" s="69">
        <f t="shared" si="5"/>
        <v>645613.06000000006</v>
      </c>
      <c r="AA12" s="83">
        <f t="shared" si="6"/>
        <v>43280.08</v>
      </c>
    </row>
    <row r="13" spans="1:27">
      <c r="A13" s="18">
        <v>39661</v>
      </c>
      <c r="B13" s="80">
        <f t="shared" si="0"/>
        <v>750000</v>
      </c>
      <c r="C13" s="67">
        <f>750000-SUM(E13:G13)</f>
        <v>735405.36</v>
      </c>
      <c r="D13" s="67"/>
      <c r="E13" s="91">
        <v>3275.99</v>
      </c>
      <c r="F13" s="67">
        <v>11318.65</v>
      </c>
      <c r="G13" s="67"/>
      <c r="H13" s="67"/>
      <c r="I13" s="67">
        <f t="shared" si="1"/>
        <v>706446.78</v>
      </c>
      <c r="J13" s="67">
        <v>43553.22</v>
      </c>
      <c r="K13" s="81">
        <f t="shared" si="2"/>
        <v>750000</v>
      </c>
      <c r="L13" s="66">
        <v>750000</v>
      </c>
      <c r="M13" s="66">
        <v>0</v>
      </c>
      <c r="N13" s="68">
        <v>39720</v>
      </c>
      <c r="O13" s="81">
        <f t="shared" si="3"/>
        <v>641565.89</v>
      </c>
      <c r="P13" s="69">
        <v>452731.06</v>
      </c>
      <c r="Q13" s="69">
        <v>188834.83</v>
      </c>
      <c r="R13" s="69">
        <v>0</v>
      </c>
      <c r="S13" s="80">
        <v>0</v>
      </c>
      <c r="T13" s="67">
        <v>43553.22</v>
      </c>
      <c r="U13" s="66">
        <v>0</v>
      </c>
      <c r="V13" s="66">
        <v>35137.1</v>
      </c>
      <c r="W13" s="85">
        <v>55996.83</v>
      </c>
      <c r="X13" s="86">
        <v>10727.28</v>
      </c>
      <c r="Y13" s="69">
        <f t="shared" si="4"/>
        <v>496151.45999999996</v>
      </c>
      <c r="Z13" s="69">
        <f t="shared" si="5"/>
        <v>598012.66999999993</v>
      </c>
      <c r="AA13" s="83">
        <f t="shared" si="6"/>
        <v>43553.22</v>
      </c>
    </row>
    <row r="14" spans="1:27">
      <c r="A14" s="18">
        <v>39692</v>
      </c>
      <c r="B14" s="80">
        <f t="shared" si="0"/>
        <v>690097.48</v>
      </c>
      <c r="C14" s="67">
        <f>690097.48-SUM(E14:G14)</f>
        <v>663938.61</v>
      </c>
      <c r="D14" s="67"/>
      <c r="E14" s="67">
        <v>7658.18</v>
      </c>
      <c r="F14" s="67">
        <v>18500.689999999999</v>
      </c>
      <c r="G14" s="67"/>
      <c r="H14" s="67"/>
      <c r="I14" s="67">
        <f t="shared" si="1"/>
        <v>562893.59</v>
      </c>
      <c r="J14" s="67">
        <f>44421.09+82782.8</f>
        <v>127203.89</v>
      </c>
      <c r="K14" s="81">
        <f t="shared" si="2"/>
        <v>690097.48</v>
      </c>
      <c r="L14" s="66">
        <v>690097.48</v>
      </c>
      <c r="M14" s="66">
        <v>0</v>
      </c>
      <c r="N14" s="68">
        <v>39752</v>
      </c>
      <c r="O14" s="81">
        <f t="shared" si="3"/>
        <v>544145.01</v>
      </c>
      <c r="P14" s="93">
        <v>295183.62</v>
      </c>
      <c r="Q14" s="69">
        <v>248961.39</v>
      </c>
      <c r="R14" s="69">
        <v>0</v>
      </c>
      <c r="S14" s="80">
        <v>0</v>
      </c>
      <c r="T14" s="66">
        <v>44421.09</v>
      </c>
      <c r="U14" s="66">
        <v>0</v>
      </c>
      <c r="V14" s="66">
        <v>27325.26</v>
      </c>
      <c r="W14" s="85">
        <v>53651.91</v>
      </c>
      <c r="X14" s="86">
        <v>12176.3</v>
      </c>
      <c r="Y14" s="69">
        <f t="shared" si="4"/>
        <v>406570.45</v>
      </c>
      <c r="Z14" s="69">
        <f t="shared" si="5"/>
        <v>499723.92000000004</v>
      </c>
      <c r="AA14" s="83">
        <f t="shared" si="6"/>
        <v>44421.09</v>
      </c>
    </row>
    <row r="15" spans="1:27">
      <c r="A15" s="18">
        <v>39722</v>
      </c>
      <c r="B15" s="80">
        <f t="shared" si="0"/>
        <v>809902.5199999999</v>
      </c>
      <c r="C15" s="67">
        <f>809902.52-SUM(E15:G15)</f>
        <v>786268.96</v>
      </c>
      <c r="D15" s="67"/>
      <c r="E15" s="67">
        <v>8507.6</v>
      </c>
      <c r="F15" s="67">
        <v>15125.96</v>
      </c>
      <c r="G15" s="67"/>
      <c r="H15" s="67"/>
      <c r="I15" s="67">
        <f t="shared" si="1"/>
        <v>764729.67999999993</v>
      </c>
      <c r="J15" s="67">
        <v>45172.84</v>
      </c>
      <c r="K15" s="81">
        <f t="shared" si="2"/>
        <v>809902.52</v>
      </c>
      <c r="L15" s="66">
        <v>809902.52</v>
      </c>
      <c r="M15" s="66">
        <v>0</v>
      </c>
      <c r="N15" s="68">
        <v>39801</v>
      </c>
      <c r="O15" s="81">
        <f t="shared" si="3"/>
        <v>1106602.1299999999</v>
      </c>
      <c r="P15" s="69">
        <v>954199.97</v>
      </c>
      <c r="Q15" s="69">
        <v>152402.16</v>
      </c>
      <c r="R15" s="69">
        <v>0</v>
      </c>
      <c r="S15" s="94">
        <v>749000</v>
      </c>
      <c r="T15" s="66">
        <v>45172.84</v>
      </c>
      <c r="U15" s="66">
        <v>0</v>
      </c>
      <c r="V15" s="95">
        <v>19529.13</v>
      </c>
      <c r="W15" s="85">
        <v>42921.77</v>
      </c>
      <c r="X15" s="86">
        <v>11570.96</v>
      </c>
      <c r="Y15" s="69">
        <f t="shared" si="4"/>
        <v>238407.42999999993</v>
      </c>
      <c r="Z15" s="69">
        <f t="shared" si="5"/>
        <v>312429.28999999992</v>
      </c>
      <c r="AA15" s="83">
        <f t="shared" si="6"/>
        <v>794172.84</v>
      </c>
    </row>
    <row r="16" spans="1:27">
      <c r="A16" s="18">
        <v>39753</v>
      </c>
      <c r="B16" s="80">
        <f t="shared" si="0"/>
        <v>750000</v>
      </c>
      <c r="C16" s="67">
        <f>750000-SUM(E16:G16)</f>
        <v>736842.84</v>
      </c>
      <c r="D16" s="67"/>
      <c r="E16" s="67">
        <v>1020.5</v>
      </c>
      <c r="F16" s="67">
        <v>12136.66</v>
      </c>
      <c r="G16" s="67"/>
      <c r="H16" s="67"/>
      <c r="I16" s="67">
        <f t="shared" si="1"/>
        <v>711327.04</v>
      </c>
      <c r="J16" s="67">
        <v>38672.959999999999</v>
      </c>
      <c r="K16" s="81">
        <f t="shared" si="2"/>
        <v>750000</v>
      </c>
      <c r="L16" s="66">
        <v>750000</v>
      </c>
      <c r="M16" s="66">
        <v>0</v>
      </c>
      <c r="N16" s="68">
        <v>39804</v>
      </c>
      <c r="O16" s="81">
        <f t="shared" si="3"/>
        <v>1474298.5699999998</v>
      </c>
      <c r="P16" s="69">
        <v>1333720.67</v>
      </c>
      <c r="Q16" s="69">
        <v>140577.9</v>
      </c>
      <c r="R16" s="69">
        <v>0</v>
      </c>
      <c r="S16" s="80">
        <v>971000</v>
      </c>
      <c r="T16" s="66">
        <v>38672.959999999999</v>
      </c>
      <c r="U16" s="66">
        <v>0</v>
      </c>
      <c r="V16" s="66">
        <v>23659.8</v>
      </c>
      <c r="W16" s="85">
        <v>50469.21</v>
      </c>
      <c r="X16" s="86">
        <v>9111.61</v>
      </c>
      <c r="Y16" s="69">
        <f t="shared" si="4"/>
        <v>381384.98999999976</v>
      </c>
      <c r="Z16" s="69">
        <f t="shared" si="5"/>
        <v>464625.60999999975</v>
      </c>
      <c r="AA16" s="83">
        <f t="shared" si="6"/>
        <v>1009672.96</v>
      </c>
    </row>
    <row r="17" spans="1:27">
      <c r="A17" s="18">
        <v>39783</v>
      </c>
      <c r="B17" s="80">
        <f t="shared" si="0"/>
        <v>750000</v>
      </c>
      <c r="C17" s="67">
        <f>750000-SUM(E17:G17)</f>
        <v>711652.45</v>
      </c>
      <c r="D17" s="67"/>
      <c r="E17" s="67">
        <v>25186.52</v>
      </c>
      <c r="F17" s="67">
        <v>13161.03</v>
      </c>
      <c r="G17" s="67"/>
      <c r="H17" s="67"/>
      <c r="I17" s="67">
        <f t="shared" si="1"/>
        <v>1797021.1400000001</v>
      </c>
      <c r="J17" s="67">
        <v>-1047021.14</v>
      </c>
      <c r="K17" s="81">
        <f t="shared" si="2"/>
        <v>750000</v>
      </c>
      <c r="L17" s="96">
        <v>750000</v>
      </c>
      <c r="M17" s="96">
        <v>0</v>
      </c>
      <c r="N17" s="97">
        <v>39843</v>
      </c>
      <c r="O17" s="81">
        <f t="shared" si="3"/>
        <v>3575357.4699999997</v>
      </c>
      <c r="P17" s="69">
        <v>3308441.46</v>
      </c>
      <c r="Q17" s="69">
        <v>266916.01</v>
      </c>
      <c r="R17" s="69">
        <v>0</v>
      </c>
      <c r="S17" s="80">
        <f>1542000+295000</f>
        <v>1837000</v>
      </c>
      <c r="T17" s="66">
        <v>0</v>
      </c>
      <c r="U17" s="66">
        <v>0</v>
      </c>
      <c r="V17" s="66">
        <v>26055.06</v>
      </c>
      <c r="W17" s="85">
        <v>1248789.33</v>
      </c>
      <c r="X17" s="86">
        <v>8846.7099999999991</v>
      </c>
      <c r="Y17" s="69">
        <f t="shared" si="4"/>
        <v>454666.36999999965</v>
      </c>
      <c r="Z17" s="69">
        <f t="shared" si="5"/>
        <v>1738357.4699999997</v>
      </c>
      <c r="AA17" s="83">
        <f t="shared" si="6"/>
        <v>1837000</v>
      </c>
    </row>
    <row r="18" spans="1:27" s="27" customFormat="1" ht="13.5" thickBot="1">
      <c r="A18" s="22" t="s">
        <v>36</v>
      </c>
      <c r="B18" s="98">
        <f t="shared" ref="B18:M18" si="7">SUM(B6:B17)</f>
        <v>9000000</v>
      </c>
      <c r="C18" s="99">
        <f t="shared" si="7"/>
        <v>8762393.0800000001</v>
      </c>
      <c r="D18" s="99">
        <f t="shared" si="7"/>
        <v>0</v>
      </c>
      <c r="E18" s="99">
        <f t="shared" si="7"/>
        <v>56899.19</v>
      </c>
      <c r="F18" s="99">
        <f t="shared" si="7"/>
        <v>180707.73</v>
      </c>
      <c r="G18" s="99">
        <f t="shared" si="7"/>
        <v>0</v>
      </c>
      <c r="H18" s="99">
        <f t="shared" si="7"/>
        <v>0</v>
      </c>
      <c r="I18" s="99">
        <f t="shared" si="7"/>
        <v>9000000</v>
      </c>
      <c r="J18" s="99">
        <f t="shared" si="7"/>
        <v>0</v>
      </c>
      <c r="K18" s="98">
        <f t="shared" si="7"/>
        <v>9000000</v>
      </c>
      <c r="L18" s="99">
        <f t="shared" si="7"/>
        <v>9000000</v>
      </c>
      <c r="M18" s="99">
        <f t="shared" si="7"/>
        <v>0</v>
      </c>
      <c r="N18" s="99"/>
      <c r="O18" s="98">
        <f t="shared" ref="O18:AA18" si="8">SUM(O6:O17)</f>
        <v>12846355.649999999</v>
      </c>
      <c r="P18" s="99">
        <f t="shared" si="8"/>
        <v>9020234.0299999993</v>
      </c>
      <c r="Q18" s="99">
        <f t="shared" si="8"/>
        <v>3826121.62</v>
      </c>
      <c r="R18" s="99">
        <f t="shared" si="8"/>
        <v>0</v>
      </c>
      <c r="S18" s="98">
        <f t="shared" si="8"/>
        <v>4081249.67</v>
      </c>
      <c r="T18" s="99">
        <f t="shared" si="8"/>
        <v>439988.67</v>
      </c>
      <c r="U18" s="99">
        <f t="shared" si="8"/>
        <v>0</v>
      </c>
      <c r="V18" s="99">
        <f t="shared" si="8"/>
        <v>354771.17000000004</v>
      </c>
      <c r="W18" s="100">
        <f t="shared" si="8"/>
        <v>1844483.53</v>
      </c>
      <c r="X18" s="100">
        <f t="shared" si="8"/>
        <v>129804.81</v>
      </c>
      <c r="Y18" s="99">
        <f t="shared" si="8"/>
        <v>5996057.7999999989</v>
      </c>
      <c r="Z18" s="99">
        <f t="shared" si="8"/>
        <v>8325117.3099999987</v>
      </c>
      <c r="AA18" s="99">
        <f t="shared" si="8"/>
        <v>4521238.34</v>
      </c>
    </row>
    <row r="19" spans="1:27" s="107" customFormat="1" ht="13.5" thickTop="1">
      <c r="A19" s="101">
        <v>39814</v>
      </c>
      <c r="B19" s="102">
        <f t="shared" ref="B19:B30" si="9">SUM(C19:H19)</f>
        <v>702379.23</v>
      </c>
      <c r="C19" s="84">
        <f>702379.23-SUM(E19:G19)</f>
        <v>684341.08</v>
      </c>
      <c r="D19" s="84">
        <v>0</v>
      </c>
      <c r="E19" s="84">
        <v>3873.38</v>
      </c>
      <c r="F19" s="84">
        <v>13785.73</v>
      </c>
      <c r="G19" s="84">
        <v>379.04</v>
      </c>
      <c r="H19" s="84"/>
      <c r="I19" s="84">
        <f t="shared" ref="I19:I30" si="10">B19-J19</f>
        <v>669205.02</v>
      </c>
      <c r="J19" s="84">
        <v>33174.21</v>
      </c>
      <c r="K19" s="103">
        <f t="shared" ref="K19:K30" si="11">SUM(L19:M19)</f>
        <v>702379.23</v>
      </c>
      <c r="L19" s="84">
        <v>702379.23</v>
      </c>
      <c r="M19" s="84">
        <v>0</v>
      </c>
      <c r="N19" s="104">
        <v>39872</v>
      </c>
      <c r="O19" s="103">
        <f t="shared" ref="O19:O30" si="12">SUM(P19:R19)</f>
        <v>702379.23</v>
      </c>
      <c r="P19" s="105">
        <v>426693.66</v>
      </c>
      <c r="Q19" s="105">
        <v>275685.57</v>
      </c>
      <c r="R19" s="105">
        <v>0</v>
      </c>
      <c r="S19" s="102" t="s">
        <v>51</v>
      </c>
      <c r="T19" s="84">
        <v>33174.21</v>
      </c>
      <c r="U19" s="84">
        <v>0</v>
      </c>
      <c r="V19" s="90">
        <f>18817.31+1557.6</f>
        <v>20374.91</v>
      </c>
      <c r="W19" s="93">
        <v>77938.37</v>
      </c>
      <c r="X19" s="93">
        <v>10371.09</v>
      </c>
      <c r="Y19" s="105">
        <f t="shared" ref="Y19:Y30" si="13">O19-SUM(S19:X19)</f>
        <v>560520.65</v>
      </c>
      <c r="Z19" s="105">
        <f t="shared" ref="Z19:Z30" si="14">SUM(V19:Y19)</f>
        <v>669205.02</v>
      </c>
      <c r="AA19" s="106">
        <f t="shared" ref="AA19:AA30" si="15">SUM(S19:U19)</f>
        <v>33174.21</v>
      </c>
    </row>
    <row r="20" spans="1:27" s="107" customFormat="1">
      <c r="A20" s="101">
        <v>39845</v>
      </c>
      <c r="B20" s="102">
        <f t="shared" si="9"/>
        <v>797620.77</v>
      </c>
      <c r="C20" s="84">
        <f>797620.77-SUM(E20:G20)</f>
        <v>781613.18</v>
      </c>
      <c r="D20" s="84">
        <v>0</v>
      </c>
      <c r="E20" s="84">
        <v>1568.65</v>
      </c>
      <c r="F20" s="108">
        <v>13313.2</v>
      </c>
      <c r="G20" s="108">
        <v>1125.74</v>
      </c>
      <c r="H20" s="84"/>
      <c r="I20" s="84">
        <f t="shared" si="10"/>
        <v>749701.81</v>
      </c>
      <c r="J20" s="84">
        <v>47918.96</v>
      </c>
      <c r="K20" s="103">
        <f t="shared" si="11"/>
        <v>797620.77</v>
      </c>
      <c r="L20" s="84">
        <v>797620.77</v>
      </c>
      <c r="M20" s="84">
        <v>0</v>
      </c>
      <c r="N20" s="104">
        <v>39895</v>
      </c>
      <c r="O20" s="103">
        <f t="shared" si="12"/>
        <v>935455.77</v>
      </c>
      <c r="P20" s="106">
        <v>680266.91</v>
      </c>
      <c r="Q20" s="105">
        <v>255188.86</v>
      </c>
      <c r="R20" s="105">
        <v>0</v>
      </c>
      <c r="S20" s="102">
        <f>-100994+300000</f>
        <v>199006</v>
      </c>
      <c r="T20" s="84">
        <v>47918.96</v>
      </c>
      <c r="U20" s="84">
        <v>0</v>
      </c>
      <c r="V20" s="90">
        <v>27215.360000000001</v>
      </c>
      <c r="W20" s="93">
        <v>83984.65</v>
      </c>
      <c r="X20" s="93">
        <v>10602.26</v>
      </c>
      <c r="Y20" s="105">
        <f t="shared" si="13"/>
        <v>566728.54</v>
      </c>
      <c r="Z20" s="105">
        <f t="shared" si="14"/>
        <v>688530.81</v>
      </c>
      <c r="AA20" s="106">
        <f t="shared" si="15"/>
        <v>246924.96</v>
      </c>
    </row>
    <row r="21" spans="1:27" s="107" customFormat="1">
      <c r="A21" s="101">
        <v>39873</v>
      </c>
      <c r="B21" s="102">
        <f t="shared" si="9"/>
        <v>640888.29</v>
      </c>
      <c r="C21" s="84">
        <f>640888.29-SUM(E21:G21)</f>
        <v>621370.87</v>
      </c>
      <c r="D21" s="84">
        <v>0</v>
      </c>
      <c r="E21" s="84">
        <v>263.88</v>
      </c>
      <c r="F21" s="84">
        <v>17713.04</v>
      </c>
      <c r="G21" s="84">
        <v>1540.5</v>
      </c>
      <c r="H21" s="84"/>
      <c r="I21" s="84">
        <f t="shared" si="10"/>
        <v>602357.75</v>
      </c>
      <c r="J21" s="84">
        <v>38530.54</v>
      </c>
      <c r="K21" s="103">
        <f t="shared" si="11"/>
        <v>640888.29</v>
      </c>
      <c r="L21" s="84">
        <v>640888.29</v>
      </c>
      <c r="M21" s="84">
        <v>0</v>
      </c>
      <c r="N21" s="104">
        <v>39948</v>
      </c>
      <c r="O21" s="103">
        <f t="shared" si="12"/>
        <v>640888.29</v>
      </c>
      <c r="P21" s="105">
        <v>453027.91</v>
      </c>
      <c r="Q21" s="105">
        <v>187860.38</v>
      </c>
      <c r="R21" s="105">
        <v>0</v>
      </c>
      <c r="S21" s="102">
        <v>0</v>
      </c>
      <c r="T21" s="84">
        <v>38530.54</v>
      </c>
      <c r="U21" s="84">
        <v>0</v>
      </c>
      <c r="V21" s="90">
        <v>25681.85</v>
      </c>
      <c r="W21" s="109">
        <v>79461.350000000006</v>
      </c>
      <c r="X21" s="109">
        <f>6549.81+5726.27</f>
        <v>12276.080000000002</v>
      </c>
      <c r="Y21" s="105">
        <f t="shared" si="13"/>
        <v>484938.47000000003</v>
      </c>
      <c r="Z21" s="105">
        <f t="shared" si="14"/>
        <v>602357.75</v>
      </c>
      <c r="AA21" s="106">
        <f t="shared" si="15"/>
        <v>38530.54</v>
      </c>
    </row>
    <row r="22" spans="1:27" s="107" customFormat="1">
      <c r="A22" s="101">
        <v>39904</v>
      </c>
      <c r="B22" s="102">
        <f t="shared" si="9"/>
        <v>859111.70999999985</v>
      </c>
      <c r="C22" s="84">
        <f>859111.71-SUM(E22:G22)</f>
        <v>839697.77999999991</v>
      </c>
      <c r="D22" s="84">
        <v>0</v>
      </c>
      <c r="E22" s="84">
        <v>0</v>
      </c>
      <c r="F22" s="84">
        <v>18200.990000000002</v>
      </c>
      <c r="G22" s="84">
        <v>1212.94</v>
      </c>
      <c r="H22" s="84"/>
      <c r="I22" s="84">
        <f t="shared" si="10"/>
        <v>828058.58999999985</v>
      </c>
      <c r="J22" s="84">
        <v>31053.119999999999</v>
      </c>
      <c r="K22" s="103">
        <f t="shared" si="11"/>
        <v>859111.71</v>
      </c>
      <c r="L22" s="84">
        <v>859111.71</v>
      </c>
      <c r="M22" s="84">
        <v>0</v>
      </c>
      <c r="N22" s="104">
        <v>39948</v>
      </c>
      <c r="O22" s="103">
        <f t="shared" si="12"/>
        <v>890431.89</v>
      </c>
      <c r="P22" s="105">
        <v>513148.4</v>
      </c>
      <c r="Q22" s="105">
        <v>377283.49</v>
      </c>
      <c r="R22" s="105">
        <v>0</v>
      </c>
      <c r="S22" s="102">
        <v>0</v>
      </c>
      <c r="T22" s="84">
        <v>31053.119999999999</v>
      </c>
      <c r="U22" s="84">
        <v>0</v>
      </c>
      <c r="V22" s="90">
        <v>27166.53</v>
      </c>
      <c r="W22" s="109">
        <v>100658.59999999999</v>
      </c>
      <c r="X22" s="109">
        <f>5960.92+6837.57</f>
        <v>12798.49</v>
      </c>
      <c r="Y22" s="105">
        <f t="shared" si="13"/>
        <v>718755.15</v>
      </c>
      <c r="Z22" s="105">
        <f t="shared" si="14"/>
        <v>859378.77</v>
      </c>
      <c r="AA22" s="106">
        <f t="shared" si="15"/>
        <v>31053.119999999999</v>
      </c>
    </row>
    <row r="23" spans="1:27">
      <c r="A23" s="18">
        <v>39934</v>
      </c>
      <c r="B23" s="80">
        <f t="shared" si="9"/>
        <v>749999.99999999988</v>
      </c>
      <c r="C23" s="84">
        <f>750000-SUM(E23:G23)</f>
        <v>732069.58</v>
      </c>
      <c r="D23" s="67">
        <v>0</v>
      </c>
      <c r="E23" s="67">
        <v>0</v>
      </c>
      <c r="F23" s="67">
        <v>17013.099999999999</v>
      </c>
      <c r="G23" s="67">
        <f>250.18+83.4+125.09+458.65</f>
        <v>917.32</v>
      </c>
      <c r="H23" s="67"/>
      <c r="I23" s="67">
        <f t="shared" si="10"/>
        <v>713020.55999999982</v>
      </c>
      <c r="J23" s="67">
        <v>36979.440000000002</v>
      </c>
      <c r="K23" s="81">
        <f t="shared" si="11"/>
        <v>750000</v>
      </c>
      <c r="L23" s="66">
        <v>750000</v>
      </c>
      <c r="M23" s="66">
        <v>0</v>
      </c>
      <c r="N23" s="68">
        <v>39994</v>
      </c>
      <c r="O23" s="81">
        <f t="shared" si="12"/>
        <v>900045.87</v>
      </c>
      <c r="P23" s="69">
        <v>508952.49</v>
      </c>
      <c r="Q23" s="69">
        <v>391093.38</v>
      </c>
      <c r="R23" s="69">
        <v>0</v>
      </c>
      <c r="S23" s="80">
        <v>0</v>
      </c>
      <c r="T23" s="66">
        <v>36979.440000000002</v>
      </c>
      <c r="U23" s="66">
        <v>0</v>
      </c>
      <c r="V23" s="110">
        <v>30357.149999999998</v>
      </c>
      <c r="W23" s="109">
        <v>96093.950000000041</v>
      </c>
      <c r="X23" s="109">
        <f>6328.27+6002.16</f>
        <v>12330.43</v>
      </c>
      <c r="Y23" s="69">
        <f t="shared" si="13"/>
        <v>724284.89999999991</v>
      </c>
      <c r="Z23" s="69">
        <f t="shared" si="14"/>
        <v>863066.42999999993</v>
      </c>
      <c r="AA23" s="83">
        <f t="shared" si="15"/>
        <v>36979.440000000002</v>
      </c>
    </row>
    <row r="24" spans="1:27">
      <c r="A24" s="18">
        <v>39965</v>
      </c>
      <c r="B24" s="80">
        <f t="shared" si="9"/>
        <v>750000.00000000012</v>
      </c>
      <c r="C24" s="84">
        <f>750000-SUM(E24:G24)</f>
        <v>735938.17</v>
      </c>
      <c r="D24" s="88">
        <v>0</v>
      </c>
      <c r="E24" s="88"/>
      <c r="F24" s="88">
        <v>13379.54</v>
      </c>
      <c r="G24" s="88">
        <f>75.81+75.81+75.81+454.86</f>
        <v>682.29</v>
      </c>
      <c r="H24" s="67"/>
      <c r="I24" s="67">
        <f t="shared" si="10"/>
        <v>714711.28000000014</v>
      </c>
      <c r="J24" s="67">
        <v>35288.720000000001</v>
      </c>
      <c r="K24" s="81">
        <f t="shared" si="11"/>
        <v>750000</v>
      </c>
      <c r="L24" s="66">
        <v>750000</v>
      </c>
      <c r="M24" s="66">
        <v>0</v>
      </c>
      <c r="N24" s="68">
        <v>40025</v>
      </c>
      <c r="O24" s="92">
        <f t="shared" si="12"/>
        <v>643983.04</v>
      </c>
      <c r="P24" s="69">
        <v>452256.41</v>
      </c>
      <c r="Q24" s="69">
        <v>191726.63</v>
      </c>
      <c r="R24" s="69">
        <v>0</v>
      </c>
      <c r="S24" s="80">
        <v>0</v>
      </c>
      <c r="T24" s="82">
        <v>35288.720000000001</v>
      </c>
      <c r="U24" s="66">
        <v>0</v>
      </c>
      <c r="V24" s="90">
        <v>27257.5</v>
      </c>
      <c r="W24" s="109">
        <v>85273.36</v>
      </c>
      <c r="X24" s="109">
        <v>10535.13</v>
      </c>
      <c r="Y24" s="69">
        <f t="shared" si="13"/>
        <v>485628.33</v>
      </c>
      <c r="Z24" s="69">
        <f>SUM(V24:Y24)</f>
        <v>608694.32000000007</v>
      </c>
      <c r="AA24" s="83">
        <f t="shared" si="15"/>
        <v>35288.720000000001</v>
      </c>
    </row>
    <row r="25" spans="1:27">
      <c r="A25" s="18">
        <v>39995</v>
      </c>
      <c r="B25" s="80">
        <f>SUM(C25:H25)</f>
        <v>750000</v>
      </c>
      <c r="C25" s="84">
        <f>750000-SUM(E25:G25)</f>
        <v>733776.61</v>
      </c>
      <c r="D25" s="67">
        <v>0</v>
      </c>
      <c r="E25" s="67"/>
      <c r="F25" s="67">
        <v>15149.47</v>
      </c>
      <c r="G25" s="67">
        <f>379.03+694.89</f>
        <v>1073.92</v>
      </c>
      <c r="H25" s="67"/>
      <c r="I25" s="67">
        <f>B25-J25</f>
        <v>733568.57</v>
      </c>
      <c r="J25" s="66">
        <v>16431.43</v>
      </c>
      <c r="K25" s="81">
        <f t="shared" si="11"/>
        <v>750000</v>
      </c>
      <c r="L25" s="66">
        <v>750000</v>
      </c>
      <c r="M25" s="66">
        <v>0</v>
      </c>
      <c r="N25" s="68">
        <v>40056</v>
      </c>
      <c r="O25" s="81">
        <f t="shared" si="12"/>
        <v>724818.11</v>
      </c>
      <c r="P25" s="69">
        <v>435236.73</v>
      </c>
      <c r="Q25" s="69">
        <v>289581.38</v>
      </c>
      <c r="R25" s="69">
        <v>0</v>
      </c>
      <c r="S25" s="80">
        <v>0</v>
      </c>
      <c r="T25" s="66">
        <v>16431.43</v>
      </c>
      <c r="U25" s="66">
        <v>0</v>
      </c>
      <c r="V25" s="96">
        <v>26181.74</v>
      </c>
      <c r="W25" s="111"/>
      <c r="X25" s="112"/>
      <c r="Y25" s="69">
        <f>O25-SUM(S25:X25)</f>
        <v>682204.94</v>
      </c>
      <c r="Z25" s="69">
        <f>SUM(V25:Y25)</f>
        <v>708386.67999999993</v>
      </c>
      <c r="AA25" s="83">
        <f>SUM(S25:U25)</f>
        <v>16431.43</v>
      </c>
    </row>
    <row r="26" spans="1:27">
      <c r="A26" s="18">
        <v>40026</v>
      </c>
      <c r="B26" s="80">
        <f>SUM(C26:H26)</f>
        <v>750000</v>
      </c>
      <c r="C26" s="84">
        <f>750000-SUM(E26:G26)</f>
        <v>732948.71</v>
      </c>
      <c r="D26" s="67">
        <v>0</v>
      </c>
      <c r="E26" s="67"/>
      <c r="F26" s="67">
        <v>16381.67</v>
      </c>
      <c r="G26" s="67">
        <f>593.81+75.81</f>
        <v>669.61999999999989</v>
      </c>
      <c r="H26" s="67"/>
      <c r="I26" s="67">
        <f>B26-J26</f>
        <v>766444.69</v>
      </c>
      <c r="J26" s="67">
        <v>-16444.689999999999</v>
      </c>
      <c r="K26" s="81">
        <f t="shared" si="11"/>
        <v>750000</v>
      </c>
      <c r="L26" s="66">
        <v>750000</v>
      </c>
      <c r="M26" s="66">
        <v>0</v>
      </c>
      <c r="N26" s="68">
        <v>40086</v>
      </c>
      <c r="O26" s="81">
        <f t="shared" si="12"/>
        <v>621819.75</v>
      </c>
      <c r="P26" s="69">
        <v>421741.56</v>
      </c>
      <c r="Q26" s="69">
        <v>200078.19</v>
      </c>
      <c r="R26" s="69">
        <v>0</v>
      </c>
      <c r="S26" s="80">
        <v>0</v>
      </c>
      <c r="T26" s="67">
        <v>-16444.689999999999</v>
      </c>
      <c r="U26" s="66">
        <v>0</v>
      </c>
      <c r="V26" s="96">
        <v>25644.02</v>
      </c>
      <c r="W26" s="111"/>
      <c r="X26" s="112"/>
      <c r="Y26" s="69">
        <f t="shared" si="13"/>
        <v>612620.42000000004</v>
      </c>
      <c r="Z26" s="69">
        <f>SUM(V26:Y26)</f>
        <v>638264.44000000006</v>
      </c>
      <c r="AA26" s="83">
        <f t="shared" si="15"/>
        <v>-16444.689999999999</v>
      </c>
    </row>
    <row r="27" spans="1:27">
      <c r="A27" s="18">
        <v>40057</v>
      </c>
      <c r="B27" s="80">
        <f t="shared" si="9"/>
        <v>0</v>
      </c>
      <c r="C27" s="84">
        <f>0-SUM(E27:G27)</f>
        <v>0</v>
      </c>
      <c r="D27" s="67">
        <v>0</v>
      </c>
      <c r="E27" s="67"/>
      <c r="F27" s="67"/>
      <c r="G27" s="67"/>
      <c r="H27" s="67"/>
      <c r="I27" s="67">
        <f t="shared" si="10"/>
        <v>0</v>
      </c>
      <c r="J27" s="67"/>
      <c r="K27" s="81">
        <f t="shared" si="11"/>
        <v>0</v>
      </c>
      <c r="L27" s="66"/>
      <c r="M27" s="66">
        <v>0</v>
      </c>
      <c r="N27" s="68"/>
      <c r="O27" s="81">
        <f t="shared" si="12"/>
        <v>0</v>
      </c>
      <c r="P27" s="93"/>
      <c r="Q27" s="69"/>
      <c r="R27" s="69">
        <v>0</v>
      </c>
      <c r="V27" s="96"/>
      <c r="W27" s="85"/>
      <c r="X27" s="86"/>
      <c r="Y27" s="69">
        <f t="shared" si="13"/>
        <v>0</v>
      </c>
      <c r="Z27" s="69">
        <f t="shared" si="14"/>
        <v>0</v>
      </c>
      <c r="AA27" s="83">
        <f t="shared" si="15"/>
        <v>0</v>
      </c>
    </row>
    <row r="28" spans="1:27">
      <c r="A28" s="18">
        <v>40087</v>
      </c>
      <c r="B28" s="80">
        <f t="shared" si="9"/>
        <v>0</v>
      </c>
      <c r="C28" s="84">
        <f>0-SUM(E28:G28)</f>
        <v>0</v>
      </c>
      <c r="D28" s="67">
        <v>0</v>
      </c>
      <c r="E28" s="67"/>
      <c r="F28" s="67"/>
      <c r="G28" s="67"/>
      <c r="H28" s="67"/>
      <c r="I28" s="67">
        <f t="shared" si="10"/>
        <v>0</v>
      </c>
      <c r="J28" s="67"/>
      <c r="K28" s="81">
        <f t="shared" si="11"/>
        <v>0</v>
      </c>
      <c r="L28" s="66"/>
      <c r="M28" s="66">
        <v>0</v>
      </c>
      <c r="N28" s="68"/>
      <c r="O28" s="81">
        <f t="shared" si="12"/>
        <v>0</v>
      </c>
      <c r="P28" s="69"/>
      <c r="Q28" s="69"/>
      <c r="R28" s="69">
        <v>0</v>
      </c>
      <c r="S28" s="94"/>
      <c r="V28" s="95"/>
      <c r="W28" s="85"/>
      <c r="X28" s="86"/>
      <c r="Y28" s="69">
        <f t="shared" si="13"/>
        <v>0</v>
      </c>
      <c r="Z28" s="69">
        <f t="shared" si="14"/>
        <v>0</v>
      </c>
      <c r="AA28" s="83">
        <f t="shared" si="15"/>
        <v>0</v>
      </c>
    </row>
    <row r="29" spans="1:27">
      <c r="A29" s="18">
        <v>40118</v>
      </c>
      <c r="B29" s="80">
        <f t="shared" si="9"/>
        <v>0</v>
      </c>
      <c r="C29" s="84">
        <f>0-SUM(E29:G29)</f>
        <v>0</v>
      </c>
      <c r="D29" s="67">
        <v>0</v>
      </c>
      <c r="E29" s="67"/>
      <c r="F29" s="67"/>
      <c r="G29" s="67"/>
      <c r="H29" s="67"/>
      <c r="I29" s="67">
        <f t="shared" si="10"/>
        <v>0</v>
      </c>
      <c r="J29" s="67"/>
      <c r="K29" s="81">
        <f t="shared" si="11"/>
        <v>0</v>
      </c>
      <c r="L29" s="66"/>
      <c r="M29" s="66">
        <v>0</v>
      </c>
      <c r="N29" s="68"/>
      <c r="O29" s="81">
        <f t="shared" si="12"/>
        <v>0</v>
      </c>
      <c r="P29" s="69"/>
      <c r="Q29" s="69"/>
      <c r="R29" s="69">
        <v>0</v>
      </c>
      <c r="V29" s="96"/>
      <c r="W29" s="85"/>
      <c r="X29" s="86"/>
      <c r="Y29" s="69">
        <f t="shared" si="13"/>
        <v>0</v>
      </c>
      <c r="Z29" s="69">
        <f t="shared" si="14"/>
        <v>0</v>
      </c>
      <c r="AA29" s="83">
        <f t="shared" si="15"/>
        <v>0</v>
      </c>
    </row>
    <row r="30" spans="1:27">
      <c r="A30" s="18">
        <v>40148</v>
      </c>
      <c r="B30" s="80">
        <f t="shared" si="9"/>
        <v>0</v>
      </c>
      <c r="C30" s="84">
        <f>0-SUM(E30:G30)</f>
        <v>0</v>
      </c>
      <c r="D30" s="67">
        <v>0</v>
      </c>
      <c r="E30" s="67"/>
      <c r="F30" s="67"/>
      <c r="G30" s="67"/>
      <c r="H30" s="67"/>
      <c r="I30" s="67">
        <f t="shared" si="10"/>
        <v>0</v>
      </c>
      <c r="J30" s="67">
        <v>0</v>
      </c>
      <c r="K30" s="81">
        <f t="shared" si="11"/>
        <v>0</v>
      </c>
      <c r="L30" s="96"/>
      <c r="M30" s="96">
        <v>0</v>
      </c>
      <c r="N30" s="97"/>
      <c r="O30" s="81">
        <f t="shared" si="12"/>
        <v>0</v>
      </c>
      <c r="P30" s="69"/>
      <c r="Q30" s="69"/>
      <c r="R30" s="69">
        <v>0</v>
      </c>
      <c r="V30" s="96"/>
      <c r="W30" s="85"/>
      <c r="X30" s="86"/>
      <c r="Y30" s="69">
        <f t="shared" si="13"/>
        <v>0</v>
      </c>
      <c r="Z30" s="69">
        <f t="shared" si="14"/>
        <v>0</v>
      </c>
      <c r="AA30" s="83">
        <f t="shared" si="15"/>
        <v>0</v>
      </c>
    </row>
    <row r="31" spans="1:27" s="27" customFormat="1" ht="13.5" thickBot="1">
      <c r="A31" s="22" t="s">
        <v>52</v>
      </c>
      <c r="B31" s="98">
        <f t="shared" ref="B31:M31" si="16">SUM(B19:B30)</f>
        <v>6000000</v>
      </c>
      <c r="C31" s="99">
        <f t="shared" si="16"/>
        <v>5861755.9800000004</v>
      </c>
      <c r="D31" s="99">
        <f t="shared" si="16"/>
        <v>0</v>
      </c>
      <c r="E31" s="99">
        <f t="shared" si="16"/>
        <v>5705.9100000000008</v>
      </c>
      <c r="F31" s="99">
        <f t="shared" si="16"/>
        <v>124936.74</v>
      </c>
      <c r="G31" s="99">
        <f t="shared" si="16"/>
        <v>7601.369999999999</v>
      </c>
      <c r="H31" s="99">
        <f t="shared" si="16"/>
        <v>0</v>
      </c>
      <c r="I31" s="99">
        <f t="shared" si="16"/>
        <v>5777068.2699999996</v>
      </c>
      <c r="J31" s="99">
        <f t="shared" si="16"/>
        <v>222931.72999999998</v>
      </c>
      <c r="K31" s="98">
        <f t="shared" si="16"/>
        <v>6000000</v>
      </c>
      <c r="L31" s="99">
        <f t="shared" si="16"/>
        <v>6000000</v>
      </c>
      <c r="M31" s="99">
        <f t="shared" si="16"/>
        <v>0</v>
      </c>
      <c r="N31" s="99"/>
      <c r="O31" s="98">
        <f t="shared" ref="O31:AA31" si="17">SUM(O19:O30)</f>
        <v>6059821.9500000002</v>
      </c>
      <c r="P31" s="99">
        <f t="shared" si="17"/>
        <v>3891324.0700000003</v>
      </c>
      <c r="Q31" s="99">
        <f t="shared" si="17"/>
        <v>2168497.8799999994</v>
      </c>
      <c r="R31" s="99">
        <f t="shared" si="17"/>
        <v>0</v>
      </c>
      <c r="S31" s="98">
        <f>SUM(S19:S30)</f>
        <v>199006</v>
      </c>
      <c r="T31" s="99">
        <f>SUM(T19:T30)</f>
        <v>222931.72999999998</v>
      </c>
      <c r="U31" s="99">
        <f t="shared" si="17"/>
        <v>0</v>
      </c>
      <c r="V31" s="99">
        <f t="shared" si="17"/>
        <v>209879.05999999997</v>
      </c>
      <c r="W31" s="99">
        <f t="shared" si="17"/>
        <v>523410.28</v>
      </c>
      <c r="X31" s="99">
        <f t="shared" si="17"/>
        <v>68913.48</v>
      </c>
      <c r="Y31" s="99">
        <f t="shared" si="17"/>
        <v>4835681.4000000004</v>
      </c>
      <c r="Z31" s="99">
        <f t="shared" si="17"/>
        <v>5637884.2200000007</v>
      </c>
      <c r="AA31" s="99">
        <f t="shared" si="17"/>
        <v>421937.73</v>
      </c>
    </row>
    <row r="32" spans="1:27" ht="13.5" thickTop="1"/>
    <row r="33" spans="1:27" ht="13.5" thickBot="1">
      <c r="D33" s="67"/>
      <c r="F33" s="67"/>
      <c r="G33" s="118"/>
      <c r="U33" s="165" t="s">
        <v>61</v>
      </c>
      <c r="V33" s="164">
        <f>SUM(V12:V17,V19:V24)</f>
        <v>315066.16000000003</v>
      </c>
      <c r="W33" s="164">
        <f>SUM(W12:W17,W19:W24)</f>
        <v>2038730.79</v>
      </c>
      <c r="X33" s="164">
        <f>SUM(X12:X17,X19:X24)</f>
        <v>131679.56</v>
      </c>
      <c r="Y33" s="164">
        <f>SUM(Y12:Y17,Y19:Y24)</f>
        <v>6064518.6099999994</v>
      </c>
    </row>
    <row r="34" spans="1:27" ht="13.5" thickTop="1">
      <c r="B34" s="67">
        <f>O31</f>
        <v>6059821.9500000002</v>
      </c>
      <c r="C34" s="117" t="s">
        <v>53</v>
      </c>
      <c r="D34" s="117" t="s">
        <v>54</v>
      </c>
      <c r="E34" s="117"/>
      <c r="F34" s="67"/>
      <c r="G34" s="118"/>
      <c r="I34" s="121"/>
      <c r="V34" s="119"/>
      <c r="W34" s="120"/>
      <c r="X34" s="120"/>
      <c r="Y34" s="120"/>
    </row>
    <row r="35" spans="1:27" s="69" customFormat="1">
      <c r="A35" s="6"/>
      <c r="B35" s="67">
        <f>B31</f>
        <v>6000000</v>
      </c>
      <c r="C35" s="117" t="s">
        <v>55</v>
      </c>
      <c r="D35" s="117" t="s">
        <v>56</v>
      </c>
      <c r="E35" s="117"/>
      <c r="F35" s="67"/>
      <c r="G35" s="118"/>
      <c r="H35" s="113"/>
      <c r="I35" s="113"/>
      <c r="J35" s="113"/>
      <c r="K35" s="114"/>
      <c r="L35" s="115"/>
      <c r="M35" s="115"/>
      <c r="N35" s="116"/>
      <c r="O35" s="81"/>
      <c r="P35" s="83"/>
      <c r="Q35" s="83"/>
      <c r="R35" s="83"/>
      <c r="S35" s="80"/>
      <c r="T35" s="66"/>
      <c r="U35" s="66"/>
      <c r="V35" s="119"/>
      <c r="W35" s="120"/>
      <c r="X35" s="120"/>
      <c r="Y35" s="120"/>
      <c r="AA35" s="83"/>
    </row>
    <row r="36" spans="1:27" s="69" customFormat="1">
      <c r="A36" s="6"/>
      <c r="B36" s="80">
        <f>B31-B25-B26</f>
        <v>4500000</v>
      </c>
      <c r="C36" s="125" t="s">
        <v>59</v>
      </c>
      <c r="D36" s="117"/>
      <c r="E36" s="117"/>
      <c r="F36" s="67"/>
      <c r="G36" s="118"/>
      <c r="H36" s="113"/>
      <c r="I36" s="113"/>
      <c r="J36" s="113"/>
      <c r="K36" s="114"/>
      <c r="L36" s="115"/>
      <c r="M36" s="115"/>
      <c r="N36" s="116"/>
      <c r="O36" s="81"/>
      <c r="P36" s="83"/>
      <c r="Q36" s="83"/>
      <c r="R36" s="83"/>
      <c r="S36" s="80"/>
      <c r="T36" s="66"/>
      <c r="U36" s="66"/>
      <c r="V36" s="119"/>
      <c r="W36" s="120"/>
      <c r="X36" s="120"/>
      <c r="Y36" s="120"/>
      <c r="AA36" s="83"/>
    </row>
    <row r="37" spans="1:27" s="69" customFormat="1">
      <c r="A37" s="6"/>
      <c r="B37" s="67">
        <f>B34-B36</f>
        <v>1559821.9500000002</v>
      </c>
      <c r="C37" s="122" t="s">
        <v>60</v>
      </c>
      <c r="D37" s="67"/>
      <c r="E37" s="113"/>
      <c r="F37" s="67"/>
      <c r="G37" s="118"/>
      <c r="H37" s="113"/>
      <c r="I37" s="113"/>
      <c r="J37" s="113"/>
      <c r="K37" s="114"/>
      <c r="L37" s="115"/>
      <c r="M37" s="115"/>
      <c r="N37" s="116"/>
      <c r="O37" s="81"/>
      <c r="P37" s="83"/>
      <c r="Q37" s="83"/>
      <c r="R37" s="83"/>
      <c r="S37" s="80"/>
      <c r="T37" s="66"/>
      <c r="U37" s="66"/>
      <c r="V37" s="119"/>
      <c r="W37" s="120"/>
      <c r="X37" s="120"/>
      <c r="Y37" s="120"/>
      <c r="AA37" s="83"/>
    </row>
    <row r="38" spans="1:27" s="69" customFormat="1">
      <c r="A38" s="6"/>
      <c r="B38" s="123">
        <v>0</v>
      </c>
      <c r="C38" s="117" t="s">
        <v>57</v>
      </c>
      <c r="D38" s="67"/>
      <c r="E38" s="113"/>
      <c r="F38" s="67"/>
      <c r="G38" s="118"/>
      <c r="H38" s="113"/>
      <c r="I38" s="113"/>
      <c r="J38" s="113"/>
      <c r="K38" s="114"/>
      <c r="L38" s="115"/>
      <c r="M38" s="115"/>
      <c r="N38" s="116"/>
      <c r="O38" s="81"/>
      <c r="P38" s="83"/>
      <c r="Q38" s="83"/>
      <c r="R38" s="83"/>
      <c r="S38" s="80"/>
      <c r="T38" s="66"/>
      <c r="U38" s="66"/>
      <c r="V38" s="66"/>
      <c r="AA38" s="83"/>
    </row>
    <row r="39" spans="1:27" s="69" customFormat="1">
      <c r="A39" s="6"/>
      <c r="B39" s="118">
        <f>B37-B38</f>
        <v>1559821.9500000002</v>
      </c>
      <c r="C39" s="122" t="s">
        <v>58</v>
      </c>
      <c r="D39" s="113"/>
      <c r="E39" s="113"/>
      <c r="F39" s="113"/>
      <c r="G39" s="124"/>
      <c r="H39" s="113"/>
      <c r="I39" s="113"/>
      <c r="J39" s="113"/>
      <c r="K39" s="114"/>
      <c r="L39" s="115"/>
      <c r="M39" s="115"/>
      <c r="N39" s="116"/>
      <c r="O39" s="81"/>
      <c r="P39" s="83"/>
      <c r="Q39" s="83"/>
      <c r="R39" s="83"/>
      <c r="S39" s="80"/>
      <c r="T39" s="66"/>
      <c r="U39" s="66"/>
      <c r="V39" s="66"/>
      <c r="X39" s="83"/>
      <c r="Y39" s="83"/>
      <c r="AA39" s="83"/>
    </row>
    <row r="40" spans="1:27" s="69" customFormat="1">
      <c r="A40" s="6"/>
      <c r="B40" s="66"/>
      <c r="C40" s="122"/>
      <c r="D40" s="113"/>
      <c r="E40" s="113"/>
      <c r="F40" s="113"/>
      <c r="G40" s="124"/>
      <c r="H40" s="113"/>
      <c r="I40" s="113"/>
      <c r="J40" s="113"/>
      <c r="K40" s="114"/>
      <c r="L40" s="115"/>
      <c r="M40" s="115"/>
      <c r="N40" s="116"/>
      <c r="O40" s="81"/>
      <c r="P40" s="83"/>
      <c r="Q40" s="83"/>
      <c r="R40" s="83"/>
      <c r="S40" s="80"/>
      <c r="T40" s="66"/>
      <c r="U40" s="66"/>
      <c r="V40" s="66"/>
      <c r="X40" s="83"/>
      <c r="Y40" s="83"/>
      <c r="AA40" s="83"/>
    </row>
    <row r="41" spans="1:27" s="69" customFormat="1">
      <c r="A41" s="6"/>
      <c r="B41" s="66"/>
      <c r="C41" s="122"/>
      <c r="D41" s="113"/>
      <c r="E41" s="113"/>
      <c r="F41" s="113"/>
      <c r="G41" s="113"/>
      <c r="H41" s="113"/>
      <c r="I41" s="113"/>
      <c r="J41" s="113"/>
      <c r="K41" s="114"/>
      <c r="L41" s="115"/>
      <c r="M41" s="115"/>
      <c r="N41" s="116"/>
      <c r="O41" s="81"/>
      <c r="P41" s="83"/>
      <c r="Q41" s="83"/>
      <c r="R41" s="83"/>
      <c r="S41" s="80"/>
      <c r="T41" s="66"/>
      <c r="U41" s="66"/>
      <c r="V41" s="66"/>
      <c r="X41" s="83"/>
      <c r="Y41" s="83"/>
      <c r="AA41" s="83"/>
    </row>
    <row r="42" spans="1:27" s="69" customFormat="1">
      <c r="A42" s="6"/>
      <c r="B42" s="66"/>
      <c r="C42" s="67"/>
      <c r="D42" s="113"/>
      <c r="E42" s="113"/>
      <c r="F42" s="113"/>
      <c r="G42" s="113"/>
      <c r="H42" s="113"/>
      <c r="I42" s="113"/>
      <c r="J42" s="113"/>
      <c r="K42" s="114"/>
      <c r="L42" s="115"/>
      <c r="M42" s="115"/>
      <c r="N42" s="116"/>
      <c r="O42" s="81"/>
      <c r="P42" s="83"/>
      <c r="Q42" s="83"/>
      <c r="R42" s="83"/>
      <c r="S42" s="80"/>
      <c r="T42" s="66"/>
      <c r="U42" s="66"/>
      <c r="V42" s="66"/>
      <c r="X42" s="83"/>
      <c r="Y42" s="83"/>
      <c r="AA42" s="83"/>
    </row>
    <row r="43" spans="1:27" s="69" customFormat="1">
      <c r="A43" s="6"/>
      <c r="B43" s="66"/>
      <c r="C43" s="67"/>
      <c r="D43" s="113"/>
      <c r="E43" s="113"/>
      <c r="F43" s="113"/>
      <c r="G43" s="113"/>
      <c r="H43" s="113"/>
      <c r="I43" s="113"/>
      <c r="J43" s="113"/>
      <c r="K43" s="114"/>
      <c r="L43" s="115"/>
      <c r="M43" s="115"/>
      <c r="N43" s="116"/>
      <c r="O43" s="81"/>
      <c r="P43" s="83"/>
      <c r="Q43" s="83"/>
      <c r="R43" s="83"/>
      <c r="S43" s="80"/>
      <c r="T43" s="66"/>
      <c r="U43" s="66"/>
      <c r="V43" s="66"/>
      <c r="X43" s="83"/>
      <c r="Y43" s="83"/>
      <c r="AA43" s="83"/>
    </row>
  </sheetData>
  <mergeCells count="5">
    <mergeCell ref="A1:AA1"/>
    <mergeCell ref="B3:J3"/>
    <mergeCell ref="K3:N3"/>
    <mergeCell ref="O3:R3"/>
    <mergeCell ref="S3:AA3"/>
  </mergeCells>
  <printOptions horizontalCentered="1" gridLines="1"/>
  <pageMargins left="0.1" right="0.1" top="0.75" bottom="0.25" header="0.5" footer="0.5"/>
  <pageSetup paperSize="5" scale="56"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codeName="Sheet2" enableFormatConditionsCalculation="0">
    <tabColor indexed="41"/>
    <pageSetUpPr fitToPage="1"/>
  </sheetPr>
  <dimension ref="A1:AB36"/>
  <sheetViews>
    <sheetView zoomScale="90" workbookViewId="0">
      <pane xSplit="1" ySplit="4" topLeftCell="N5" activePane="bottomRight" state="frozen"/>
      <selection pane="topRight" activeCell="B1" sqref="B1"/>
      <selection pane="bottomLeft" activeCell="A5" sqref="A5"/>
      <selection pane="bottomRight" activeCell="S22" sqref="S22"/>
    </sheetView>
  </sheetViews>
  <sheetFormatPr defaultRowHeight="12.75"/>
  <cols>
    <col min="1" max="1" width="12.28515625" style="6" bestFit="1" customWidth="1"/>
    <col min="2" max="2" width="15" style="25" bestFit="1" customWidth="1"/>
    <col min="3" max="3" width="13.85546875" style="21" bestFit="1" customWidth="1"/>
    <col min="4" max="4" width="14.28515625" style="21" customWidth="1"/>
    <col min="5" max="6" width="13.85546875" style="21" bestFit="1" customWidth="1"/>
    <col min="7" max="9" width="13.85546875" style="21" customWidth="1"/>
    <col min="10" max="10" width="14.5703125" style="21" bestFit="1" customWidth="1"/>
    <col min="11" max="11" width="13.85546875" style="29" bestFit="1" customWidth="1"/>
    <col min="12" max="12" width="13.85546875" style="19" bestFit="1" customWidth="1"/>
    <col min="13" max="13" width="11.28515625" style="19" bestFit="1" customWidth="1"/>
    <col min="14" max="14" width="8.7109375" style="30" bestFit="1" customWidth="1"/>
    <col min="15" max="15" width="15" style="20" bestFit="1" customWidth="1"/>
    <col min="16" max="16" width="15" style="2" bestFit="1" customWidth="1"/>
    <col min="17" max="17" width="13.85546875" style="2" bestFit="1" customWidth="1"/>
    <col min="18" max="18" width="11.140625" style="2" bestFit="1" customWidth="1"/>
    <col min="19" max="19" width="13.85546875" style="25" bestFit="1" customWidth="1"/>
    <col min="20" max="20" width="12.85546875" style="8" customWidth="1"/>
    <col min="21" max="21" width="16.28515625" style="8" customWidth="1"/>
    <col min="22" max="22" width="12.140625" style="8" bestFit="1" customWidth="1"/>
    <col min="23" max="23" width="13.85546875" style="10" bestFit="1" customWidth="1"/>
    <col min="24" max="24" width="12.42578125" style="2" bestFit="1" customWidth="1"/>
    <col min="25" max="25" width="14.5703125" style="2" bestFit="1" customWidth="1"/>
    <col min="26" max="26" width="14.5703125" style="10" bestFit="1" customWidth="1"/>
    <col min="27" max="27" width="13.85546875" style="2" bestFit="1" customWidth="1"/>
  </cols>
  <sheetData>
    <row r="1" spans="1:28">
      <c r="A1" s="170" t="s">
        <v>19</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1"/>
      <c r="AB1" s="1"/>
    </row>
    <row r="2" spans="1:28">
      <c r="B2" s="187" t="s">
        <v>20</v>
      </c>
      <c r="C2" s="188"/>
      <c r="D2" s="188"/>
      <c r="E2" s="188"/>
      <c r="F2" s="188"/>
      <c r="G2" s="188"/>
      <c r="H2" s="188"/>
      <c r="I2" s="188"/>
      <c r="J2" s="189"/>
      <c r="K2" s="7"/>
      <c r="L2" s="8"/>
      <c r="M2" s="8"/>
      <c r="N2" s="9"/>
      <c r="O2" s="10"/>
      <c r="P2" s="10"/>
      <c r="Q2" s="10"/>
      <c r="R2" s="10"/>
      <c r="S2" s="8"/>
      <c r="X2" s="10"/>
      <c r="Y2" s="10"/>
      <c r="AA2" s="10"/>
    </row>
    <row r="3" spans="1:28">
      <c r="A3" s="5"/>
      <c r="B3" s="49"/>
      <c r="C3" s="49"/>
      <c r="D3" s="49"/>
      <c r="E3" s="35" t="s">
        <v>26</v>
      </c>
      <c r="F3" s="35" t="s">
        <v>26</v>
      </c>
      <c r="G3" s="35" t="s">
        <v>26</v>
      </c>
      <c r="H3" s="49"/>
      <c r="I3" s="49"/>
      <c r="J3" s="49"/>
      <c r="K3" s="183" t="s">
        <v>21</v>
      </c>
      <c r="L3" s="184"/>
      <c r="M3" s="184"/>
      <c r="N3" s="184"/>
      <c r="O3" s="185" t="s">
        <v>22</v>
      </c>
      <c r="P3" s="186"/>
      <c r="Q3" s="186"/>
      <c r="R3" s="186"/>
      <c r="S3" s="181" t="s">
        <v>23</v>
      </c>
      <c r="T3" s="182"/>
      <c r="U3" s="182"/>
      <c r="V3" s="182"/>
      <c r="W3" s="182"/>
      <c r="X3" s="182"/>
      <c r="Y3" s="182"/>
      <c r="Z3" s="182"/>
      <c r="AA3" s="182"/>
    </row>
    <row r="4" spans="1:28" s="17" customFormat="1">
      <c r="A4" s="11" t="s">
        <v>24</v>
      </c>
      <c r="B4" s="12" t="s">
        <v>0</v>
      </c>
      <c r="C4" s="12" t="s">
        <v>25</v>
      </c>
      <c r="D4" s="12" t="s">
        <v>26</v>
      </c>
      <c r="E4" s="12" t="s">
        <v>38</v>
      </c>
      <c r="F4" s="12" t="s">
        <v>39</v>
      </c>
      <c r="G4" s="12" t="s">
        <v>40</v>
      </c>
      <c r="H4" s="12" t="s">
        <v>41</v>
      </c>
      <c r="I4" s="12" t="s">
        <v>27</v>
      </c>
      <c r="J4" s="12" t="s">
        <v>28</v>
      </c>
      <c r="K4" s="13" t="s">
        <v>0</v>
      </c>
      <c r="L4" s="12" t="s">
        <v>29</v>
      </c>
      <c r="M4" s="12" t="s">
        <v>30</v>
      </c>
      <c r="N4" s="14" t="s">
        <v>24</v>
      </c>
      <c r="O4" s="13" t="s">
        <v>0</v>
      </c>
      <c r="P4" s="12" t="s">
        <v>31</v>
      </c>
      <c r="Q4" s="12" t="s">
        <v>17</v>
      </c>
      <c r="R4" s="12" t="s">
        <v>18</v>
      </c>
      <c r="S4" s="13" t="s">
        <v>15</v>
      </c>
      <c r="T4" s="12" t="s">
        <v>32</v>
      </c>
      <c r="U4" s="12" t="s">
        <v>33</v>
      </c>
      <c r="V4" s="12" t="s">
        <v>16</v>
      </c>
      <c r="W4" s="12" t="s">
        <v>34</v>
      </c>
      <c r="X4" s="12" t="s">
        <v>35</v>
      </c>
      <c r="Y4" s="15" t="s">
        <v>11</v>
      </c>
      <c r="Z4" s="35" t="s">
        <v>27</v>
      </c>
      <c r="AA4" s="16" t="s">
        <v>28</v>
      </c>
    </row>
    <row r="5" spans="1:28">
      <c r="A5" s="18">
        <v>39448</v>
      </c>
      <c r="B5" s="50">
        <f t="shared" ref="B5:B14" si="0">SUM(C5:H5)</f>
        <v>651336.02</v>
      </c>
      <c r="C5" s="7">
        <f>651336.02-SUM(E5:G5)</f>
        <v>635562.14</v>
      </c>
      <c r="D5" s="7"/>
      <c r="E5" s="7"/>
      <c r="F5" s="7">
        <v>15773.88</v>
      </c>
      <c r="G5" s="7"/>
      <c r="H5" s="7"/>
      <c r="I5" s="7">
        <f t="shared" ref="I5:I16" si="1">B5-J5</f>
        <v>630407.28</v>
      </c>
      <c r="J5" s="7">
        <v>20928.740000000002</v>
      </c>
      <c r="K5" s="20">
        <f t="shared" ref="K5:K16" si="2">SUM(L5:M5)</f>
        <v>651336.02</v>
      </c>
      <c r="L5" s="8">
        <v>651336.02</v>
      </c>
      <c r="M5" s="8">
        <v>0</v>
      </c>
      <c r="N5" s="9">
        <v>39525</v>
      </c>
      <c r="O5" s="20">
        <f t="shared" ref="O5:O16" si="3">SUM(P5:R5)</f>
        <v>651336.02</v>
      </c>
      <c r="P5" s="10">
        <v>372515.67</v>
      </c>
      <c r="Q5" s="10">
        <v>278820.34999999998</v>
      </c>
      <c r="R5" s="10">
        <v>0</v>
      </c>
      <c r="S5" s="25">
        <v>0</v>
      </c>
      <c r="T5" s="8">
        <v>20928.740000000002</v>
      </c>
      <c r="U5" s="8">
        <v>0</v>
      </c>
      <c r="V5" s="31">
        <v>31096.5</v>
      </c>
      <c r="W5" s="10">
        <v>65466.22</v>
      </c>
      <c r="X5" s="10">
        <v>9671.16</v>
      </c>
      <c r="Y5" s="10">
        <f t="shared" ref="Y5:Y16" si="4">O5-SUM(S5:X5)</f>
        <v>524173.4</v>
      </c>
      <c r="Z5" s="10">
        <f t="shared" ref="Z5:Z16" si="5">SUM(V5:Y5)</f>
        <v>630407.28</v>
      </c>
      <c r="AA5" s="2">
        <f t="shared" ref="AA5:AA16" si="6">SUM(S5:U5)</f>
        <v>20928.740000000002</v>
      </c>
    </row>
    <row r="6" spans="1:28">
      <c r="A6" s="18">
        <v>39479</v>
      </c>
      <c r="B6" s="50">
        <f>SUM(C6:H6)</f>
        <v>749039.93</v>
      </c>
      <c r="C6" s="7">
        <f>749039.93-SUM(E6:G6)</f>
        <v>740294.95000000007</v>
      </c>
      <c r="D6" s="7"/>
      <c r="E6" s="7"/>
      <c r="F6" s="7">
        <v>8744.98</v>
      </c>
      <c r="G6" s="7"/>
      <c r="H6" s="7"/>
      <c r="I6" s="7">
        <f t="shared" si="1"/>
        <v>710107.55</v>
      </c>
      <c r="J6" s="7">
        <v>38932.379999999997</v>
      </c>
      <c r="K6" s="20">
        <f t="shared" si="2"/>
        <v>749039.93</v>
      </c>
      <c r="L6" s="8">
        <v>749039.93</v>
      </c>
      <c r="M6" s="8">
        <v>0</v>
      </c>
      <c r="N6" s="9">
        <v>39525</v>
      </c>
      <c r="O6" s="20">
        <f t="shared" si="3"/>
        <v>749039.92999999993</v>
      </c>
      <c r="P6" s="2">
        <v>448702.89</v>
      </c>
      <c r="Q6" s="10">
        <v>300337.03999999998</v>
      </c>
      <c r="R6" s="10">
        <v>0</v>
      </c>
      <c r="S6" s="25">
        <v>0</v>
      </c>
      <c r="T6" s="8">
        <v>38932.379999999997</v>
      </c>
      <c r="U6" s="8">
        <v>0</v>
      </c>
      <c r="V6" s="31">
        <v>43479.76</v>
      </c>
      <c r="W6" s="10">
        <v>87763.14</v>
      </c>
      <c r="X6" s="10">
        <v>10332.879999999999</v>
      </c>
      <c r="Y6" s="10">
        <f t="shared" si="4"/>
        <v>568531.7699999999</v>
      </c>
      <c r="Z6" s="10">
        <f t="shared" si="5"/>
        <v>710107.54999999993</v>
      </c>
      <c r="AA6" s="2">
        <f t="shared" si="6"/>
        <v>38932.379999999997</v>
      </c>
    </row>
    <row r="7" spans="1:28">
      <c r="A7" s="18">
        <v>39508</v>
      </c>
      <c r="B7" s="50">
        <f>SUM(C7:H7)</f>
        <v>733084.6</v>
      </c>
      <c r="C7" s="7">
        <f>733084.6-SUM(E7:G7)</f>
        <v>715456.29999999993</v>
      </c>
      <c r="D7" s="7"/>
      <c r="E7" s="7"/>
      <c r="F7" s="7">
        <v>17628.3</v>
      </c>
      <c r="G7" s="7"/>
      <c r="H7" s="7"/>
      <c r="I7" s="7">
        <f t="shared" si="1"/>
        <v>688806.40000000002</v>
      </c>
      <c r="J7" s="7">
        <v>44278.2</v>
      </c>
      <c r="K7" s="20">
        <f t="shared" si="2"/>
        <v>733084.6</v>
      </c>
      <c r="L7" s="8">
        <v>733084.6</v>
      </c>
      <c r="M7" s="8">
        <v>0</v>
      </c>
      <c r="N7" s="9">
        <v>39568</v>
      </c>
      <c r="O7" s="20">
        <f t="shared" si="3"/>
        <v>733084.6</v>
      </c>
      <c r="P7" s="10">
        <v>387147.67</v>
      </c>
      <c r="Q7" s="10">
        <v>345936.93</v>
      </c>
      <c r="R7" s="10">
        <v>0</v>
      </c>
      <c r="S7" s="25">
        <v>0</v>
      </c>
      <c r="T7" s="8">
        <v>44278.2</v>
      </c>
      <c r="U7" s="8">
        <v>0</v>
      </c>
      <c r="V7" s="31">
        <v>33051.06</v>
      </c>
      <c r="W7" s="10">
        <v>7711.81</v>
      </c>
      <c r="X7" s="10">
        <v>13841.53</v>
      </c>
      <c r="Y7" s="10">
        <f t="shared" si="4"/>
        <v>634202</v>
      </c>
      <c r="Z7" s="10">
        <f t="shared" si="5"/>
        <v>688806.40000000002</v>
      </c>
      <c r="AA7" s="2">
        <f t="shared" si="6"/>
        <v>44278.2</v>
      </c>
    </row>
    <row r="8" spans="1:28">
      <c r="A8" s="18">
        <v>39539</v>
      </c>
      <c r="B8" s="50">
        <f t="shared" si="0"/>
        <v>737780.72</v>
      </c>
      <c r="C8" s="7">
        <f>737780.72-SUM(E8:G8)</f>
        <v>718745.59</v>
      </c>
      <c r="D8" s="7"/>
      <c r="E8" s="7"/>
      <c r="F8" s="7">
        <v>19035.13</v>
      </c>
      <c r="G8" s="7"/>
      <c r="H8" s="7"/>
      <c r="I8" s="7">
        <f t="shared" si="1"/>
        <v>699757</v>
      </c>
      <c r="J8" s="7">
        <f>35937.27+2086.45</f>
        <v>38023.719999999994</v>
      </c>
      <c r="K8" s="20">
        <f t="shared" si="2"/>
        <v>737780.72</v>
      </c>
      <c r="L8" s="8">
        <v>737780.72</v>
      </c>
      <c r="M8" s="8">
        <v>0</v>
      </c>
      <c r="N8" s="9">
        <v>39629</v>
      </c>
      <c r="O8" s="20">
        <f t="shared" si="3"/>
        <v>737780.72</v>
      </c>
      <c r="P8" s="10">
        <v>430612.46</v>
      </c>
      <c r="Q8" s="10">
        <v>307168.26</v>
      </c>
      <c r="R8" s="10">
        <v>0</v>
      </c>
      <c r="S8" s="25">
        <v>0</v>
      </c>
      <c r="T8" s="33">
        <f>35937.27+2086.45</f>
        <v>38023.719999999994</v>
      </c>
      <c r="U8" s="8">
        <v>0</v>
      </c>
      <c r="V8" s="31">
        <v>39143.64</v>
      </c>
      <c r="W8" s="36">
        <v>65912</v>
      </c>
      <c r="X8" s="37">
        <v>12394.16</v>
      </c>
      <c r="Y8" s="10">
        <f t="shared" si="4"/>
        <v>582307.19999999995</v>
      </c>
      <c r="Z8" s="10">
        <f t="shared" si="5"/>
        <v>699757</v>
      </c>
      <c r="AA8" s="2">
        <f t="shared" si="6"/>
        <v>38023.719999999994</v>
      </c>
    </row>
    <row r="9" spans="1:28">
      <c r="A9" s="18">
        <v>39569</v>
      </c>
      <c r="B9" s="50">
        <f t="shared" si="0"/>
        <v>792070.22</v>
      </c>
      <c r="C9" s="7">
        <f>792070.22-SUM(E9:G9)</f>
        <v>774035.34</v>
      </c>
      <c r="D9" s="7"/>
      <c r="E9" s="7"/>
      <c r="F9" s="7">
        <v>18034.88</v>
      </c>
      <c r="G9" s="7"/>
      <c r="H9" s="7"/>
      <c r="I9" s="7">
        <f t="shared" si="1"/>
        <v>752225.1</v>
      </c>
      <c r="J9" s="7">
        <v>39845.120000000003</v>
      </c>
      <c r="K9" s="20">
        <f t="shared" si="2"/>
        <v>792070.22</v>
      </c>
      <c r="L9" s="8">
        <v>792070.22</v>
      </c>
      <c r="M9" s="8">
        <v>0</v>
      </c>
      <c r="N9" s="9">
        <v>39629</v>
      </c>
      <c r="O9" s="20">
        <f t="shared" si="3"/>
        <v>792070.22</v>
      </c>
      <c r="P9" s="10">
        <v>383436.17</v>
      </c>
      <c r="Q9" s="10">
        <v>408634.05</v>
      </c>
      <c r="R9" s="10">
        <v>0</v>
      </c>
      <c r="S9" s="25">
        <v>0</v>
      </c>
      <c r="T9" s="8">
        <v>39845.120000000003</v>
      </c>
      <c r="U9" s="8">
        <v>0</v>
      </c>
      <c r="V9" s="31">
        <v>32809.75</v>
      </c>
      <c r="W9" s="36">
        <v>63764.31</v>
      </c>
      <c r="X9" s="37">
        <v>10843.74</v>
      </c>
      <c r="Y9" s="10">
        <f t="shared" si="4"/>
        <v>644807.30000000005</v>
      </c>
      <c r="Z9" s="10">
        <f t="shared" si="5"/>
        <v>752225.10000000009</v>
      </c>
      <c r="AA9" s="2">
        <f t="shared" si="6"/>
        <v>39845.120000000003</v>
      </c>
    </row>
    <row r="10" spans="1:28">
      <c r="A10" s="18">
        <v>39600</v>
      </c>
      <c r="B10" s="50">
        <f t="shared" si="0"/>
        <v>836688.51000000013</v>
      </c>
      <c r="C10" s="7">
        <f>836688.51-SUM(E10:G10)</f>
        <v>817976.82000000007</v>
      </c>
      <c r="D10" s="7"/>
      <c r="E10" s="51">
        <v>3403.65</v>
      </c>
      <c r="F10" s="26">
        <v>15308.04</v>
      </c>
      <c r="G10" s="26"/>
      <c r="H10" s="7"/>
      <c r="I10" s="7">
        <f t="shared" si="1"/>
        <v>269558.52000000014</v>
      </c>
      <c r="J10" s="7">
        <f>42880.32+524249.67</f>
        <v>567129.99</v>
      </c>
      <c r="K10" s="20">
        <f t="shared" si="2"/>
        <v>836688.51</v>
      </c>
      <c r="L10" s="8">
        <v>836688.51</v>
      </c>
      <c r="M10" s="8">
        <v>0</v>
      </c>
      <c r="N10" s="9">
        <v>39689</v>
      </c>
      <c r="O10" s="20">
        <f t="shared" si="3"/>
        <v>1152181.95</v>
      </c>
      <c r="P10" s="10">
        <v>218452.8</v>
      </c>
      <c r="Q10" s="10">
        <v>933729.15</v>
      </c>
      <c r="R10" s="10">
        <v>0</v>
      </c>
      <c r="S10" s="34">
        <f>896000-371750.33</f>
        <v>524249.67</v>
      </c>
      <c r="T10" s="31">
        <v>42880.32</v>
      </c>
      <c r="U10" s="8">
        <v>0</v>
      </c>
      <c r="V10" s="32">
        <v>18177.599999999999</v>
      </c>
      <c r="W10" s="36">
        <v>38545.54</v>
      </c>
      <c r="X10" s="37">
        <v>9955.26</v>
      </c>
      <c r="Y10" s="10">
        <f t="shared" si="4"/>
        <v>518373.55999999994</v>
      </c>
      <c r="Z10" s="10">
        <f t="shared" si="5"/>
        <v>585051.96</v>
      </c>
      <c r="AA10" s="2">
        <f t="shared" si="6"/>
        <v>567129.99</v>
      </c>
    </row>
    <row r="11" spans="1:28">
      <c r="A11" s="18">
        <v>39630</v>
      </c>
      <c r="B11" s="50">
        <f t="shared" si="0"/>
        <v>750000</v>
      </c>
      <c r="C11" s="7">
        <f>750000-SUM(E11:G11)</f>
        <v>726213.72</v>
      </c>
      <c r="D11" s="7"/>
      <c r="E11" s="52">
        <v>7846.75</v>
      </c>
      <c r="F11" s="7">
        <v>15939.53</v>
      </c>
      <c r="G11" s="7"/>
      <c r="H11" s="7"/>
      <c r="I11" s="7">
        <f t="shared" si="1"/>
        <v>706719.92</v>
      </c>
      <c r="J11" s="8">
        <v>43280.08</v>
      </c>
      <c r="K11" s="20">
        <f t="shared" si="2"/>
        <v>750000</v>
      </c>
      <c r="L11" s="8">
        <v>750000</v>
      </c>
      <c r="M11" s="8">
        <v>0</v>
      </c>
      <c r="N11" s="9">
        <v>39689</v>
      </c>
      <c r="O11" s="20">
        <f t="shared" si="3"/>
        <v>688893.14</v>
      </c>
      <c r="P11" s="10">
        <v>435089.59</v>
      </c>
      <c r="Q11" s="10">
        <v>253803.55</v>
      </c>
      <c r="R11" s="10">
        <v>0</v>
      </c>
      <c r="S11" s="25">
        <v>0</v>
      </c>
      <c r="T11" s="8">
        <v>43280.08</v>
      </c>
      <c r="U11" s="8">
        <v>0</v>
      </c>
      <c r="V11" s="8">
        <v>25306.51</v>
      </c>
      <c r="W11" s="36">
        <v>63491.46</v>
      </c>
      <c r="X11" s="37">
        <v>10333.219999999999</v>
      </c>
      <c r="Y11" s="10">
        <f t="shared" si="4"/>
        <v>546481.87</v>
      </c>
      <c r="Z11" s="10">
        <f t="shared" si="5"/>
        <v>645613.06000000006</v>
      </c>
      <c r="AA11" s="2">
        <f t="shared" si="6"/>
        <v>43280.08</v>
      </c>
    </row>
    <row r="12" spans="1:28">
      <c r="A12" s="18">
        <v>39661</v>
      </c>
      <c r="B12" s="50">
        <f t="shared" si="0"/>
        <v>750000</v>
      </c>
      <c r="C12" s="7">
        <f>750000-SUM(E12:G12)</f>
        <v>735405.36</v>
      </c>
      <c r="D12" s="7"/>
      <c r="E12" s="52">
        <v>3275.99</v>
      </c>
      <c r="F12" s="7">
        <v>11318.65</v>
      </c>
      <c r="G12" s="7"/>
      <c r="H12" s="7"/>
      <c r="I12" s="7">
        <f t="shared" si="1"/>
        <v>706446.78</v>
      </c>
      <c r="J12" s="7">
        <v>43553.22</v>
      </c>
      <c r="K12" s="20">
        <f t="shared" si="2"/>
        <v>750000</v>
      </c>
      <c r="L12" s="8">
        <v>750000</v>
      </c>
      <c r="M12" s="8">
        <v>0</v>
      </c>
      <c r="N12" s="9">
        <v>39720</v>
      </c>
      <c r="O12" s="20">
        <f t="shared" si="3"/>
        <v>641565.89</v>
      </c>
      <c r="P12" s="10">
        <v>452731.06</v>
      </c>
      <c r="Q12" s="10">
        <v>188834.83</v>
      </c>
      <c r="R12" s="10">
        <v>0</v>
      </c>
      <c r="S12" s="25">
        <v>0</v>
      </c>
      <c r="T12" s="7">
        <v>43553.22</v>
      </c>
      <c r="U12" s="8">
        <v>0</v>
      </c>
      <c r="V12" s="8">
        <v>35137.1</v>
      </c>
      <c r="W12" s="36">
        <v>55996.83</v>
      </c>
      <c r="X12" s="37">
        <v>10727.28</v>
      </c>
      <c r="Y12" s="10">
        <f t="shared" si="4"/>
        <v>496151.45999999996</v>
      </c>
      <c r="Z12" s="10">
        <f t="shared" si="5"/>
        <v>598012.66999999993</v>
      </c>
      <c r="AA12" s="2">
        <f t="shared" si="6"/>
        <v>43553.22</v>
      </c>
    </row>
    <row r="13" spans="1:28">
      <c r="A13" s="18">
        <v>39692</v>
      </c>
      <c r="B13" s="50">
        <f t="shared" si="0"/>
        <v>690097.48</v>
      </c>
      <c r="C13" s="7">
        <f>690097.48-SUM(E13:G13)</f>
        <v>663938.61</v>
      </c>
      <c r="D13" s="7"/>
      <c r="E13" s="7">
        <v>7658.18</v>
      </c>
      <c r="F13" s="7">
        <v>18500.689999999999</v>
      </c>
      <c r="G13" s="7"/>
      <c r="H13" s="7"/>
      <c r="I13" s="7">
        <f t="shared" si="1"/>
        <v>562893.59</v>
      </c>
      <c r="J13" s="7">
        <f>44421.09+82782.8</f>
        <v>127203.89</v>
      </c>
      <c r="K13" s="20">
        <f t="shared" si="2"/>
        <v>690097.48</v>
      </c>
      <c r="L13" s="8">
        <v>690097.48</v>
      </c>
      <c r="M13" s="8">
        <v>0</v>
      </c>
      <c r="N13" s="9">
        <v>39752</v>
      </c>
      <c r="O13" s="20">
        <f t="shared" si="3"/>
        <v>544145.01</v>
      </c>
      <c r="P13" s="38">
        <v>295183.62</v>
      </c>
      <c r="Q13" s="10">
        <v>248961.39</v>
      </c>
      <c r="R13" s="10">
        <v>0</v>
      </c>
      <c r="S13" s="25">
        <v>0</v>
      </c>
      <c r="T13" s="8">
        <v>44421.09</v>
      </c>
      <c r="U13" s="8">
        <v>0</v>
      </c>
      <c r="V13" s="8">
        <v>27325.26</v>
      </c>
      <c r="W13" s="36">
        <v>53651.91</v>
      </c>
      <c r="X13" s="37">
        <v>12176.3</v>
      </c>
      <c r="Y13" s="10">
        <f t="shared" si="4"/>
        <v>406570.45</v>
      </c>
      <c r="Z13" s="10">
        <f t="shared" si="5"/>
        <v>499723.92000000004</v>
      </c>
      <c r="AA13" s="2">
        <f t="shared" si="6"/>
        <v>44421.09</v>
      </c>
    </row>
    <row r="14" spans="1:28">
      <c r="A14" s="18">
        <v>39722</v>
      </c>
      <c r="B14" s="50">
        <f t="shared" si="0"/>
        <v>809902.5199999999</v>
      </c>
      <c r="C14" s="7">
        <f>809902.52-SUM(E14:G14)</f>
        <v>786268.96</v>
      </c>
      <c r="D14" s="7"/>
      <c r="E14" s="7">
        <v>8507.6</v>
      </c>
      <c r="F14" s="7">
        <v>15125.96</v>
      </c>
      <c r="G14" s="7"/>
      <c r="H14" s="7"/>
      <c r="I14" s="7">
        <f t="shared" si="1"/>
        <v>764729.67999999993</v>
      </c>
      <c r="J14" s="7">
        <v>45172.84</v>
      </c>
      <c r="K14" s="20">
        <f t="shared" si="2"/>
        <v>809902.52</v>
      </c>
      <c r="L14" s="8">
        <v>809902.52</v>
      </c>
      <c r="M14" s="8">
        <v>0</v>
      </c>
      <c r="N14" s="9">
        <v>39801</v>
      </c>
      <c r="O14" s="20">
        <f t="shared" si="3"/>
        <v>1106602.1299999999</v>
      </c>
      <c r="P14" s="10">
        <v>954199.97</v>
      </c>
      <c r="Q14" s="10">
        <v>152402.16</v>
      </c>
      <c r="R14" s="10">
        <v>0</v>
      </c>
      <c r="S14" s="39">
        <v>749000</v>
      </c>
      <c r="T14" s="8">
        <v>45172.84</v>
      </c>
      <c r="U14" s="8">
        <v>0</v>
      </c>
      <c r="V14" s="40">
        <v>19529.13</v>
      </c>
      <c r="W14" s="36">
        <v>42921.77</v>
      </c>
      <c r="X14" s="37">
        <v>11570.96</v>
      </c>
      <c r="Y14" s="10">
        <f t="shared" si="4"/>
        <v>238407.42999999993</v>
      </c>
      <c r="Z14" s="10">
        <f t="shared" si="5"/>
        <v>312429.28999999992</v>
      </c>
      <c r="AA14" s="2">
        <f t="shared" si="6"/>
        <v>794172.84</v>
      </c>
    </row>
    <row r="15" spans="1:28">
      <c r="A15" s="18">
        <v>39753</v>
      </c>
      <c r="B15" s="50">
        <f>SUM(C15:H15)</f>
        <v>750000</v>
      </c>
      <c r="C15" s="7">
        <f>750000-SUM(E15:G15)</f>
        <v>736842.84</v>
      </c>
      <c r="D15" s="7"/>
      <c r="E15" s="7">
        <v>1020.5</v>
      </c>
      <c r="F15" s="7">
        <v>12136.66</v>
      </c>
      <c r="G15" s="7"/>
      <c r="H15" s="7"/>
      <c r="I15" s="7">
        <f t="shared" si="1"/>
        <v>711327.04</v>
      </c>
      <c r="J15" s="7">
        <v>38672.959999999999</v>
      </c>
      <c r="K15" s="20">
        <f t="shared" si="2"/>
        <v>750000</v>
      </c>
      <c r="L15" s="8">
        <v>750000</v>
      </c>
      <c r="M15" s="8">
        <v>0</v>
      </c>
      <c r="N15" s="9">
        <v>39804</v>
      </c>
      <c r="O15" s="20">
        <f t="shared" si="3"/>
        <v>1474298.5699999998</v>
      </c>
      <c r="P15" s="10">
        <v>1333720.67</v>
      </c>
      <c r="Q15" s="10">
        <v>140577.9</v>
      </c>
      <c r="R15" s="10">
        <v>0</v>
      </c>
      <c r="S15" s="25">
        <v>971000</v>
      </c>
      <c r="T15" s="8">
        <v>38672.959999999999</v>
      </c>
      <c r="U15" s="8">
        <v>0</v>
      </c>
      <c r="V15" s="8">
        <v>23659.8</v>
      </c>
      <c r="W15" s="36">
        <v>50469.21</v>
      </c>
      <c r="X15" s="37">
        <v>9111.61</v>
      </c>
      <c r="Y15" s="10">
        <f t="shared" si="4"/>
        <v>381384.98999999976</v>
      </c>
      <c r="Z15" s="10">
        <f t="shared" si="5"/>
        <v>464625.60999999975</v>
      </c>
      <c r="AA15" s="2">
        <f t="shared" si="6"/>
        <v>1009672.96</v>
      </c>
    </row>
    <row r="16" spans="1:28">
      <c r="A16" s="18">
        <v>39783</v>
      </c>
      <c r="B16" s="50">
        <f>SUM(C16:H16)</f>
        <v>750000</v>
      </c>
      <c r="C16" s="7">
        <f>750000-SUM(E16:G16)</f>
        <v>711652.45</v>
      </c>
      <c r="D16" s="7"/>
      <c r="E16" s="7">
        <v>25186.52</v>
      </c>
      <c r="F16" s="7">
        <v>13161.03</v>
      </c>
      <c r="G16" s="7"/>
      <c r="H16" s="7"/>
      <c r="I16" s="7">
        <f t="shared" si="1"/>
        <v>1797021.1400000001</v>
      </c>
      <c r="J16" s="7">
        <v>-1047021.14</v>
      </c>
      <c r="K16" s="20">
        <f t="shared" si="2"/>
        <v>750000</v>
      </c>
      <c r="L16" s="41">
        <v>750000</v>
      </c>
      <c r="M16" s="41">
        <v>0</v>
      </c>
      <c r="N16" s="42">
        <v>39843</v>
      </c>
      <c r="O16" s="20">
        <f t="shared" si="3"/>
        <v>3575357.4699999997</v>
      </c>
      <c r="P16" s="10">
        <v>3308441.46</v>
      </c>
      <c r="Q16" s="10">
        <v>266916.01</v>
      </c>
      <c r="R16" s="10">
        <v>0</v>
      </c>
      <c r="S16" s="25">
        <f>1542000+295000</f>
        <v>1837000</v>
      </c>
      <c r="T16" s="8">
        <v>0</v>
      </c>
      <c r="U16" s="8">
        <v>0</v>
      </c>
      <c r="V16" s="8">
        <v>26055.06</v>
      </c>
      <c r="W16" s="36">
        <v>1248789.33</v>
      </c>
      <c r="X16" s="37">
        <v>8846.7099999999991</v>
      </c>
      <c r="Y16" s="10">
        <f t="shared" si="4"/>
        <v>454666.36999999965</v>
      </c>
      <c r="Z16" s="10">
        <f t="shared" si="5"/>
        <v>1738357.4699999997</v>
      </c>
      <c r="AA16" s="2">
        <f t="shared" si="6"/>
        <v>1837000</v>
      </c>
    </row>
    <row r="17" spans="1:27" s="27" customFormat="1" ht="13.5" thickBot="1">
      <c r="A17" s="22" t="s">
        <v>36</v>
      </c>
      <c r="B17" s="23">
        <f t="shared" ref="B17:J17" si="7">SUM(B5:B16)</f>
        <v>9000000</v>
      </c>
      <c r="C17" s="24">
        <f t="shared" si="7"/>
        <v>8762393.0800000001</v>
      </c>
      <c r="D17" s="24">
        <f>SUM(D5:D16)</f>
        <v>0</v>
      </c>
      <c r="E17" s="24">
        <f>SUM(E5:E16)</f>
        <v>56899.19</v>
      </c>
      <c r="F17" s="24">
        <f>SUM(F5:F16)</f>
        <v>180707.73</v>
      </c>
      <c r="G17" s="24">
        <f>SUM(G5:G16)</f>
        <v>0</v>
      </c>
      <c r="H17" s="24">
        <f t="shared" si="7"/>
        <v>0</v>
      </c>
      <c r="I17" s="24">
        <f t="shared" si="7"/>
        <v>9000000</v>
      </c>
      <c r="J17" s="24">
        <f t="shared" si="7"/>
        <v>0</v>
      </c>
      <c r="K17" s="23">
        <f>SUM(K5:K16)</f>
        <v>9000000</v>
      </c>
      <c r="L17" s="24">
        <f>SUM(L5:L16)</f>
        <v>9000000</v>
      </c>
      <c r="M17" s="24">
        <f>SUM(M5:M16)</f>
        <v>0</v>
      </c>
      <c r="N17" s="24"/>
      <c r="O17" s="23">
        <f t="shared" ref="O17:AA17" si="8">SUM(O5:O16)</f>
        <v>12846355.649999999</v>
      </c>
      <c r="P17" s="24">
        <f t="shared" si="8"/>
        <v>9020234.0299999993</v>
      </c>
      <c r="Q17" s="24">
        <f t="shared" si="8"/>
        <v>3826121.62</v>
      </c>
      <c r="R17" s="24">
        <f t="shared" si="8"/>
        <v>0</v>
      </c>
      <c r="S17" s="45">
        <f t="shared" si="8"/>
        <v>4081249.67</v>
      </c>
      <c r="T17" s="46">
        <f t="shared" si="8"/>
        <v>439988.67</v>
      </c>
      <c r="U17" s="24">
        <f t="shared" si="8"/>
        <v>0</v>
      </c>
      <c r="V17" s="47">
        <f t="shared" si="8"/>
        <v>354771.17000000004</v>
      </c>
      <c r="W17" s="47">
        <f t="shared" si="8"/>
        <v>1844483.53</v>
      </c>
      <c r="X17" s="47">
        <f t="shared" si="8"/>
        <v>129804.81</v>
      </c>
      <c r="Y17" s="47">
        <f t="shared" si="8"/>
        <v>5996057.7999999989</v>
      </c>
      <c r="Z17" s="47">
        <f t="shared" si="8"/>
        <v>8325117.3099999987</v>
      </c>
      <c r="AA17" s="46">
        <f t="shared" si="8"/>
        <v>4521238.34</v>
      </c>
    </row>
    <row r="18" spans="1:27" ht="14.25" thickTop="1" thickBot="1">
      <c r="B18" s="50"/>
    </row>
    <row r="19" spans="1:27">
      <c r="B19" s="53"/>
      <c r="C19" s="54"/>
      <c r="D19" s="54"/>
      <c r="E19" s="54"/>
      <c r="F19" s="54"/>
      <c r="G19" s="54"/>
      <c r="H19" s="54"/>
      <c r="I19" s="55"/>
    </row>
    <row r="20" spans="1:27">
      <c r="B20" s="56" t="s">
        <v>42</v>
      </c>
      <c r="C20" s="7"/>
      <c r="D20" s="7"/>
      <c r="E20" s="7"/>
      <c r="F20" s="7"/>
      <c r="G20" s="43"/>
      <c r="H20" s="7"/>
      <c r="I20" s="57"/>
    </row>
    <row r="21" spans="1:27">
      <c r="B21" s="56"/>
      <c r="C21" s="7"/>
      <c r="D21" s="7"/>
      <c r="E21" s="7"/>
      <c r="F21" s="7"/>
      <c r="G21" s="43"/>
      <c r="H21" s="7"/>
      <c r="I21" s="57"/>
      <c r="O21" s="28"/>
    </row>
    <row r="22" spans="1:27">
      <c r="B22" s="58">
        <f>B17</f>
        <v>9000000</v>
      </c>
      <c r="C22" s="43" t="s">
        <v>43</v>
      </c>
      <c r="D22" s="7"/>
      <c r="E22" s="7"/>
      <c r="F22" s="7"/>
      <c r="G22" s="43"/>
      <c r="H22" s="7"/>
      <c r="I22" s="57"/>
      <c r="V22" s="6"/>
    </row>
    <row r="23" spans="1:27">
      <c r="B23" s="58">
        <f>-8679610.27</f>
        <v>-8679610.2699999996</v>
      </c>
      <c r="C23" s="43" t="s">
        <v>44</v>
      </c>
      <c r="D23" s="7"/>
      <c r="E23" s="7"/>
      <c r="F23" s="7"/>
      <c r="G23" s="43"/>
      <c r="H23" s="7"/>
      <c r="I23" s="57"/>
    </row>
    <row r="24" spans="1:27">
      <c r="B24" s="58">
        <f>SUM(B22:B23)</f>
        <v>320389.73000000045</v>
      </c>
      <c r="C24" s="43"/>
      <c r="D24" s="7"/>
      <c r="E24" s="7"/>
      <c r="F24" s="7"/>
      <c r="G24" s="43"/>
      <c r="H24" s="7"/>
      <c r="I24" s="59"/>
    </row>
    <row r="25" spans="1:27">
      <c r="B25" s="58">
        <f>-E17-F17</f>
        <v>-237606.92</v>
      </c>
      <c r="C25" s="43" t="s">
        <v>45</v>
      </c>
      <c r="D25" s="7"/>
      <c r="E25" s="7"/>
      <c r="F25" s="7"/>
      <c r="G25" s="43"/>
      <c r="H25" s="7"/>
      <c r="I25" s="57"/>
    </row>
    <row r="26" spans="1:27">
      <c r="B26" s="58">
        <f>SUM(B24:B25)</f>
        <v>82782.810000000434</v>
      </c>
      <c r="C26" s="43" t="s">
        <v>47</v>
      </c>
      <c r="D26" s="7"/>
      <c r="E26" s="7"/>
      <c r="F26" s="7"/>
      <c r="G26" s="43"/>
      <c r="H26" s="7"/>
      <c r="I26" s="57"/>
    </row>
    <row r="27" spans="1:27" ht="13.5" thickBot="1">
      <c r="B27" s="60"/>
      <c r="C27" s="65" t="s">
        <v>46</v>
      </c>
      <c r="D27" s="62"/>
      <c r="E27" s="62"/>
      <c r="F27" s="62"/>
      <c r="G27" s="61"/>
      <c r="H27" s="62"/>
      <c r="I27" s="63"/>
    </row>
    <row r="28" spans="1:27">
      <c r="B28" s="64"/>
      <c r="C28" s="43"/>
      <c r="D28" s="7"/>
      <c r="E28" s="7"/>
      <c r="F28" s="7"/>
      <c r="G28" s="43"/>
      <c r="H28" s="7"/>
      <c r="I28" s="7"/>
    </row>
    <row r="29" spans="1:27">
      <c r="B29" s="8"/>
      <c r="C29" s="7"/>
    </row>
    <row r="30" spans="1:27">
      <c r="A30" s="44" t="s">
        <v>37</v>
      </c>
      <c r="B30" s="8"/>
      <c r="C30" s="7"/>
    </row>
    <row r="31" spans="1:27">
      <c r="B31" s="8"/>
      <c r="C31" s="7"/>
    </row>
    <row r="32" spans="1:27">
      <c r="B32" s="8"/>
      <c r="C32" s="7"/>
    </row>
    <row r="33" spans="2:3">
      <c r="B33" s="8"/>
      <c r="C33" s="7"/>
    </row>
    <row r="34" spans="2:3">
      <c r="B34" s="8"/>
      <c r="C34" s="7"/>
    </row>
    <row r="35" spans="2:3">
      <c r="B35" s="8"/>
      <c r="C35" s="7"/>
    </row>
    <row r="36" spans="2:3">
      <c r="B36" s="8"/>
      <c r="C36" s="7"/>
    </row>
  </sheetData>
  <mergeCells count="5">
    <mergeCell ref="S3:AA3"/>
    <mergeCell ref="A1:AA1"/>
    <mergeCell ref="K3:N3"/>
    <mergeCell ref="O3:R3"/>
    <mergeCell ref="B2:J2"/>
  </mergeCells>
  <phoneticPr fontId="3" type="noConversion"/>
  <printOptions horizontalCentered="1" gridLines="1"/>
  <pageMargins left="0.1" right="0.1" top="0.5" bottom="0.25" header="0.5" footer="0.5"/>
  <pageSetup scale="35" orientation="landscape"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8AC11EB-561F-43CB-9C27-3E425BD0E106}"/>
</file>

<file path=customXml/itemProps2.xml><?xml version="1.0" encoding="utf-8"?>
<ds:datastoreItem xmlns:ds="http://schemas.openxmlformats.org/officeDocument/2006/customXml" ds:itemID="{C5A96F8E-64C7-4E62-9C13-A4D970CDE9B0}"/>
</file>

<file path=customXml/itemProps3.xml><?xml version="1.0" encoding="utf-8"?>
<ds:datastoreItem xmlns:ds="http://schemas.openxmlformats.org/officeDocument/2006/customXml" ds:itemID="{BDF4E639-F62C-47A1-86F4-F2B6AD83E6F1}"/>
</file>

<file path=customXml/itemProps4.xml><?xml version="1.0" encoding="utf-8"?>
<ds:datastoreItem xmlns:ds="http://schemas.openxmlformats.org/officeDocument/2006/customXml" ds:itemID="{353038F3-9A47-4DF9-A7AC-6C13EA2672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vt:lpstr>
      <vt:lpstr>MEHC-MEC Mgmt Fees Aug09</vt:lpstr>
      <vt:lpstr>MEHC-MEC Mgmt Fees 2008</vt:lpstr>
      <vt:lpstr>'MEHC-MEC Mgmt Fees 2008'!Print_Titles</vt:lpstr>
      <vt:lpstr>'MEHC-MEC Mgmt Fees Aug09'!Print_Titles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Lively</dc:creator>
  <cp:lastModifiedBy>R. Bryce Dalley</cp:lastModifiedBy>
  <cp:lastPrinted>2010-11-19T17:36:42Z</cp:lastPrinted>
  <dcterms:created xsi:type="dcterms:W3CDTF">2007-03-13T19:02:09Z</dcterms:created>
  <dcterms:modified xsi:type="dcterms:W3CDTF">2010-11-19T17:36:48Z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