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://projects.gasco.com/operations/2017RateCase/WARateCase/Testimony and Exhibits/Workpapers/Working docs/"/>
    </mc:Choice>
  </mc:AlternateContent>
  <bookViews>
    <workbookView xWindow="-15" yWindow="-15" windowWidth="11925" windowHeight="4860" tabRatio="896" firstSheet="13" activeTab="13"/>
  </bookViews>
  <sheets>
    <sheet name="KSM-2 p1 - Rev Req" sheetId="21" r:id="rId1"/>
    <sheet name="KSM-3 p1 - Test Year Results" sheetId="1" r:id="rId2"/>
    <sheet name="KSM-3 p2 &amp; p3 - O&amp;M" sheetId="53" r:id="rId3"/>
    <sheet name="KSM-3 p4 - Factors" sheetId="22" r:id="rId4"/>
    <sheet name="KSM-3 p5 - Taxes" sheetId="23" r:id="rId5"/>
    <sheet name="KSM-3 p6 &amp; p7 - AMA Rate Base" sheetId="46" r:id="rId6"/>
    <sheet name="KSM-3 p8 - Cost of Cap" sheetId="25" r:id="rId7"/>
    <sheet name="KSM-4 p1 - Rev Req" sheetId="63" r:id="rId8"/>
    <sheet name="KSM-4 p2 &amp; p3 - Adjust Issues" sheetId="26" r:id="rId9"/>
    <sheet name="KSM-4 p4 &amp; p5 - Adjust Tax" sheetId="52" r:id="rId10"/>
    <sheet name="KSM-4 p6 - Revenue &amp; Gas Cost" sheetId="49" r:id="rId11"/>
    <sheet name="KSM-4 p7 - Misc Rev Adjs" sheetId="48" r:id="rId12"/>
    <sheet name="KSM-4 p8 - Bonuses" sheetId="30" r:id="rId13"/>
    <sheet name="KSM-4 p9 - Property Taxes" sheetId="47" r:id="rId14"/>
    <sheet name="KSM-4 p10 - Uncollectible" sheetId="10" r:id="rId15"/>
    <sheet name="KSM-4 p11 - Working Cap" sheetId="11" r:id="rId16"/>
    <sheet name="KSM-4 p12 - Marketing" sheetId="13" r:id="rId17"/>
    <sheet name="KSM-4 p13 - Claims" sheetId="17" r:id="rId18"/>
    <sheet name="KSM-4 p14 - Rate Case Exp" sheetId="40" r:id="rId19"/>
    <sheet name="KSM-4 p15 - Clearing" sheetId="6" r:id="rId20"/>
    <sheet name="KSM-4 p16 - Payroll 1" sheetId="35" r:id="rId21"/>
    <sheet name="KSM-4 p17 - Payroll 2" sheetId="51" r:id="rId22"/>
    <sheet name="KSM-4 p18 - Pay Overheads" sheetId="36" r:id="rId23"/>
    <sheet name="KSM-4 p19 - Depreciation" sheetId="44" r:id="rId24"/>
    <sheet name="KSM-4 p20 - Post TY Capital" sheetId="57" r:id="rId25"/>
    <sheet name="KSM-4 p21 - EDIT Amort" sheetId="59" r:id="rId26"/>
    <sheet name="KSM-4 p22 - Holdco" sheetId="61" r:id="rId27"/>
    <sheet name="KSM-4 p23 - Director" sheetId="62" r:id="rId28"/>
    <sheet name="WP - Deferred Tax" sheetId="60" r:id="rId29"/>
    <sheet name="WP - Other Rev &amp; Tax" sheetId="42" r:id="rId30"/>
  </sheets>
  <definedNames>
    <definedName name="_MailEndCompose" localSheetId="12">'KSM-4 p8 - Bonuses'!#REF!</definedName>
    <definedName name="_PG3">#N/A</definedName>
    <definedName name="calcsheet1">#N/A</definedName>
    <definedName name="calcsheet2">#N/A</definedName>
    <definedName name="calcsheet3">#N/A</definedName>
    <definedName name="casepg1">#N/A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0">'KSM-2 p1 - Rev Req'!$A$1:$G$40</definedName>
    <definedName name="_xlnm.Print_Area" localSheetId="1">'KSM-3 p1 - Test Year Results'!$A$1:$E$41</definedName>
    <definedName name="_xlnm.Print_Area" localSheetId="2">'KSM-3 p2 &amp; p3 - O&amp;M'!$A$1:$G$112</definedName>
    <definedName name="_xlnm.Print_Area" localSheetId="3">'KSM-3 p4 - Factors'!$A$1:$D$26</definedName>
    <definedName name="_xlnm.Print_Area" localSheetId="4">'KSM-3 p5 - Taxes'!$A$1:$C$27</definedName>
    <definedName name="_xlnm.Print_Area" localSheetId="5">'KSM-3 p6 &amp; p7 - AMA Rate Base'!$A$1:$Q$92</definedName>
    <definedName name="_xlnm.Print_Area" localSheetId="6">'KSM-3 p8 - Cost of Cap'!$A$1:$E$44</definedName>
    <definedName name="_xlnm.Print_Area" localSheetId="14">'KSM-4 p10 - Uncollectible'!$A$1:$F$48</definedName>
    <definedName name="_xlnm.Print_Area" localSheetId="15">'KSM-4 p11 - Working Cap'!$A$1:$D$59</definedName>
    <definedName name="_xlnm.Print_Area" localSheetId="17">'KSM-4 p13 - Claims'!$A$1:$E$32</definedName>
    <definedName name="_xlnm.Print_Area" localSheetId="18">'KSM-4 p14 - Rate Case Exp'!$A$1:$C$21</definedName>
    <definedName name="_xlnm.Print_Area" localSheetId="19">'KSM-4 p15 - Clearing'!$A$1:$D$12</definedName>
    <definedName name="_xlnm.Print_Area" localSheetId="20">'KSM-4 p16 - Payroll 1'!$A$1:$F$44</definedName>
    <definedName name="_xlnm.Print_Area" localSheetId="21">'KSM-4 p17 - Payroll 2'!$A$1:$E$39</definedName>
    <definedName name="_xlnm.Print_Area" localSheetId="22">'KSM-4 p18 - Pay Overheads'!$A$1:$E$43</definedName>
    <definedName name="_xlnm.Print_Area" localSheetId="23">'KSM-4 p19 - Depreciation'!$A$1:$C$15</definedName>
    <definedName name="_xlnm.Print_Area" localSheetId="8">'KSM-4 p2 &amp; p3 - Adjust Issues'!$A$1:$V$49</definedName>
    <definedName name="_xlnm.Print_Area" localSheetId="27">'KSM-4 p23 - Director'!$A$1:$C$15</definedName>
    <definedName name="_xlnm.Print_Area" localSheetId="9">'KSM-4 p4 &amp; p5 - Adjust Tax'!$A$1:$V$28</definedName>
    <definedName name="_xlnm.Print_Area" localSheetId="10">'KSM-4 p6 - Revenue &amp; Gas Cost'!$A$1:$K$37</definedName>
    <definedName name="_xlnm.Print_Area" localSheetId="11">'KSM-4 p7 - Misc Rev Adjs'!$A$1:$E$35</definedName>
    <definedName name="_xlnm.Print_Area" localSheetId="12">'KSM-4 p8 - Bonuses'!$A$1:$H$33</definedName>
    <definedName name="_xlnm.Print_Area" localSheetId="28">'WP - Deferred Tax'!$A$1:$I$33</definedName>
    <definedName name="_xlnm.Print_Area" localSheetId="29">'WP - Other Rev &amp; Tax'!$A$1:$H$49</definedName>
    <definedName name="_xlnm.Print_Titles" localSheetId="2">'KSM-3 p2 &amp; p3 - O&amp;M'!$1:$6</definedName>
    <definedName name="_xlnm.Print_Titles" localSheetId="5">'KSM-3 p6 &amp; p7 - AMA Rate Base'!$1:$6</definedName>
    <definedName name="_xlnm.Print_Titles" localSheetId="8">'KSM-4 p2 &amp; p3 - Adjust Issues'!$A:$B</definedName>
    <definedName name="_xlnm.Print_Titles" localSheetId="9">'KSM-4 p4 &amp; p5 - Adjust Tax'!$A:$B</definedName>
    <definedName name="print55">#REF!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G28" i="42" l="1"/>
  <c r="F28" i="42"/>
  <c r="F21" i="42"/>
  <c r="Q74" i="46" l="1"/>
  <c r="Q77" i="46" s="1"/>
  <c r="P77" i="46"/>
  <c r="W43" i="46" l="1"/>
  <c r="W42" i="46"/>
  <c r="L12" i="30" l="1"/>
  <c r="E23" i="42" l="1"/>
  <c r="C10" i="44" l="1"/>
  <c r="D83" i="46" l="1"/>
  <c r="F35" i="63" l="1"/>
  <c r="F27" i="63"/>
  <c r="F29" i="63"/>
  <c r="C19" i="63"/>
  <c r="D19" i="63"/>
  <c r="E19" i="63"/>
  <c r="F19" i="63"/>
  <c r="G19" i="63"/>
  <c r="F21" i="63"/>
  <c r="D14" i="63"/>
  <c r="E14" i="63"/>
  <c r="F14" i="63"/>
  <c r="G14" i="63"/>
  <c r="C14" i="63"/>
  <c r="D13" i="63"/>
  <c r="E13" i="63"/>
  <c r="F13" i="63"/>
  <c r="G13" i="63"/>
  <c r="C13" i="63"/>
  <c r="D12" i="63"/>
  <c r="D16" i="63" s="1"/>
  <c r="E12" i="63"/>
  <c r="C12" i="63"/>
  <c r="G40" i="63"/>
  <c r="G38" i="63"/>
  <c r="G7" i="63"/>
  <c r="A3" i="63"/>
  <c r="E16" i="63" l="1"/>
  <c r="C16" i="63"/>
  <c r="G108" i="53"/>
  <c r="F108" i="53"/>
  <c r="R24" i="26" l="1"/>
  <c r="R30" i="26"/>
  <c r="R37" i="26"/>
  <c r="R40" i="26"/>
  <c r="C36" i="1"/>
  <c r="I31" i="23"/>
  <c r="I17" i="23"/>
  <c r="C21" i="1"/>
  <c r="D23" i="49" l="1"/>
  <c r="D22" i="49"/>
  <c r="D21" i="49"/>
  <c r="D11" i="49"/>
  <c r="D12" i="49"/>
  <c r="D13" i="49"/>
  <c r="D10" i="49"/>
  <c r="K17" i="49" l="1"/>
  <c r="U44" i="26" l="1"/>
  <c r="U43" i="26"/>
  <c r="U42" i="26"/>
  <c r="U38" i="26"/>
  <c r="U28" i="26"/>
  <c r="U21" i="26"/>
  <c r="U20" i="26"/>
  <c r="U15" i="26"/>
  <c r="U14" i="26"/>
  <c r="U13" i="26"/>
  <c r="S13" i="52"/>
  <c r="T13" i="52"/>
  <c r="S17" i="26"/>
  <c r="S11" i="52" s="1"/>
  <c r="T17" i="26"/>
  <c r="T11" i="52" s="1"/>
  <c r="S40" i="26"/>
  <c r="S47" i="26" s="1"/>
  <c r="T40" i="26"/>
  <c r="T47" i="26"/>
  <c r="A14" i="61"/>
  <c r="A15" i="61" s="1"/>
  <c r="A17" i="61" s="1"/>
  <c r="H25" i="61"/>
  <c r="C14" i="61" s="1"/>
  <c r="C15" i="61" s="1"/>
  <c r="C13" i="62"/>
  <c r="C15" i="62" s="1"/>
  <c r="T22" i="26" s="1"/>
  <c r="T24" i="26" s="1"/>
  <c r="T12" i="52" s="1"/>
  <c r="A13" i="62"/>
  <c r="A1" i="62"/>
  <c r="A12" i="61"/>
  <c r="A1" i="61"/>
  <c r="H20" i="61"/>
  <c r="C11" i="61" s="1"/>
  <c r="C12" i="61" s="1"/>
  <c r="C17" i="61" l="1"/>
  <c r="S22" i="26" s="1"/>
  <c r="S24" i="26" s="1"/>
  <c r="S12" i="52" s="1"/>
  <c r="Q39" i="46" l="1"/>
  <c r="D10" i="60" l="1"/>
  <c r="E10" i="60"/>
  <c r="P41" i="46"/>
  <c r="P43" i="46" s="1"/>
  <c r="D18" i="60"/>
  <c r="D9" i="60" s="1"/>
  <c r="E9" i="60" s="1"/>
  <c r="D41" i="46" l="1"/>
  <c r="D43" i="46" s="1"/>
  <c r="Q47" i="46"/>
  <c r="Q41" i="46" l="1"/>
  <c r="E41" i="46"/>
  <c r="G28" i="60"/>
  <c r="G30" i="60" s="1"/>
  <c r="D20" i="60"/>
  <c r="E43" i="46" l="1"/>
  <c r="F41" i="46"/>
  <c r="Q46" i="46"/>
  <c r="Q43" i="46"/>
  <c r="C21" i="23"/>
  <c r="G41" i="46" l="1"/>
  <c r="F43" i="46"/>
  <c r="C14" i="59"/>
  <c r="H41" i="46" l="1"/>
  <c r="G43" i="46"/>
  <c r="C16" i="59"/>
  <c r="R17" i="26"/>
  <c r="R11" i="52" s="1"/>
  <c r="R12" i="52"/>
  <c r="R13" i="52"/>
  <c r="A1" i="59"/>
  <c r="D25" i="23"/>
  <c r="C25" i="23" s="1"/>
  <c r="C41" i="23"/>
  <c r="I41" i="46" l="1"/>
  <c r="H43" i="46"/>
  <c r="R45" i="26"/>
  <c r="U45" i="26" s="1"/>
  <c r="L19" i="36"/>
  <c r="M7" i="36"/>
  <c r="M8" i="36"/>
  <c r="M9" i="36"/>
  <c r="M10" i="36"/>
  <c r="M11" i="36"/>
  <c r="M12" i="36"/>
  <c r="M13" i="36"/>
  <c r="M14" i="36"/>
  <c r="M15" i="36"/>
  <c r="M16" i="36"/>
  <c r="M17" i="36"/>
  <c r="M6" i="36"/>
  <c r="M19" i="36" s="1"/>
  <c r="J41" i="46" l="1"/>
  <c r="I43" i="46"/>
  <c r="R47" i="26"/>
  <c r="G26" i="42"/>
  <c r="K41" i="46" l="1"/>
  <c r="J43" i="46"/>
  <c r="C39" i="35"/>
  <c r="L41" i="46" l="1"/>
  <c r="K43" i="46"/>
  <c r="Q82" i="46"/>
  <c r="M41" i="46" l="1"/>
  <c r="L43" i="46"/>
  <c r="G25" i="42"/>
  <c r="N41" i="46" l="1"/>
  <c r="M43" i="46"/>
  <c r="C36" i="35"/>
  <c r="O41" i="46" l="1"/>
  <c r="O43" i="46" s="1"/>
  <c r="N43" i="46"/>
  <c r="C29" i="21"/>
  <c r="C29" i="63" s="1"/>
  <c r="C30" i="1"/>
  <c r="R25" i="48" l="1"/>
  <c r="R18" i="48"/>
  <c r="R24" i="48"/>
  <c r="R23" i="48"/>
  <c r="R22" i="48"/>
  <c r="R21" i="48"/>
  <c r="R20" i="48"/>
  <c r="R19" i="48"/>
  <c r="P25" i="48"/>
  <c r="E16" i="42" s="1"/>
  <c r="P24" i="48"/>
  <c r="E15" i="42" s="1"/>
  <c r="P23" i="48"/>
  <c r="E14" i="42" s="1"/>
  <c r="P22" i="48"/>
  <c r="E13" i="42" s="1"/>
  <c r="P21" i="48"/>
  <c r="E12" i="42" s="1"/>
  <c r="P20" i="48"/>
  <c r="E11" i="42" s="1"/>
  <c r="P18" i="48"/>
  <c r="E9" i="42" s="1"/>
  <c r="P19" i="48"/>
  <c r="Q21" i="48" l="1"/>
  <c r="F12" i="42" s="1"/>
  <c r="Q20" i="48"/>
  <c r="F11" i="42" s="1"/>
  <c r="Q24" i="48"/>
  <c r="F15" i="42" s="1"/>
  <c r="P26" i="48"/>
  <c r="Q23" i="48"/>
  <c r="F14" i="42" s="1"/>
  <c r="G14" i="42" s="1"/>
  <c r="G11" i="42"/>
  <c r="G15" i="42"/>
  <c r="Q19" i="48"/>
  <c r="F10" i="42" s="1"/>
  <c r="G12" i="42"/>
  <c r="E10" i="42"/>
  <c r="Q18" i="48"/>
  <c r="F9" i="42" s="1"/>
  <c r="Q22" i="48"/>
  <c r="F13" i="42" s="1"/>
  <c r="G13" i="42" s="1"/>
  <c r="R26" i="48"/>
  <c r="Q25" i="48"/>
  <c r="Q26" i="48" l="1"/>
  <c r="F16" i="42"/>
  <c r="G16" i="42" s="1"/>
  <c r="G10" i="42"/>
  <c r="C21" i="40" l="1"/>
  <c r="C11" i="40" s="1"/>
  <c r="K25" i="6"/>
  <c r="I26" i="6"/>
  <c r="J26" i="6"/>
  <c r="H26" i="6"/>
  <c r="H19" i="6"/>
  <c r="I19" i="6"/>
  <c r="J19" i="6"/>
  <c r="H20" i="6"/>
  <c r="I20" i="6"/>
  <c r="J20" i="6"/>
  <c r="H21" i="6"/>
  <c r="I21" i="6"/>
  <c r="J21" i="6"/>
  <c r="H22" i="6"/>
  <c r="I22" i="6"/>
  <c r="J22" i="6"/>
  <c r="H23" i="6"/>
  <c r="I23" i="6"/>
  <c r="J23" i="6"/>
  <c r="H24" i="6"/>
  <c r="I24" i="6"/>
  <c r="J24" i="6"/>
  <c r="I18" i="6"/>
  <c r="J18" i="6"/>
  <c r="H18" i="6"/>
  <c r="J44" i="6"/>
  <c r="J43" i="6"/>
  <c r="J36" i="6"/>
  <c r="J37" i="6" s="1"/>
  <c r="J38" i="6" s="1"/>
  <c r="J39" i="6" s="1"/>
  <c r="J40" i="6" s="1"/>
  <c r="J41" i="6" s="1"/>
  <c r="J42" i="6" s="1"/>
  <c r="J14" i="6"/>
  <c r="H14" i="6"/>
  <c r="G14" i="6"/>
  <c r="I13" i="6"/>
  <c r="K13" i="6" s="1"/>
  <c r="H44" i="6" s="1"/>
  <c r="I12" i="6"/>
  <c r="K12" i="6" s="1"/>
  <c r="H43" i="6" s="1"/>
  <c r="I11" i="6"/>
  <c r="K11" i="6" s="1"/>
  <c r="H42" i="6" s="1"/>
  <c r="I10" i="6"/>
  <c r="K10" i="6" s="1"/>
  <c r="H41" i="6" s="1"/>
  <c r="I9" i="6"/>
  <c r="K9" i="6" s="1"/>
  <c r="H40" i="6" s="1"/>
  <c r="I8" i="6"/>
  <c r="K8" i="6" s="1"/>
  <c r="H39" i="6" s="1"/>
  <c r="I7" i="6"/>
  <c r="K7" i="6" s="1"/>
  <c r="H38" i="6" s="1"/>
  <c r="I6" i="6"/>
  <c r="K6" i="6" s="1"/>
  <c r="H37" i="6" s="1"/>
  <c r="I5" i="6"/>
  <c r="K5" i="6" s="1"/>
  <c r="H36" i="6" s="1"/>
  <c r="K40" i="6" l="1"/>
  <c r="G55" i="6" s="1"/>
  <c r="K38" i="6"/>
  <c r="G53" i="6" s="1"/>
  <c r="K42" i="6"/>
  <c r="G57" i="6" s="1"/>
  <c r="K39" i="6"/>
  <c r="K43" i="6"/>
  <c r="H45" i="6"/>
  <c r="K36" i="6"/>
  <c r="K44" i="6"/>
  <c r="G59" i="6" s="1"/>
  <c r="K37" i="6"/>
  <c r="G52" i="6" s="1"/>
  <c r="K41" i="6"/>
  <c r="G56" i="6" s="1"/>
  <c r="K21" i="6"/>
  <c r="K24" i="6"/>
  <c r="K20" i="6"/>
  <c r="K22" i="6"/>
  <c r="K18" i="6"/>
  <c r="K23" i="6"/>
  <c r="K19" i="6"/>
  <c r="K26" i="6"/>
  <c r="I14" i="6"/>
  <c r="G54" i="6"/>
  <c r="G58" i="6"/>
  <c r="K14" i="6"/>
  <c r="G51" i="6"/>
  <c r="H55" i="6" l="1"/>
  <c r="I55" i="6"/>
  <c r="J55" i="6"/>
  <c r="H58" i="6"/>
  <c r="I58" i="6"/>
  <c r="J58" i="6"/>
  <c r="I53" i="6"/>
  <c r="J53" i="6"/>
  <c r="H53" i="6"/>
  <c r="I56" i="6"/>
  <c r="H56" i="6"/>
  <c r="J56" i="6"/>
  <c r="K59" i="6"/>
  <c r="H59" i="6"/>
  <c r="I59" i="6"/>
  <c r="J59" i="6"/>
  <c r="G60" i="6"/>
  <c r="I51" i="6"/>
  <c r="H51" i="6"/>
  <c r="J51" i="6"/>
  <c r="H54" i="6"/>
  <c r="I54" i="6"/>
  <c r="J54" i="6"/>
  <c r="I57" i="6"/>
  <c r="J57" i="6"/>
  <c r="H57" i="6"/>
  <c r="I52" i="6"/>
  <c r="H52" i="6"/>
  <c r="J52" i="6"/>
  <c r="K45" i="6"/>
  <c r="H60" i="6" l="1"/>
  <c r="I60" i="6"/>
  <c r="J60" i="6"/>
  <c r="Q30" i="26" l="1"/>
  <c r="Q37" i="26"/>
  <c r="U37" i="26" s="1"/>
  <c r="A11" i="57"/>
  <c r="A1" i="57"/>
  <c r="C20" i="1" l="1"/>
  <c r="C19" i="1"/>
  <c r="A1" i="17" l="1"/>
  <c r="E15" i="49"/>
  <c r="C15" i="49"/>
  <c r="C20" i="21" l="1"/>
  <c r="D20" i="13"/>
  <c r="E20" i="13" s="1"/>
  <c r="C21" i="21" l="1"/>
  <c r="C21" i="63" s="1"/>
  <c r="C20" i="63"/>
  <c r="C23" i="63" s="1"/>
  <c r="K40" i="36"/>
  <c r="K38" i="36"/>
  <c r="F35" i="51" l="1"/>
  <c r="K19" i="36"/>
  <c r="G9" i="42" l="1"/>
  <c r="G18" i="42" s="1"/>
  <c r="C14" i="1" s="1"/>
  <c r="G22" i="42"/>
  <c r="G24" i="42"/>
  <c r="G27" i="42"/>
  <c r="H25" i="30" l="1"/>
  <c r="Q18" i="30"/>
  <c r="O17" i="30" s="1"/>
  <c r="K30" i="30"/>
  <c r="K29" i="30"/>
  <c r="K31" i="30" s="1"/>
  <c r="D22" i="30"/>
  <c r="C22" i="30"/>
  <c r="L30" i="30" l="1"/>
  <c r="O18" i="30"/>
  <c r="L29" i="30"/>
  <c r="G11" i="30" s="1"/>
  <c r="E33" i="49"/>
  <c r="E32" i="49"/>
  <c r="E31" i="49"/>
  <c r="M29" i="30" l="1"/>
  <c r="G13" i="30" s="1"/>
  <c r="M30" i="30"/>
  <c r="G20" i="30" s="1"/>
  <c r="G18" i="30"/>
  <c r="E35" i="49"/>
  <c r="C19" i="21" s="1"/>
  <c r="A11" i="49"/>
  <c r="A12" i="49" s="1"/>
  <c r="A13" i="49" s="1"/>
  <c r="A15" i="49" s="1"/>
  <c r="A17" i="49" s="1"/>
  <c r="A18" i="49" s="1"/>
  <c r="A21" i="49" s="1"/>
  <c r="A22" i="49" s="1"/>
  <c r="A23" i="49" s="1"/>
  <c r="A25" i="49" s="1"/>
  <c r="A27" i="49" s="1"/>
  <c r="A31" i="49" s="1"/>
  <c r="A32" i="49" s="1"/>
  <c r="A33" i="49" s="1"/>
  <c r="A35" i="49" s="1"/>
  <c r="A37" i="49" s="1"/>
  <c r="C25" i="49"/>
  <c r="E25" i="49"/>
  <c r="K25" i="49" s="1"/>
  <c r="C14" i="26" s="1"/>
  <c r="C13" i="21" l="1"/>
  <c r="K15" i="49"/>
  <c r="C12" i="21"/>
  <c r="E27" i="49"/>
  <c r="K35" i="49"/>
  <c r="C20" i="26" s="1"/>
  <c r="L8" i="30"/>
  <c r="K24" i="30"/>
  <c r="K25" i="30"/>
  <c r="K26" i="30" l="1"/>
  <c r="L24" i="30"/>
  <c r="E11" i="30" s="1"/>
  <c r="F11" i="30" s="1"/>
  <c r="L25" i="30"/>
  <c r="E18" i="30" s="1"/>
  <c r="F18" i="30" s="1"/>
  <c r="C13" i="26"/>
  <c r="C21" i="26" s="1"/>
  <c r="E37" i="49"/>
  <c r="K27" i="49"/>
  <c r="M25" i="30" l="1"/>
  <c r="E20" i="30" s="1"/>
  <c r="M24" i="30"/>
  <c r="E13" i="30" s="1"/>
  <c r="E22" i="30" s="1"/>
  <c r="C14" i="44"/>
  <c r="P30" i="26" s="1"/>
  <c r="U30" i="26" s="1"/>
  <c r="G22" i="30" l="1"/>
  <c r="F13" i="30"/>
  <c r="E21" i="17"/>
  <c r="D21" i="17"/>
  <c r="A31" i="35" l="1"/>
  <c r="A27" i="35"/>
  <c r="A29" i="35" s="1"/>
  <c r="A14" i="35"/>
  <c r="A15" i="35"/>
  <c r="A16" i="35" s="1"/>
  <c r="A17" i="35" s="1"/>
  <c r="A19" i="35" s="1"/>
  <c r="A21" i="35" s="1"/>
  <c r="A23" i="35" s="1"/>
  <c r="A25" i="35" s="1"/>
  <c r="A13" i="35"/>
  <c r="A12" i="35"/>
  <c r="C29" i="35"/>
  <c r="A12" i="52" l="1"/>
  <c r="A13" i="52" s="1"/>
  <c r="A14" i="52" s="1"/>
  <c r="A15" i="52" s="1"/>
  <c r="A17" i="52" s="1"/>
  <c r="A19" i="52" s="1"/>
  <c r="A20" i="52" s="1"/>
  <c r="A22" i="52" s="1"/>
  <c r="A24" i="52" s="1"/>
  <c r="A25" i="52" s="1"/>
  <c r="A26" i="52" s="1"/>
  <c r="A28" i="52" s="1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17" i="48"/>
  <c r="C33" i="48" l="1"/>
  <c r="D33" i="48"/>
  <c r="E29" i="48"/>
  <c r="E25" i="48"/>
  <c r="E21" i="48"/>
  <c r="E31" i="48"/>
  <c r="E27" i="48"/>
  <c r="E23" i="48"/>
  <c r="E19" i="48"/>
  <c r="E28" i="48"/>
  <c r="E24" i="48"/>
  <c r="E20" i="48"/>
  <c r="E30" i="48"/>
  <c r="E26" i="48"/>
  <c r="E22" i="48"/>
  <c r="E18" i="48"/>
  <c r="C27" i="21" l="1"/>
  <c r="C27" i="63" s="1"/>
  <c r="E34" i="46" l="1"/>
  <c r="F34" i="46"/>
  <c r="G34" i="46"/>
  <c r="H34" i="46"/>
  <c r="I34" i="46"/>
  <c r="J34" i="46"/>
  <c r="K34" i="46"/>
  <c r="L34" i="46"/>
  <c r="M34" i="46"/>
  <c r="N34" i="46"/>
  <c r="O34" i="46"/>
  <c r="P34" i="46"/>
  <c r="D34" i="46"/>
  <c r="F77" i="46" l="1"/>
  <c r="J77" i="46"/>
  <c r="N77" i="46"/>
  <c r="E77" i="46"/>
  <c r="G77" i="46"/>
  <c r="H77" i="46"/>
  <c r="I77" i="46"/>
  <c r="K77" i="46"/>
  <c r="L77" i="46"/>
  <c r="M77" i="46"/>
  <c r="O77" i="46"/>
  <c r="Q67" i="46"/>
  <c r="Q68" i="46"/>
  <c r="Q69" i="46"/>
  <c r="Q70" i="46"/>
  <c r="Q71" i="46"/>
  <c r="Q72" i="46"/>
  <c r="Q73" i="46"/>
  <c r="Q75" i="46"/>
  <c r="D77" i="46"/>
  <c r="Q58" i="46"/>
  <c r="Q59" i="46"/>
  <c r="Q60" i="46"/>
  <c r="Q61" i="46"/>
  <c r="Q54" i="46"/>
  <c r="Q55" i="46"/>
  <c r="Q56" i="46"/>
  <c r="Q57" i="46"/>
  <c r="Q52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D63" i="46"/>
  <c r="Q24" i="46"/>
  <c r="Q25" i="46"/>
  <c r="Q27" i="46"/>
  <c r="Q29" i="46"/>
  <c r="Q31" i="46"/>
  <c r="Q32" i="46"/>
  <c r="Q23" i="46"/>
  <c r="Q28" i="46"/>
  <c r="E6" i="46"/>
  <c r="F6" i="46" s="1"/>
  <c r="G6" i="46" s="1"/>
  <c r="I6" i="46" s="1"/>
  <c r="J6" i="46" s="1"/>
  <c r="K6" i="46" s="1"/>
  <c r="L6" i="46" s="1"/>
  <c r="M6" i="46" s="1"/>
  <c r="N6" i="46" s="1"/>
  <c r="O6" i="46" s="1"/>
  <c r="P6" i="46" s="1"/>
  <c r="Q16" i="46"/>
  <c r="Q9" i="46"/>
  <c r="Q66" i="46" l="1"/>
  <c r="Q30" i="46"/>
  <c r="Q26" i="46"/>
  <c r="W40" i="46" l="1"/>
  <c r="Q34" i="46"/>
  <c r="D17" i="23"/>
  <c r="C17" i="23" s="1"/>
  <c r="H29" i="30"/>
  <c r="D30" i="22" l="1"/>
  <c r="D13" i="60" s="1"/>
  <c r="H27" i="60" s="1"/>
  <c r="G27" i="60" s="1"/>
  <c r="G33" i="60" s="1"/>
  <c r="D5" i="60" s="1"/>
  <c r="E5" i="60" s="1"/>
  <c r="P84" i="46" s="1"/>
  <c r="P86" i="46" s="1"/>
  <c r="C38" i="10"/>
  <c r="D21" i="60" l="1"/>
  <c r="D4" i="60" s="1"/>
  <c r="E4" i="60" s="1"/>
  <c r="D84" i="46" s="1"/>
  <c r="E84" i="46" s="1"/>
  <c r="D10" i="51"/>
  <c r="E10" i="51"/>
  <c r="F10" i="51" l="1"/>
  <c r="Q84" i="46"/>
  <c r="D86" i="46"/>
  <c r="F84" i="46"/>
  <c r="E86" i="46"/>
  <c r="E10" i="35"/>
  <c r="E25" i="35" s="1"/>
  <c r="F10" i="35"/>
  <c r="F25" i="35" s="1"/>
  <c r="D10" i="35"/>
  <c r="D25" i="35" s="1"/>
  <c r="F14" i="51"/>
  <c r="C40" i="10"/>
  <c r="C36" i="10"/>
  <c r="C35" i="10"/>
  <c r="C34" i="10"/>
  <c r="C33" i="10"/>
  <c r="C42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2" i="10"/>
  <c r="F29" i="10" s="1"/>
  <c r="E22" i="10"/>
  <c r="E29" i="10" s="1"/>
  <c r="D22" i="10"/>
  <c r="D29" i="10" s="1"/>
  <c r="C21" i="10"/>
  <c r="C28" i="10" s="1"/>
  <c r="C20" i="10"/>
  <c r="C27" i="10" s="1"/>
  <c r="C19" i="10"/>
  <c r="C26" i="10" s="1"/>
  <c r="C18" i="10"/>
  <c r="C25" i="10" s="1"/>
  <c r="C32" i="10" s="1"/>
  <c r="F15" i="10"/>
  <c r="E15" i="10"/>
  <c r="D15" i="10"/>
  <c r="C14" i="10"/>
  <c r="C13" i="10"/>
  <c r="C12" i="10"/>
  <c r="C11" i="10"/>
  <c r="C15" i="10" s="1"/>
  <c r="E7" i="10"/>
  <c r="F7" i="10" s="1"/>
  <c r="G84" i="46" l="1"/>
  <c r="F86" i="46"/>
  <c r="C44" i="10"/>
  <c r="C22" i="10"/>
  <c r="C29" i="10" s="1"/>
  <c r="C48" i="10" s="1"/>
  <c r="H84" i="46" l="1"/>
  <c r="G86" i="46"/>
  <c r="C25" i="35"/>
  <c r="C34" i="36" s="1"/>
  <c r="C10" i="35"/>
  <c r="I84" i="46" l="1"/>
  <c r="H86" i="46"/>
  <c r="J84" i="46" l="1"/>
  <c r="I86" i="46"/>
  <c r="Q11" i="46"/>
  <c r="Q12" i="46"/>
  <c r="Q13" i="46"/>
  <c r="Q14" i="46"/>
  <c r="Q15" i="46"/>
  <c r="Q17" i="46"/>
  <c r="Q18" i="46"/>
  <c r="Q36" i="46"/>
  <c r="Q37" i="46"/>
  <c r="Q38" i="46"/>
  <c r="Q53" i="46"/>
  <c r="Q63" i="46" s="1"/>
  <c r="Q79" i="46"/>
  <c r="Q80" i="46"/>
  <c r="Q81" i="46"/>
  <c r="Q10" i="46"/>
  <c r="W39" i="46" l="1"/>
  <c r="Q95" i="46"/>
  <c r="Q86" i="46"/>
  <c r="K84" i="46"/>
  <c r="J86" i="46"/>
  <c r="Q20" i="46"/>
  <c r="Q45" i="46" s="1"/>
  <c r="L84" i="46" l="1"/>
  <c r="K86" i="46"/>
  <c r="Q48" i="46"/>
  <c r="M84" i="46" l="1"/>
  <c r="L86" i="46"/>
  <c r="C27" i="49"/>
  <c r="N84" i="46" l="1"/>
  <c r="M86" i="46"/>
  <c r="C17" i="26"/>
  <c r="A3" i="26"/>
  <c r="A2" i="10" s="1"/>
  <c r="A3" i="46"/>
  <c r="A13" i="36"/>
  <c r="A15" i="36" s="1"/>
  <c r="A20" i="36" s="1"/>
  <c r="A22" i="36" s="1"/>
  <c r="A24" i="36" s="1"/>
  <c r="D15" i="36"/>
  <c r="C32" i="52"/>
  <c r="Q17" i="26"/>
  <c r="Q11" i="52" s="1"/>
  <c r="Q24" i="26"/>
  <c r="Q12" i="52" s="1"/>
  <c r="Q40" i="26"/>
  <c r="Q47" i="26" s="1"/>
  <c r="P17" i="26"/>
  <c r="P11" i="52" s="1"/>
  <c r="P24" i="26"/>
  <c r="P12" i="52" s="1"/>
  <c r="P13" i="52"/>
  <c r="P40" i="26"/>
  <c r="P47" i="26" s="1"/>
  <c r="O17" i="26"/>
  <c r="O11" i="52" s="1"/>
  <c r="O13" i="52"/>
  <c r="O40" i="26"/>
  <c r="O47" i="26" s="1"/>
  <c r="N17" i="26"/>
  <c r="N13" i="52"/>
  <c r="N40" i="26"/>
  <c r="N47" i="26" s="1"/>
  <c r="L17" i="26"/>
  <c r="L11" i="52" s="1"/>
  <c r="L13" i="52"/>
  <c r="K17" i="26"/>
  <c r="K11" i="52" s="1"/>
  <c r="K13" i="52"/>
  <c r="K40" i="26"/>
  <c r="K47" i="26" s="1"/>
  <c r="J17" i="26"/>
  <c r="J11" i="52" s="1"/>
  <c r="J13" i="52"/>
  <c r="I17" i="26"/>
  <c r="I11" i="52" s="1"/>
  <c r="I13" i="52"/>
  <c r="I40" i="26"/>
  <c r="I47" i="26" s="1"/>
  <c r="H17" i="26"/>
  <c r="H24" i="26"/>
  <c r="H12" i="52" s="1"/>
  <c r="H13" i="52"/>
  <c r="G17" i="26"/>
  <c r="G11" i="52" s="1"/>
  <c r="G13" i="52"/>
  <c r="G40" i="26"/>
  <c r="G47" i="26" s="1"/>
  <c r="F17" i="26"/>
  <c r="F11" i="52" s="1"/>
  <c r="F24" i="26"/>
  <c r="C11" i="47"/>
  <c r="F13" i="52"/>
  <c r="F40" i="26"/>
  <c r="F47" i="26" s="1"/>
  <c r="E17" i="26"/>
  <c r="E11" i="52" s="1"/>
  <c r="E13" i="52"/>
  <c r="E17" i="48"/>
  <c r="E33" i="48" s="1"/>
  <c r="D24" i="26"/>
  <c r="D13" i="52"/>
  <c r="D40" i="26"/>
  <c r="D47" i="26" s="1"/>
  <c r="M20" i="26"/>
  <c r="C13" i="52"/>
  <c r="C40" i="26"/>
  <c r="C47" i="26" s="1"/>
  <c r="Q13" i="52"/>
  <c r="E36" i="51"/>
  <c r="E12" i="51" s="1"/>
  <c r="E17" i="51" s="1"/>
  <c r="D36" i="51"/>
  <c r="D12" i="51" s="1"/>
  <c r="D17" i="51" s="1"/>
  <c r="C36" i="51"/>
  <c r="F36" i="51" s="1"/>
  <c r="M38" i="26"/>
  <c r="M42" i="26"/>
  <c r="M43" i="26"/>
  <c r="M44" i="26"/>
  <c r="E12" i="1"/>
  <c r="E13" i="1"/>
  <c r="E30" i="1"/>
  <c r="M14" i="26"/>
  <c r="E11" i="25"/>
  <c r="E13" i="25"/>
  <c r="E10" i="13"/>
  <c r="E12" i="25"/>
  <c r="D48" i="21"/>
  <c r="C13" i="40"/>
  <c r="K22" i="26" s="1"/>
  <c r="K24" i="26" s="1"/>
  <c r="E11" i="48"/>
  <c r="E10" i="48"/>
  <c r="E16" i="17"/>
  <c r="E18" i="17" s="1"/>
  <c r="A11" i="48"/>
  <c r="A13" i="48" s="1"/>
  <c r="A17" i="48" s="1"/>
  <c r="A18" i="48" s="1"/>
  <c r="A19" i="48" s="1"/>
  <c r="A20" i="48" s="1"/>
  <c r="A21" i="48" s="1"/>
  <c r="A22" i="48" s="1"/>
  <c r="A23" i="48" s="1"/>
  <c r="A3" i="48"/>
  <c r="A2" i="48"/>
  <c r="A1" i="48"/>
  <c r="C13" i="48"/>
  <c r="D13" i="48"/>
  <c r="D35" i="48" s="1"/>
  <c r="A1" i="47"/>
  <c r="E20" i="1"/>
  <c r="A10" i="42"/>
  <c r="A11" i="42" s="1"/>
  <c r="A12" i="42" s="1"/>
  <c r="A13" i="42" s="1"/>
  <c r="A14" i="42" s="1"/>
  <c r="A15" i="42" s="1"/>
  <c r="A16" i="42" s="1"/>
  <c r="A17" i="42" s="1"/>
  <c r="A18" i="42" s="1"/>
  <c r="A3" i="42"/>
  <c r="A3" i="21"/>
  <c r="H18" i="30"/>
  <c r="F20" i="30"/>
  <c r="H13" i="30"/>
  <c r="A1" i="44"/>
  <c r="C23" i="1"/>
  <c r="C16" i="1"/>
  <c r="A2" i="42"/>
  <c r="A1" i="42"/>
  <c r="C32" i="17"/>
  <c r="A2" i="26"/>
  <c r="K58" i="6"/>
  <c r="K57" i="6"/>
  <c r="K56" i="6"/>
  <c r="K55" i="6"/>
  <c r="K54" i="6"/>
  <c r="K53" i="6"/>
  <c r="K52" i="6"/>
  <c r="K51" i="6"/>
  <c r="A1" i="6"/>
  <c r="A12" i="25"/>
  <c r="A1" i="25"/>
  <c r="C15" i="25"/>
  <c r="A1" i="40"/>
  <c r="G7" i="21"/>
  <c r="C17" i="47" l="1"/>
  <c r="F28" i="26" s="1"/>
  <c r="M28" i="26" s="1"/>
  <c r="V28" i="26" s="1"/>
  <c r="D27" i="21" s="1"/>
  <c r="A2" i="61"/>
  <c r="A2" i="62"/>
  <c r="A2" i="23"/>
  <c r="A2" i="13" s="1"/>
  <c r="A2" i="6" s="1"/>
  <c r="O84" i="46"/>
  <c r="O86" i="46" s="1"/>
  <c r="N86" i="46"/>
  <c r="A2" i="59"/>
  <c r="A2" i="57"/>
  <c r="A26" i="36"/>
  <c r="A33" i="36" s="1"/>
  <c r="A34" i="36" s="1"/>
  <c r="A36" i="36" s="1"/>
  <c r="A38" i="36" s="1"/>
  <c r="A40" i="36" s="1"/>
  <c r="C35" i="48"/>
  <c r="E17" i="42"/>
  <c r="F17" i="42" s="1"/>
  <c r="F18" i="42" s="1"/>
  <c r="K60" i="6"/>
  <c r="A13" i="25"/>
  <c r="A15" i="25" s="1"/>
  <c r="A19" i="25" s="1"/>
  <c r="A20" i="25" s="1"/>
  <c r="A21" i="25" s="1"/>
  <c r="A23" i="25" s="1"/>
  <c r="A25" i="25" s="1"/>
  <c r="A26" i="25" s="1"/>
  <c r="A27" i="25" s="1"/>
  <c r="A21" i="42"/>
  <c r="A22" i="42" s="1"/>
  <c r="A23" i="42" s="1"/>
  <c r="A24" i="42" s="1"/>
  <c r="A25" i="42" s="1"/>
  <c r="A26" i="42" s="1"/>
  <c r="A27" i="42" s="1"/>
  <c r="A28" i="42" s="1"/>
  <c r="H11" i="30"/>
  <c r="H24" i="30" s="1"/>
  <c r="H26" i="30" s="1"/>
  <c r="F22" i="30"/>
  <c r="D15" i="17"/>
  <c r="D16" i="17" s="1"/>
  <c r="D18" i="17" s="1"/>
  <c r="C12" i="51"/>
  <c r="C17" i="51" s="1"/>
  <c r="C19" i="51" s="1"/>
  <c r="H20" i="30"/>
  <c r="H28" i="30" s="1"/>
  <c r="A3" i="52"/>
  <c r="A24" i="48"/>
  <c r="A25" i="48" s="1"/>
  <c r="A26" i="48" s="1"/>
  <c r="A27" i="48" s="1"/>
  <c r="A28" i="48" s="1"/>
  <c r="A29" i="48" s="1"/>
  <c r="A30" i="48" s="1"/>
  <c r="A31" i="48" s="1"/>
  <c r="A2" i="49"/>
  <c r="A2" i="25"/>
  <c r="A2" i="30"/>
  <c r="U17" i="26"/>
  <c r="V43" i="26"/>
  <c r="V38" i="26"/>
  <c r="V14" i="26"/>
  <c r="D13" i="21" s="1"/>
  <c r="E13" i="21" s="1"/>
  <c r="A2" i="35"/>
  <c r="A2" i="51" s="1"/>
  <c r="A2" i="36"/>
  <c r="C11" i="52"/>
  <c r="C29" i="26"/>
  <c r="M13" i="26"/>
  <c r="V13" i="26" s="1"/>
  <c r="D12" i="21" s="1"/>
  <c r="E12" i="21" s="1"/>
  <c r="E15" i="25"/>
  <c r="G38" i="21" s="1"/>
  <c r="G40" i="21" s="1"/>
  <c r="D12" i="6"/>
  <c r="L37" i="26" s="1"/>
  <c r="V44" i="26"/>
  <c r="C44" i="25"/>
  <c r="M30" i="26"/>
  <c r="E13" i="48"/>
  <c r="E35" i="48" s="1"/>
  <c r="A2" i="17"/>
  <c r="A2" i="40"/>
  <c r="A2" i="44"/>
  <c r="A2" i="47"/>
  <c r="E28" i="1"/>
  <c r="E21" i="1"/>
  <c r="D40" i="36"/>
  <c r="D10" i="6"/>
  <c r="L22" i="26" s="1"/>
  <c r="E19" i="1"/>
  <c r="V20" i="26"/>
  <c r="C23" i="21"/>
  <c r="C41" i="25"/>
  <c r="V42" i="26"/>
  <c r="K12" i="52"/>
  <c r="D19" i="51"/>
  <c r="E12" i="35" s="1"/>
  <c r="E13" i="35" s="1"/>
  <c r="C13" i="35" s="1"/>
  <c r="H11" i="52"/>
  <c r="E19" i="51"/>
  <c r="F12" i="35" s="1"/>
  <c r="F15" i="35" s="1"/>
  <c r="N11" i="52"/>
  <c r="E27" i="21" l="1"/>
  <c r="D27" i="63"/>
  <c r="F12" i="52"/>
  <c r="S49" i="26"/>
  <c r="S14" i="52" s="1"/>
  <c r="S17" i="52" s="1"/>
  <c r="S19" i="52" s="1"/>
  <c r="S22" i="52" s="1"/>
  <c r="S28" i="52" s="1"/>
  <c r="S27" i="26" s="1"/>
  <c r="T49" i="26"/>
  <c r="T14" i="52" s="1"/>
  <c r="T17" i="52" s="1"/>
  <c r="T19" i="52" s="1"/>
  <c r="T22" i="52" s="1"/>
  <c r="T28" i="52" s="1"/>
  <c r="T27" i="26" s="1"/>
  <c r="T36" i="52" s="1"/>
  <c r="K49" i="26"/>
  <c r="K14" i="52" s="1"/>
  <c r="K17" i="52" s="1"/>
  <c r="K19" i="52" s="1"/>
  <c r="I13" i="23"/>
  <c r="R49" i="26"/>
  <c r="R14" i="52" s="1"/>
  <c r="R17" i="52" s="1"/>
  <c r="R19" i="52" s="1"/>
  <c r="R22" i="52" s="1"/>
  <c r="R28" i="52" s="1"/>
  <c r="R27" i="26" s="1"/>
  <c r="A31" i="42"/>
  <c r="A32" i="42" s="1"/>
  <c r="A33" i="42" s="1"/>
  <c r="A34" i="42" s="1"/>
  <c r="A35" i="42" s="1"/>
  <c r="A36" i="42" s="1"/>
  <c r="A37" i="42" s="1"/>
  <c r="A38" i="42" s="1"/>
  <c r="A39" i="42" s="1"/>
  <c r="A40" i="42" s="1"/>
  <c r="A43" i="42" s="1"/>
  <c r="A44" i="42" s="1"/>
  <c r="A45" i="42" s="1"/>
  <c r="A46" i="42" s="1"/>
  <c r="A47" i="42" s="1"/>
  <c r="A48" i="42" s="1"/>
  <c r="A49" i="42" s="1"/>
  <c r="E18" i="42"/>
  <c r="C14" i="21" s="1"/>
  <c r="E14" i="1" s="1"/>
  <c r="E16" i="1" s="1"/>
  <c r="H22" i="30"/>
  <c r="C15" i="35"/>
  <c r="A33" i="48"/>
  <c r="A35" i="48" s="1"/>
  <c r="A28" i="25"/>
  <c r="A30" i="25" s="1"/>
  <c r="A31" i="25" s="1"/>
  <c r="A33" i="25" s="1"/>
  <c r="A35" i="25" s="1"/>
  <c r="A37" i="25" s="1"/>
  <c r="A39" i="25" s="1"/>
  <c r="A41" i="25" s="1"/>
  <c r="A43" i="25" s="1"/>
  <c r="A44" i="25" s="1"/>
  <c r="C25" i="25"/>
  <c r="C28" i="25" s="1"/>
  <c r="Q90" i="46"/>
  <c r="D12" i="35"/>
  <c r="C12" i="35" s="1"/>
  <c r="F19" i="51"/>
  <c r="E23" i="1"/>
  <c r="O49" i="26"/>
  <c r="O14" i="52" s="1"/>
  <c r="P49" i="26"/>
  <c r="P14" i="52" s="1"/>
  <c r="E22" i="26"/>
  <c r="E24" i="26" s="1"/>
  <c r="F49" i="26"/>
  <c r="F14" i="52" s="1"/>
  <c r="G49" i="26"/>
  <c r="G14" i="52" s="1"/>
  <c r="I49" i="26"/>
  <c r="I14" i="52" s="1"/>
  <c r="N49" i="26"/>
  <c r="N14" i="52" s="1"/>
  <c r="Q49" i="26"/>
  <c r="Q14" i="52" s="1"/>
  <c r="D49" i="26"/>
  <c r="D14" i="52" s="1"/>
  <c r="G13" i="21"/>
  <c r="D19" i="21"/>
  <c r="D15" i="26"/>
  <c r="C49" i="26"/>
  <c r="C24" i="26"/>
  <c r="G21" i="26"/>
  <c r="G24" i="26" s="1"/>
  <c r="G27" i="21" l="1"/>
  <c r="G27" i="63" s="1"/>
  <c r="E27" i="63"/>
  <c r="R32" i="26"/>
  <c r="R34" i="26" s="1"/>
  <c r="R36" i="52"/>
  <c r="S36" i="52"/>
  <c r="S32" i="26"/>
  <c r="S34" i="26" s="1"/>
  <c r="S35" i="52" s="1"/>
  <c r="S37" i="52" s="1"/>
  <c r="C16" i="21"/>
  <c r="Q89" i="46"/>
  <c r="E27" i="13"/>
  <c r="F16" i="35"/>
  <c r="Q17" i="52"/>
  <c r="P17" i="52"/>
  <c r="F17" i="52"/>
  <c r="D19" i="35"/>
  <c r="D23" i="35" s="1"/>
  <c r="E14" i="35"/>
  <c r="C14" i="35" s="1"/>
  <c r="G12" i="52"/>
  <c r="G17" i="52" s="1"/>
  <c r="G19" i="52" s="1"/>
  <c r="E23" i="17"/>
  <c r="J37" i="26" s="1"/>
  <c r="J40" i="26" s="1"/>
  <c r="J47" i="26" s="1"/>
  <c r="M21" i="26"/>
  <c r="D17" i="26"/>
  <c r="D29" i="26" s="1"/>
  <c r="M15" i="26"/>
  <c r="E19" i="21"/>
  <c r="E12" i="52"/>
  <c r="C14" i="52"/>
  <c r="H30" i="30"/>
  <c r="E37" i="26" s="1"/>
  <c r="C12" i="52"/>
  <c r="L40" i="26"/>
  <c r="L47" i="26" s="1"/>
  <c r="K22" i="52"/>
  <c r="K28" i="52" s="1"/>
  <c r="K27" i="26" s="1"/>
  <c r="S38" i="52" l="1"/>
  <c r="I22" i="26"/>
  <c r="I24" i="26" s="1"/>
  <c r="I12" i="52" s="1"/>
  <c r="I17" i="52" s="1"/>
  <c r="I19" i="52" s="1"/>
  <c r="C16" i="35"/>
  <c r="F17" i="35"/>
  <c r="C17" i="35" s="1"/>
  <c r="C17" i="52"/>
  <c r="F19" i="52"/>
  <c r="F22" i="52" s="1"/>
  <c r="F28" i="52" s="1"/>
  <c r="F27" i="26" s="1"/>
  <c r="P19" i="52"/>
  <c r="P22" i="52" s="1"/>
  <c r="P28" i="52" s="1"/>
  <c r="P27" i="26" s="1"/>
  <c r="P32" i="26" s="1"/>
  <c r="P34" i="26" s="1"/>
  <c r="Q19" i="52"/>
  <c r="Q22" i="52" s="1"/>
  <c r="Q28" i="52" s="1"/>
  <c r="Q27" i="26" s="1"/>
  <c r="Q88" i="46"/>
  <c r="E19" i="35"/>
  <c r="G19" i="21"/>
  <c r="D11" i="52"/>
  <c r="K36" i="52"/>
  <c r="K32" i="26"/>
  <c r="K34" i="26" s="1"/>
  <c r="L49" i="26"/>
  <c r="L14" i="52" s="1"/>
  <c r="E40" i="26"/>
  <c r="E47" i="26" s="1"/>
  <c r="V21" i="26"/>
  <c r="L24" i="26"/>
  <c r="D27" i="35"/>
  <c r="M17" i="26"/>
  <c r="V15" i="26"/>
  <c r="J49" i="26"/>
  <c r="J14" i="52" s="1"/>
  <c r="Q91" i="46" l="1"/>
  <c r="C35" i="21" s="1"/>
  <c r="C35" i="63" s="1"/>
  <c r="Q36" i="52"/>
  <c r="Q32" i="26"/>
  <c r="Q34" i="26" s="1"/>
  <c r="Q35" i="52" s="1"/>
  <c r="Q37" i="52" s="1"/>
  <c r="F19" i="35"/>
  <c r="F23" i="35" s="1"/>
  <c r="F27" i="35" s="1"/>
  <c r="F32" i="26"/>
  <c r="F34" i="26" s="1"/>
  <c r="F35" i="52" s="1"/>
  <c r="F36" i="52"/>
  <c r="P36" i="52"/>
  <c r="E23" i="35"/>
  <c r="D14" i="21"/>
  <c r="V17" i="26"/>
  <c r="D20" i="21"/>
  <c r="D20" i="63" s="1"/>
  <c r="D23" i="17"/>
  <c r="J22" i="26" s="1"/>
  <c r="L12" i="52"/>
  <c r="L17" i="52" s="1"/>
  <c r="L19" i="52" s="1"/>
  <c r="I22" i="52"/>
  <c r="I28" i="52" s="1"/>
  <c r="I27" i="26" s="1"/>
  <c r="G22" i="52"/>
  <c r="G28" i="52" s="1"/>
  <c r="G27" i="26" s="1"/>
  <c r="P35" i="52"/>
  <c r="E49" i="26"/>
  <c r="K35" i="52"/>
  <c r="D12" i="52"/>
  <c r="D17" i="52" s="1"/>
  <c r="D19" i="52" s="1"/>
  <c r="M29" i="26"/>
  <c r="D59" i="11" l="1"/>
  <c r="C13" i="23"/>
  <c r="E36" i="1"/>
  <c r="C19" i="35"/>
  <c r="Q38" i="52"/>
  <c r="M45" i="26"/>
  <c r="V45" i="26" s="1"/>
  <c r="F37" i="52"/>
  <c r="F38" i="52" s="1"/>
  <c r="P37" i="52"/>
  <c r="P38" i="52" s="1"/>
  <c r="K37" i="52"/>
  <c r="K38" i="52" s="1"/>
  <c r="E27" i="35"/>
  <c r="C23" i="35"/>
  <c r="C33" i="36" s="1"/>
  <c r="C36" i="36" s="1"/>
  <c r="C40" i="36" s="1"/>
  <c r="E40" i="36" s="1"/>
  <c r="J24" i="26"/>
  <c r="M22" i="26"/>
  <c r="M24" i="26" s="1"/>
  <c r="E14" i="52"/>
  <c r="E17" i="52" s="1"/>
  <c r="E19" i="52" s="1"/>
  <c r="E20" i="21"/>
  <c r="E20" i="63" s="1"/>
  <c r="E14" i="21"/>
  <c r="D16" i="21"/>
  <c r="I36" i="52"/>
  <c r="I32" i="26"/>
  <c r="I34" i="26" s="1"/>
  <c r="G36" i="52"/>
  <c r="G32" i="26"/>
  <c r="G34" i="26" s="1"/>
  <c r="H37" i="26" l="1"/>
  <c r="C21" i="35"/>
  <c r="M20" i="36" s="1"/>
  <c r="C27" i="35"/>
  <c r="C31" i="35" s="1"/>
  <c r="N22" i="26" s="1"/>
  <c r="L22" i="52"/>
  <c r="L28" i="52" s="1"/>
  <c r="L27" i="26" s="1"/>
  <c r="L32" i="26" s="1"/>
  <c r="L34" i="26" s="1"/>
  <c r="G35" i="52"/>
  <c r="J12" i="52"/>
  <c r="J17" i="52" s="1"/>
  <c r="J19" i="52" s="1"/>
  <c r="C19" i="52"/>
  <c r="G14" i="21"/>
  <c r="E16" i="21"/>
  <c r="C21" i="25" s="1"/>
  <c r="V30" i="26"/>
  <c r="I35" i="52"/>
  <c r="M21" i="36" l="1"/>
  <c r="C12" i="36" s="1"/>
  <c r="K29" i="36"/>
  <c r="K30" i="36" s="1"/>
  <c r="C13" i="36" s="1"/>
  <c r="H40" i="26"/>
  <c r="H47" i="26" s="1"/>
  <c r="H49" i="26" s="1"/>
  <c r="M37" i="26"/>
  <c r="M40" i="26" s="1"/>
  <c r="M47" i="26" s="1"/>
  <c r="M49" i="26" s="1"/>
  <c r="O29" i="26"/>
  <c r="U29" i="26" s="1"/>
  <c r="K36" i="36"/>
  <c r="K37" i="36" s="1"/>
  <c r="K39" i="36" s="1"/>
  <c r="K41" i="36" s="1"/>
  <c r="C22" i="36" s="1"/>
  <c r="C24" i="36" s="1"/>
  <c r="E24" i="36" s="1"/>
  <c r="I37" i="52"/>
  <c r="I38" i="52" s="1"/>
  <c r="G37" i="52"/>
  <c r="G38" i="52" s="1"/>
  <c r="N24" i="26"/>
  <c r="N12" i="52" s="1"/>
  <c r="L36" i="52"/>
  <c r="C22" i="52"/>
  <c r="C28" i="52" s="1"/>
  <c r="C27" i="26" s="1"/>
  <c r="D29" i="21"/>
  <c r="C20" i="25"/>
  <c r="C19" i="25"/>
  <c r="L35" i="52"/>
  <c r="L37" i="52" s="1"/>
  <c r="U40" i="26"/>
  <c r="U47" i="26" s="1"/>
  <c r="U49" i="26" s="1"/>
  <c r="E29" i="21" l="1"/>
  <c r="D29" i="63"/>
  <c r="V29" i="26"/>
  <c r="D28" i="21" s="1"/>
  <c r="D28" i="63" s="1"/>
  <c r="V37" i="26"/>
  <c r="V40" i="26" s="1"/>
  <c r="H14" i="52"/>
  <c r="V49" i="26"/>
  <c r="N17" i="52"/>
  <c r="L38" i="52"/>
  <c r="C23" i="25"/>
  <c r="C30" i="25" s="1"/>
  <c r="E22" i="52"/>
  <c r="E28" i="52" s="1"/>
  <c r="E27" i="26" s="1"/>
  <c r="C36" i="52"/>
  <c r="C32" i="26"/>
  <c r="C34" i="26" s="1"/>
  <c r="C35" i="52" s="1"/>
  <c r="C37" i="52" s="1"/>
  <c r="G29" i="21" l="1"/>
  <c r="G29" i="63" s="1"/>
  <c r="E29" i="63"/>
  <c r="V47" i="26"/>
  <c r="D35" i="21" s="1"/>
  <c r="H17" i="52"/>
  <c r="H19" i="52" s="1"/>
  <c r="H22" i="52" s="1"/>
  <c r="H28" i="52" s="1"/>
  <c r="H27" i="26" s="1"/>
  <c r="N19" i="52"/>
  <c r="N22" i="52" s="1"/>
  <c r="N28" i="52" s="1"/>
  <c r="N27" i="26" s="1"/>
  <c r="J22" i="52"/>
  <c r="J28" i="52" s="1"/>
  <c r="J27" i="26" s="1"/>
  <c r="J32" i="26" s="1"/>
  <c r="J34" i="26" s="1"/>
  <c r="D22" i="52"/>
  <c r="D28" i="52" s="1"/>
  <c r="D27" i="26" s="1"/>
  <c r="C38" i="52"/>
  <c r="E36" i="52"/>
  <c r="E32" i="26"/>
  <c r="E34" i="26" s="1"/>
  <c r="E35" i="21" l="1"/>
  <c r="D35" i="63"/>
  <c r="R35" i="52"/>
  <c r="R37" i="52" s="1"/>
  <c r="R38" i="52" s="1"/>
  <c r="C15" i="36"/>
  <c r="E15" i="36" s="1"/>
  <c r="E26" i="36" s="1"/>
  <c r="O22" i="26" s="1"/>
  <c r="U22" i="26" s="1"/>
  <c r="H32" i="26"/>
  <c r="H34" i="26" s="1"/>
  <c r="H35" i="52" s="1"/>
  <c r="H37" i="52" s="1"/>
  <c r="H36" i="52"/>
  <c r="N32" i="26"/>
  <c r="N34" i="26" s="1"/>
  <c r="N35" i="52" s="1"/>
  <c r="N37" i="52" s="1"/>
  <c r="N36" i="52"/>
  <c r="C31" i="25"/>
  <c r="J36" i="52"/>
  <c r="T32" i="26"/>
  <c r="T34" i="26" s="1"/>
  <c r="J35" i="52"/>
  <c r="E35" i="52"/>
  <c r="D32" i="26"/>
  <c r="D34" i="26" s="1"/>
  <c r="D36" i="52"/>
  <c r="M27" i="26"/>
  <c r="G35" i="21" l="1"/>
  <c r="E35" i="63"/>
  <c r="T35" i="52"/>
  <c r="T37" i="52" s="1"/>
  <c r="T38" i="52" s="1"/>
  <c r="O24" i="26"/>
  <c r="O12" i="52" s="1"/>
  <c r="O17" i="52" s="1"/>
  <c r="O19" i="52" s="1"/>
  <c r="O22" i="52" s="1"/>
  <c r="O28" i="52" s="1"/>
  <c r="O27" i="26" s="1"/>
  <c r="U24" i="26"/>
  <c r="H38" i="52"/>
  <c r="N38" i="52"/>
  <c r="E37" i="52"/>
  <c r="E38" i="52" s="1"/>
  <c r="J37" i="52"/>
  <c r="J38" i="52" s="1"/>
  <c r="C33" i="25"/>
  <c r="C35" i="25" s="1"/>
  <c r="C37" i="25"/>
  <c r="C39" i="25" s="1"/>
  <c r="D35" i="52"/>
  <c r="M32" i="26"/>
  <c r="M34" i="26" s="1"/>
  <c r="D47" i="21" l="1"/>
  <c r="G35" i="63"/>
  <c r="D55" i="21"/>
  <c r="U27" i="26"/>
  <c r="V27" i="26" s="1"/>
  <c r="D26" i="21" s="1"/>
  <c r="D26" i="63" s="1"/>
  <c r="R51" i="26"/>
  <c r="S51" i="26"/>
  <c r="T51" i="26"/>
  <c r="V22" i="26"/>
  <c r="V24" i="26" s="1"/>
  <c r="O32" i="26"/>
  <c r="O34" i="26" s="1"/>
  <c r="O35" i="52" s="1"/>
  <c r="O37" i="52" s="1"/>
  <c r="O36" i="52"/>
  <c r="D37" i="52"/>
  <c r="D38" i="52" s="1"/>
  <c r="F51" i="26"/>
  <c r="I51" i="26"/>
  <c r="K51" i="26"/>
  <c r="C51" i="26"/>
  <c r="Q51" i="26"/>
  <c r="P51" i="26"/>
  <c r="N51" i="26"/>
  <c r="H51" i="26"/>
  <c r="J51" i="26"/>
  <c r="G51" i="26"/>
  <c r="L51" i="26"/>
  <c r="D51" i="26"/>
  <c r="E51" i="26"/>
  <c r="D21" i="21" l="1"/>
  <c r="U32" i="26"/>
  <c r="U34" i="26" s="1"/>
  <c r="V32" i="26"/>
  <c r="V34" i="26" s="1"/>
  <c r="O51" i="26"/>
  <c r="O38" i="52"/>
  <c r="D23" i="21" l="1"/>
  <c r="D31" i="21" s="1"/>
  <c r="D33" i="21" s="1"/>
  <c r="D21" i="63"/>
  <c r="D23" i="63" s="1"/>
  <c r="D31" i="63" s="1"/>
  <c r="D33" i="63" s="1"/>
  <c r="E21" i="21"/>
  <c r="E23" i="21" l="1"/>
  <c r="E21" i="63"/>
  <c r="E23" i="63" s="1"/>
  <c r="G21" i="21"/>
  <c r="G21" i="63" s="1"/>
  <c r="F23" i="42"/>
  <c r="E28" i="42" l="1"/>
  <c r="C28" i="21" s="1"/>
  <c r="E29" i="1" l="1"/>
  <c r="C28" i="63"/>
  <c r="C11" i="23"/>
  <c r="C15" i="23" s="1"/>
  <c r="C19" i="23" s="1"/>
  <c r="C23" i="23" s="1"/>
  <c r="E28" i="21"/>
  <c r="E28" i="63" s="1"/>
  <c r="C27" i="23" l="1"/>
  <c r="C26" i="21" s="1"/>
  <c r="E26" i="21" l="1"/>
  <c r="C26" i="63"/>
  <c r="C31" i="63" s="1"/>
  <c r="C33" i="63" s="1"/>
  <c r="C38" i="63" s="1"/>
  <c r="C40" i="63" s="1"/>
  <c r="C31" i="21"/>
  <c r="C33" i="21" s="1"/>
  <c r="C38" i="21" s="1"/>
  <c r="C40" i="21" s="1"/>
  <c r="E26" i="1"/>
  <c r="E32" i="1" s="1"/>
  <c r="E34" i="1" s="1"/>
  <c r="E39" i="1" s="1"/>
  <c r="E41" i="1" s="1"/>
  <c r="E31" i="21" l="1"/>
  <c r="E33" i="21" s="1"/>
  <c r="E26" i="63"/>
  <c r="E31" i="63" s="1"/>
  <c r="E33" i="63" s="1"/>
  <c r="E38" i="63" s="1"/>
  <c r="E40" i="63" s="1"/>
  <c r="D56" i="21" l="1"/>
  <c r="D57" i="21" s="1"/>
  <c r="E38" i="21"/>
  <c r="E40" i="21" s="1"/>
  <c r="F28" i="21" l="1"/>
  <c r="F20" i="21"/>
  <c r="F12" i="21"/>
  <c r="F26" i="21" l="1"/>
  <c r="G26" i="21" s="1"/>
  <c r="G28" i="21"/>
  <c r="G28" i="63" s="1"/>
  <c r="F28" i="63"/>
  <c r="F12" i="63"/>
  <c r="F16" i="63" s="1"/>
  <c r="F16" i="21"/>
  <c r="G12" i="21"/>
  <c r="F20" i="63"/>
  <c r="F23" i="63" s="1"/>
  <c r="F23" i="21"/>
  <c r="G20" i="21"/>
  <c r="F26" i="63" l="1"/>
  <c r="F31" i="63" s="1"/>
  <c r="F33" i="63" s="1"/>
  <c r="F31" i="21"/>
  <c r="F33" i="21" s="1"/>
  <c r="D51" i="21"/>
  <c r="G26" i="63"/>
  <c r="G16" i="21"/>
  <c r="G12" i="63"/>
  <c r="G16" i="63" s="1"/>
  <c r="G23" i="21"/>
  <c r="G31" i="21" s="1"/>
  <c r="G20" i="63"/>
  <c r="G23" i="63" s="1"/>
  <c r="G31" i="63" s="1"/>
  <c r="G33" i="63" l="1"/>
  <c r="G33" i="21"/>
  <c r="D46" i="21" l="1"/>
  <c r="D49" i="21" s="1"/>
  <c r="D50" i="21" s="1"/>
  <c r="D52" i="21" s="1"/>
  <c r="D59" i="21"/>
  <c r="C29" i="1" l="1"/>
  <c r="I11" i="23" s="1"/>
  <c r="I15" i="23" s="1"/>
  <c r="I19" i="23" s="1"/>
  <c r="C28" i="1"/>
  <c r="I23" i="23" l="1"/>
  <c r="C27" i="1" s="1"/>
  <c r="I25" i="23" l="1"/>
  <c r="I29" i="23" s="1"/>
  <c r="I33" i="23" s="1"/>
  <c r="C26" i="1" s="1"/>
  <c r="C32" i="1" s="1"/>
  <c r="C34" i="1" s="1"/>
  <c r="C39" i="1" s="1"/>
  <c r="C41" i="1" s="1"/>
</calcChain>
</file>

<file path=xl/sharedStrings.xml><?xml version="1.0" encoding="utf-8"?>
<sst xmlns="http://schemas.openxmlformats.org/spreadsheetml/2006/main" count="1753" uniqueCount="902">
  <si>
    <t>NW Natural</t>
  </si>
  <si>
    <t>Northwest Natural Gas Company</t>
  </si>
  <si>
    <t>Worksheet g</t>
  </si>
  <si>
    <t>Worksheet h</t>
  </si>
  <si>
    <t>Washington Rate Case</t>
  </si>
  <si>
    <t>Test Period Actuals Tax Adjustment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</si>
  <si>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</si>
  <si>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</si>
  <si>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</si>
  <si>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</si>
  <si>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</si>
  <si>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</si>
  <si>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</si>
  <si>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</si>
  <si>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Proposed</t>
  </si>
  <si>
    <t>Test Year at</t>
  </si>
  <si>
    <t>Weather</t>
  </si>
  <si>
    <t>Line</t>
  </si>
  <si>
    <t>Results</t>
  </si>
  <si>
    <t>Rate</t>
  </si>
  <si>
    <t>May</t>
  </si>
  <si>
    <t xml:space="preserve">Line </t>
  </si>
  <si>
    <t>Percent of</t>
  </si>
  <si>
    <t>Weighted</t>
  </si>
  <si>
    <t xml:space="preserve">Normalized </t>
  </si>
  <si>
    <t>Payroll</t>
  </si>
  <si>
    <t>Working</t>
  </si>
  <si>
    <t>Marketing and</t>
  </si>
  <si>
    <t>Adjustment</t>
  </si>
  <si>
    <t>Three Year</t>
  </si>
  <si>
    <t>Expensed</t>
  </si>
  <si>
    <t>Disallowance</t>
  </si>
  <si>
    <t>Disallowed</t>
  </si>
  <si>
    <t>No.</t>
  </si>
  <si>
    <t>Adjustments</t>
  </si>
  <si>
    <t>Adjusted</t>
  </si>
  <si>
    <t>Increase</t>
  </si>
  <si>
    <t>Equity Return</t>
  </si>
  <si>
    <t>Gross Plant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</si>
  <si>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</si>
  <si>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</si>
  <si>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</si>
  <si>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</si>
  <si>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</si>
  <si>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</si>
  <si>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</si>
  <si>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</si>
  <si>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</si>
  <si>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</si>
  <si>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 xml:space="preserve">Total </t>
  </si>
  <si>
    <t>Normalized</t>
  </si>
  <si>
    <t>Allocation</t>
  </si>
  <si>
    <t>Accrual</t>
  </si>
  <si>
    <t>Amount</t>
  </si>
  <si>
    <t>Percent</t>
  </si>
  <si>
    <t>Customers-all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</si>
  <si>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</si>
  <si>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</si>
  <si>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</si>
  <si>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</si>
  <si>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</si>
  <si>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</si>
  <si>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</si>
  <si>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</si>
  <si>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Revenues</t>
  </si>
  <si>
    <t>(f)=(d)-(e)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</si>
  <si>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</si>
  <si>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</si>
  <si>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</si>
  <si>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</si>
  <si>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</si>
  <si>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</si>
  <si>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</si>
  <si>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</si>
  <si>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</si>
  <si>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(n)</t>
  </si>
  <si>
    <t>(o)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</si>
  <si>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</si>
  <si>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</si>
  <si>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</si>
  <si>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</si>
  <si>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</si>
  <si>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</si>
  <si>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</si>
  <si>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</si>
  <si>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</si>
  <si>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</si>
  <si>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</si>
  <si>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</si>
  <si>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</si>
  <si>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</si>
  <si>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</si>
  <si>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Interest on Historic Average Rate Base</t>
  </si>
  <si>
    <t xml:space="preserve">   Transportation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</si>
  <si>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</si>
  <si>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</si>
  <si>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</si>
  <si>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</si>
  <si>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</si>
  <si>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Interruptible</t>
  </si>
  <si>
    <t xml:space="preserve">      Total Operating Revenues</t>
  </si>
  <si>
    <t>Pre-Tax Net Income</t>
  </si>
  <si>
    <t xml:space="preserve">       Total 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</si>
  <si>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</si>
  <si>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</si>
  <si>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</si>
  <si>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</si>
  <si>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</si>
  <si>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</si>
  <si>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</si>
  <si>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</si>
  <si>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</si>
  <si>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</si>
  <si>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</si>
  <si>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</si>
  <si>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</si>
  <si>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</si>
  <si>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</si>
  <si>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</si>
  <si>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</si>
  <si>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</si>
  <si>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</si>
  <si>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</si>
  <si>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</si>
  <si>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</si>
  <si>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</si>
  <si>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Key Goals Bonus - O &amp; M</t>
  </si>
  <si>
    <t>Deferred Taxes</t>
  </si>
  <si>
    <t>State</t>
  </si>
  <si>
    <t>Write-Off % - 3-Year Average</t>
  </si>
  <si>
    <t xml:space="preserve">   Federal Income Tax</t>
  </si>
  <si>
    <t>Federal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</si>
  <si>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</si>
  <si>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</si>
  <si>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</si>
  <si>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</si>
  <si>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</si>
  <si>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</si>
  <si>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</si>
  <si>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</si>
  <si>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</si>
  <si>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</si>
  <si>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</si>
  <si>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</si>
  <si>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>Average Deferred Taxes</t>
  </si>
  <si>
    <t xml:space="preserve">Normalized Uncollectible </t>
  </si>
  <si>
    <t xml:space="preserve">        Net Operating Revenues</t>
  </si>
  <si>
    <t>Ending Deferred Taxes</t>
  </si>
  <si>
    <t xml:space="preserve">      Net Operating Revenues</t>
  </si>
  <si>
    <t xml:space="preserve">      Total Rate Base</t>
  </si>
  <si>
    <t xml:space="preserve">   Federal Taxable Income</t>
  </si>
  <si>
    <t>Washington Allocation Factor</t>
  </si>
  <si>
    <t xml:space="preserve">   Utility Plant in Service</t>
  </si>
  <si>
    <t xml:space="preserve">   Rate of Return</t>
  </si>
  <si>
    <t xml:space="preserve">   Total Income Taxes </t>
  </si>
  <si>
    <t xml:space="preserve">   Accumulated Depreciation</t>
  </si>
  <si>
    <t xml:space="preserve">   Return on Common Equity</t>
  </si>
  <si>
    <t xml:space="preserve">      Net Utility Plant</t>
  </si>
  <si>
    <t>Employee Cost</t>
  </si>
  <si>
    <t xml:space="preserve">   Utility Operating Income </t>
  </si>
  <si>
    <t xml:space="preserve">   Storage Gas</t>
  </si>
  <si>
    <t>Washington Allocation of Accrued Amount</t>
  </si>
  <si>
    <t>Tax Check</t>
  </si>
  <si>
    <t>Extraordinary Claims</t>
  </si>
  <si>
    <t xml:space="preserve">   Net-to-gross factor</t>
  </si>
  <si>
    <t xml:space="preserve">   Leasehold Improvements </t>
  </si>
  <si>
    <t xml:space="preserve">     Adjustment (Normalized less Accrued)</t>
  </si>
  <si>
    <t>Pre-tax Net Income</t>
  </si>
  <si>
    <t xml:space="preserve">   Accumulated Deferred Income Taxes</t>
  </si>
  <si>
    <t>Interest on Rate Base</t>
  </si>
  <si>
    <t xml:space="preserve">   Interest Coordination Factor</t>
  </si>
  <si>
    <t>Permanent Differences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</si>
  <si>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</si>
  <si>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</si>
  <si>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</si>
  <si>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</si>
  <si>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>Tax from Page 1</t>
  </si>
  <si>
    <t>Adjustment takes expense from test period accrual to 3 year paid average</t>
  </si>
  <si>
    <t xml:space="preserve">   Variance</t>
  </si>
  <si>
    <t xml:space="preserve">   Uncollectible Accounts</t>
  </si>
  <si>
    <t>Revenue Requirement</t>
  </si>
  <si>
    <t>Rate Base at allowable ROR</t>
  </si>
  <si>
    <t>Incremental Net Operating Revenue</t>
  </si>
  <si>
    <t>Grossed up for Revenue Sensitive</t>
  </si>
  <si>
    <t>Calculated ROR after applied Revenue Requirement</t>
  </si>
  <si>
    <t>Other Taxes</t>
  </si>
  <si>
    <t>Income Tax Calculations</t>
  </si>
  <si>
    <t xml:space="preserve">   Book Revenues</t>
  </si>
  <si>
    <t xml:space="preserve">   State Tax Depreciation</t>
  </si>
  <si>
    <t xml:space="preserve">   Interest Expense (Income)</t>
  </si>
  <si>
    <t xml:space="preserve">   Book/Tax Differences (Sched. M)</t>
  </si>
  <si>
    <t>Rate Base</t>
  </si>
  <si>
    <t>Production</t>
  </si>
  <si>
    <t>Transmission</t>
  </si>
  <si>
    <t>Distribution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</si>
  <si>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</si>
  <si>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</si>
  <si>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</si>
  <si>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</si>
  <si>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</si>
  <si>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</si>
  <si>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>Allocation Factors - All in Washington %'s</t>
  </si>
  <si>
    <t>Variance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</si>
  <si>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</si>
  <si>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</si>
  <si>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</si>
  <si>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</si>
  <si>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</si>
  <si>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</si>
  <si>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</si>
  <si>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Telemetering</t>
  </si>
  <si>
    <t>Direct-Wa</t>
  </si>
  <si>
    <t>Direct-Or</t>
  </si>
  <si>
    <t>Gross plant direct assign</t>
  </si>
  <si>
    <t>Depreciation</t>
  </si>
  <si>
    <t>Storage Gas</t>
  </si>
  <si>
    <t>Pre-tax less interest</t>
  </si>
  <si>
    <t>tax calculated</t>
  </si>
  <si>
    <t>tax on line 1</t>
  </si>
  <si>
    <t>variance</t>
  </si>
  <si>
    <t>O&amp;M</t>
  </si>
  <si>
    <t>Const</t>
  </si>
  <si>
    <t>Non-Util</t>
  </si>
  <si>
    <t>Elimination of Clearing Account Balances</t>
  </si>
  <si>
    <t>Account Class</t>
  </si>
  <si>
    <t>Adjustment to O&amp;M</t>
  </si>
  <si>
    <t>Adjustment to Construction</t>
  </si>
  <si>
    <t>Depreciation Factor</t>
  </si>
  <si>
    <t>Other</t>
  </si>
  <si>
    <t>Storage and storage transmission</t>
  </si>
  <si>
    <t xml:space="preserve">   Total Gross Plant</t>
  </si>
  <si>
    <t>Test Period</t>
  </si>
  <si>
    <t>Clearing</t>
  </si>
  <si>
    <t>Worksheet f</t>
  </si>
  <si>
    <t>Average Invested Capital</t>
  </si>
  <si>
    <t>Common Equity</t>
  </si>
  <si>
    <t>Preferred Stock</t>
  </si>
  <si>
    <t>Deferred ITC</t>
  </si>
  <si>
    <t>Deferred Liabilities</t>
  </si>
  <si>
    <t>Average Investments</t>
  </si>
  <si>
    <t>Plant in Service</t>
  </si>
  <si>
    <t>Deferred Income Taxes</t>
  </si>
  <si>
    <t>Gas Stored Underground - Cushion Gas</t>
  </si>
  <si>
    <t>Property Held for Future Use</t>
  </si>
  <si>
    <t>Contributions in Aid of Construction</t>
  </si>
  <si>
    <t>Total Operating Investments</t>
  </si>
  <si>
    <t>Construction Work In Process</t>
  </si>
  <si>
    <t>Non-Utility Property</t>
  </si>
  <si>
    <t>Accumulated Depreciation - non utility</t>
  </si>
  <si>
    <t>Deferred Gas Costs</t>
  </si>
  <si>
    <t>Other Deferred Debits</t>
  </si>
  <si>
    <t>Total Other Investments</t>
  </si>
  <si>
    <t xml:space="preserve">Less Working Gas Inventory </t>
  </si>
  <si>
    <t xml:space="preserve">   Total Base Investment - System</t>
  </si>
  <si>
    <t xml:space="preserve"> </t>
  </si>
  <si>
    <t>Working Gas Inventory</t>
  </si>
  <si>
    <t>Adjustments to Test Period</t>
  </si>
  <si>
    <t>Other Operating Revenues</t>
  </si>
  <si>
    <t>Miscellaneous Debt</t>
  </si>
  <si>
    <t>Deferred Income Tax - non-utility &amp; Oregon</t>
  </si>
  <si>
    <t>Investments in Subsidiary Companies</t>
  </si>
  <si>
    <t>Temporary Cash Investments</t>
  </si>
  <si>
    <t>Washington Gas Inventory  (ln 35 X ln 36)</t>
  </si>
  <si>
    <t xml:space="preserve">   Total Working Capital Allowance (ln 37 + ln 34)</t>
  </si>
  <si>
    <t xml:space="preserve">   Aid in Advance of Construction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</si>
  <si>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</si>
  <si>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</si>
  <si>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</si>
  <si>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</si>
  <si>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</si>
  <si>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 xml:space="preserve">Annualized Wages and Salaries                      </t>
  </si>
  <si>
    <t>Officers</t>
  </si>
  <si>
    <t xml:space="preserve"> No. </t>
  </si>
  <si>
    <t>Average Payroll per Employee</t>
  </si>
  <si>
    <t>Payroll Based on Year-end Employees</t>
  </si>
  <si>
    <t xml:space="preserve">   Adjustment to O &amp; M Payroll - System</t>
  </si>
  <si>
    <t>Washington Allocation for O&amp;M Payroll</t>
  </si>
  <si>
    <t>Adjustment to O &amp; M Payroll - Washington</t>
  </si>
  <si>
    <t xml:space="preserve">Payroll Overhead Adjustment </t>
  </si>
  <si>
    <t>Health and Life Insurance Adjustment</t>
  </si>
  <si>
    <t>Factor 1/</t>
  </si>
  <si>
    <t>Payroll Tax Adjustment</t>
  </si>
  <si>
    <t xml:space="preserve">      Total Adjustment</t>
  </si>
  <si>
    <t>Payroll - Normalized</t>
  </si>
  <si>
    <t>O&amp;M Payroll Factor</t>
  </si>
  <si>
    <t>O&amp;M Payroll - Normalized</t>
  </si>
  <si>
    <t xml:space="preserve">O&amp;M Payroll - Actual </t>
  </si>
  <si>
    <t>1/</t>
  </si>
  <si>
    <t>Overhead</t>
  </si>
  <si>
    <t>Payroll Adjustment - Excluding Bonuses</t>
  </si>
  <si>
    <t>Notes:</t>
  </si>
  <si>
    <t>2/</t>
  </si>
  <si>
    <t>3/</t>
  </si>
  <si>
    <t>Total and Officer columns included to determine company O&amp;M % for some adjustments</t>
  </si>
  <si>
    <t>Amounts reflect average salaries at end of period count.</t>
  </si>
  <si>
    <t>Payroll - Annualized    3/</t>
  </si>
  <si>
    <t>Total   1/</t>
  </si>
  <si>
    <t>Officers  2/</t>
  </si>
  <si>
    <t xml:space="preserve">   Incremental Payroll</t>
  </si>
  <si>
    <t>FICA Tax Rate</t>
  </si>
  <si>
    <t xml:space="preserve">   Incremental Payroll Taxes</t>
  </si>
  <si>
    <t>Cost of Capital and Revenue Sensitive Calculations</t>
  </si>
  <si>
    <t>Weather Normalized Gas Sales and Purchases Adjustment</t>
  </si>
  <si>
    <t>1/  Payroll Cost Allocation Factor</t>
  </si>
  <si>
    <t>Page 2</t>
  </si>
  <si>
    <t>Worksheet a</t>
  </si>
  <si>
    <t>Reconnect Charges</t>
  </si>
  <si>
    <t>Late Payment Charges</t>
  </si>
  <si>
    <t>Automated Payment Charge</t>
  </si>
  <si>
    <t>Return Check</t>
  </si>
  <si>
    <t>Field Collection</t>
  </si>
  <si>
    <t>Meter Rentals</t>
  </si>
  <si>
    <t>Utility Property Rental</t>
  </si>
  <si>
    <t>Total Other Op Revenues</t>
  </si>
  <si>
    <t>Property</t>
  </si>
  <si>
    <t>Franchise</t>
  </si>
  <si>
    <t>Regulatory Fee</t>
  </si>
  <si>
    <t>Depreciation Expense</t>
  </si>
  <si>
    <t>Detail of Other Revenues, Other Taxes and Depreciation</t>
  </si>
  <si>
    <t>allocation</t>
  </si>
  <si>
    <t>O&amp;M %</t>
  </si>
  <si>
    <t>(l)</t>
  </si>
  <si>
    <t>(m)</t>
  </si>
  <si>
    <t>12 Months Ended September</t>
  </si>
  <si>
    <t>Direct &amp; Gross Plant</t>
  </si>
  <si>
    <t>CNG and LNG Refueling</t>
  </si>
  <si>
    <t>Subtotal Rate Base</t>
  </si>
  <si>
    <t xml:space="preserve">     Total Rate Base</t>
  </si>
  <si>
    <t>Rate Case</t>
  </si>
  <si>
    <t>Depreciation Adjustment</t>
  </si>
  <si>
    <t>Outside Services - Washington Rate Case</t>
  </si>
  <si>
    <t>Rate Case Expense Adjustment</t>
  </si>
  <si>
    <t>3-Year Average for rate case frequency</t>
  </si>
  <si>
    <t>Health and Life O&amp;M Costs - Current Cost</t>
  </si>
  <si>
    <t>Health and Life O&amp;M Costs - Actual Test Period O&amp;M</t>
  </si>
  <si>
    <t>Pension Costs - Test Period Actual O&amp;M</t>
  </si>
  <si>
    <t>Property Tax Adjustment</t>
  </si>
  <si>
    <t>Property Taxes - Test Period Expense</t>
  </si>
  <si>
    <t>Tax</t>
  </si>
  <si>
    <t>Adjustments to Miscellaneous Revenues</t>
  </si>
  <si>
    <t xml:space="preserve">No. </t>
  </si>
  <si>
    <t>Revenue &amp; Technical Adjustments</t>
  </si>
  <si>
    <t>Subtotal</t>
  </si>
  <si>
    <t>Other Miscellaneous Revenues</t>
  </si>
  <si>
    <t>DSM - Amortization</t>
  </si>
  <si>
    <t>Worksheet b</t>
  </si>
  <si>
    <t>(p)</t>
  </si>
  <si>
    <t>Worksheet e</t>
  </si>
  <si>
    <t>(q)</t>
  </si>
  <si>
    <t>Worksheet i</t>
  </si>
  <si>
    <t>Worksheet p</t>
  </si>
  <si>
    <t>Misc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</si>
  <si>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</si>
  <si>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</si>
  <si>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</si>
  <si>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</si>
  <si>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</si>
  <si>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</si>
  <si>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</si>
  <si>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</si>
  <si>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</si>
  <si>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</si>
  <si>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</si>
  <si>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Unbilled amounts</t>
  </si>
  <si>
    <t>Rate Base - System &amp; Washington</t>
  </si>
  <si>
    <t>Factor</t>
  </si>
  <si>
    <t>(Residential</t>
  </si>
  <si>
    <t>Customers)</t>
  </si>
  <si>
    <t>Allocated</t>
  </si>
  <si>
    <t>Marketing</t>
  </si>
  <si>
    <t>NBU</t>
  </si>
  <si>
    <t>BU</t>
  </si>
  <si>
    <t>Washington Allocated Results</t>
  </si>
  <si>
    <t>Marketing and Customer Communications Adjustment</t>
  </si>
  <si>
    <t>Expenses not qualifying under 480-90-223</t>
  </si>
  <si>
    <t>Commercial</t>
  </si>
  <si>
    <t>Industrial Firm</t>
  </si>
  <si>
    <t>Uncollectible</t>
  </si>
  <si>
    <t>Restating</t>
  </si>
  <si>
    <t>Pro Forma</t>
  </si>
  <si>
    <t>(r)</t>
  </si>
  <si>
    <t>(s)</t>
  </si>
  <si>
    <t>Worksheet c</t>
  </si>
  <si>
    <t>Cust. Comm.</t>
  </si>
  <si>
    <t>Total O&amp;M Adjustment</t>
  </si>
  <si>
    <t>Washington Quarterly Results of Operations Report</t>
  </si>
  <si>
    <t>Operations and Maintenance Expense: Allocation of System Amounts</t>
  </si>
  <si>
    <t>Natural Gas Storage</t>
  </si>
  <si>
    <t>Underground Storage Expense</t>
  </si>
  <si>
    <t>Operation</t>
  </si>
  <si>
    <t>816</t>
  </si>
  <si>
    <t>Wells Expense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</si>
  <si>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</si>
  <si>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</si>
  <si>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</si>
  <si>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</si>
  <si>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</si>
  <si>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</si>
  <si>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</si>
  <si>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</si>
  <si>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</si>
  <si>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</si>
  <si>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</si>
  <si>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</si>
  <si>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</si>
  <si>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</si>
  <si>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</si>
  <si>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847</t>
  </si>
  <si>
    <t>Total Liquified Natural Gas Expense</t>
  </si>
  <si>
    <t>Total Natural Gas Storage</t>
  </si>
  <si>
    <t>Transmission Expense</t>
  </si>
  <si>
    <t>856</t>
  </si>
  <si>
    <t>Mains Expense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</si>
  <si>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</si>
  <si>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</si>
  <si>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</si>
  <si>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</si>
  <si>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</si>
  <si>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</si>
  <si>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</si>
  <si>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</si>
  <si>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</si>
  <si>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</si>
  <si>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</si>
  <si>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</si>
  <si>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</si>
  <si>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</si>
  <si>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</si>
  <si>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</si>
  <si>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</si>
  <si>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</si>
  <si>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Rents</t>
  </si>
  <si>
    <t>885</t>
  </si>
  <si>
    <t>887</t>
  </si>
  <si>
    <t>Mains</t>
  </si>
  <si>
    <t>889</t>
  </si>
  <si>
    <t>891</t>
  </si>
  <si>
    <t>892</t>
  </si>
  <si>
    <t>Services</t>
  </si>
  <si>
    <t>893</t>
  </si>
  <si>
    <t>Meters and House Regulators</t>
  </si>
  <si>
    <t>894</t>
  </si>
  <si>
    <t>Other Equipment</t>
  </si>
  <si>
    <t>Total Distribution Expense</t>
  </si>
  <si>
    <t>Customer Accounts Expense</t>
  </si>
  <si>
    <t>901</t>
  </si>
  <si>
    <t>Supervision</t>
  </si>
  <si>
    <t>902</t>
  </si>
  <si>
    <t>Meter Reading Expenses</t>
  </si>
  <si>
    <t>903</t>
  </si>
  <si>
    <t>Customer Records and Collection Expense</t>
  </si>
  <si>
    <t>904</t>
  </si>
  <si>
    <t>Uncollectible Accounts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</si>
  <si>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</si>
  <si>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</si>
  <si>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</si>
  <si>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</si>
  <si>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</si>
  <si>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</si>
  <si>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</si>
  <si>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</si>
  <si>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</si>
  <si>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Sales Expense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</si>
  <si>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</si>
  <si>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</si>
  <si>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</si>
  <si>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</si>
  <si>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</si>
  <si>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</si>
  <si>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</si>
  <si>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</si>
  <si>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Administrative and General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</si>
  <si>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</si>
  <si>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</si>
  <si>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</si>
  <si>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</si>
  <si>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</si>
  <si>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</si>
  <si>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</si>
  <si>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Injuries and Damages</t>
  </si>
  <si>
    <t>926</t>
  </si>
  <si>
    <t>Employee Pensions and Benefits</t>
  </si>
  <si>
    <t>928</t>
  </si>
  <si>
    <t>Regulatory Commission Expense</t>
  </si>
  <si>
    <t>930</t>
  </si>
  <si>
    <t>Miscellaneous General Expense</t>
  </si>
  <si>
    <t>931</t>
  </si>
  <si>
    <t>935</t>
  </si>
  <si>
    <t>Maintenance of General Plant</t>
  </si>
  <si>
    <t>Total Administrative and General Expense</t>
  </si>
  <si>
    <t>Total Operations and Maintenance Expense</t>
  </si>
  <si>
    <t xml:space="preserve">   3-Year Average</t>
  </si>
  <si>
    <t>2017</t>
  </si>
  <si>
    <t>Investment in Gas Reserves</t>
  </si>
  <si>
    <t>WA GREAT, WA-LIEE</t>
  </si>
  <si>
    <t>13 Month</t>
  </si>
  <si>
    <t>AMA</t>
  </si>
  <si>
    <t>2016 paid</t>
  </si>
  <si>
    <t>2015 paid</t>
  </si>
  <si>
    <t>Commodity and Demand Amortizations</t>
  </si>
  <si>
    <t>2019 BU Salary Adjustment December 1, 2019</t>
  </si>
  <si>
    <t>2018 NBU Adjustment March 1, 2018</t>
  </si>
  <si>
    <t>Therm</t>
  </si>
  <si>
    <t>Deliveries</t>
  </si>
  <si>
    <t>and Margin</t>
  </si>
  <si>
    <t>Sales Volumes and Revenues</t>
  </si>
  <si>
    <t xml:space="preserve">   Total Sales of Gas Revenues</t>
  </si>
  <si>
    <t>Transportation Volumes and Revenues</t>
  </si>
  <si>
    <t>Firm</t>
  </si>
  <si>
    <t>Special Contracts - Firm</t>
  </si>
  <si>
    <t xml:space="preserve">   Total Transportation</t>
  </si>
  <si>
    <t>Total Deliveries and Revenues</t>
  </si>
  <si>
    <t>Gas Costs</t>
  </si>
  <si>
    <t xml:space="preserve">  Total Cost of Gas</t>
  </si>
  <si>
    <t>Total Margin</t>
  </si>
  <si>
    <t>Test Year Based on Twelve Months Ended September 30, 2018</t>
  </si>
  <si>
    <t>2016 - 2018</t>
  </si>
  <si>
    <t>Washington Normalized Amount</t>
  </si>
  <si>
    <t>Allocation Factor (Customers - All)</t>
  </si>
  <si>
    <t>Federal Income Tax</t>
  </si>
  <si>
    <t>12 Months Payroll - 9/30/2018</t>
  </si>
  <si>
    <t>Annualized 2018 Wage Increases (5 months) NBU</t>
  </si>
  <si>
    <t>2017 BU Salary Adjustment December 1, 2017</t>
  </si>
  <si>
    <t>2018 BU Salary Adjustment December 1, 2018</t>
  </si>
  <si>
    <t>Annualized 2019 Wage Increases (12 months) NBU</t>
  </si>
  <si>
    <t>Adjust 2018 Wage Increases (12 months) BU</t>
  </si>
  <si>
    <t>Adjust 2019 Wage Increases (12 months) BU</t>
  </si>
  <si>
    <t>Expense</t>
  </si>
  <si>
    <t>Test Year Payroll</t>
  </si>
  <si>
    <t>Average Employee Count - Test Period</t>
  </si>
  <si>
    <t xml:space="preserve">   (line 3 / line 2)    </t>
  </si>
  <si>
    <t xml:space="preserve">   (line 4 * line 1)    </t>
  </si>
  <si>
    <t>done</t>
  </si>
  <si>
    <t>from Payroll 2 tab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</si>
  <si>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</si>
  <si>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</si>
  <si>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</si>
  <si>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</si>
  <si>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</si>
  <si>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</si>
  <si>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</si>
  <si>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Perimeter</t>
  </si>
  <si>
    <t>Intangible Software</t>
  </si>
  <si>
    <t>Intangible Other</t>
  </si>
  <si>
    <t>Land</t>
  </si>
  <si>
    <t>Structures</t>
  </si>
  <si>
    <t>Reserve</t>
  </si>
  <si>
    <t xml:space="preserve">   Total Reserve</t>
  </si>
  <si>
    <t>Earnings Before Tax</t>
  </si>
  <si>
    <t xml:space="preserve">   Total Rev Sensitive Costs Incl Tax</t>
  </si>
  <si>
    <t>TTM Sept 16</t>
  </si>
  <si>
    <t>TTM Sept 17</t>
  </si>
  <si>
    <t>TTM Sept 18</t>
  </si>
  <si>
    <t>Normals</t>
  </si>
  <si>
    <t>Normal Method</t>
  </si>
  <si>
    <t>FORFEITED DISCOUNTS-LATE PAYMENT CHARGE</t>
  </si>
  <si>
    <t>no trend - 3 year average</t>
  </si>
  <si>
    <t>MISC SERVICE REVENUES-AUTOMATED PAYMENT</t>
  </si>
  <si>
    <t>MISC SERVICE REVENUES-DELINQ RECONN FEE</t>
  </si>
  <si>
    <t>trend down - take last year</t>
  </si>
  <si>
    <t>MISC SERVICE REVENUES-FIELD COLLECTION C</t>
  </si>
  <si>
    <t>trend up - take last year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</si>
  <si>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</si>
  <si>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</si>
  <si>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</si>
  <si>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</si>
  <si>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</si>
  <si>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REVENUES-RETURNED CHECK CHA</t>
  </si>
  <si>
    <t>MISC SERVICE REVENUES-SEAS RECONN FEE</t>
  </si>
  <si>
    <t>MISC SERVICE REVENUES-SUMMARY BILL SVCS</t>
  </si>
  <si>
    <t>OTHER GAS REVENUES-METER RENTALS</t>
  </si>
  <si>
    <t>OTHER GAS REV-LNG SALES &amp; OTHER MISC REV</t>
  </si>
  <si>
    <t>RENT FROM GAS PROPERTY-RENT - UTILITY PR</t>
  </si>
  <si>
    <t>See Below</t>
  </si>
  <si>
    <t xml:space="preserve">   Total Miscellaneous Revenues</t>
  </si>
  <si>
    <t>trend flat - take last year</t>
  </si>
  <si>
    <t>nonrecurring - eliminate</t>
  </si>
  <si>
    <t>Allocation - 3-Factor</t>
  </si>
  <si>
    <t xml:space="preserve">   Federal Income Tax  [1]</t>
  </si>
  <si>
    <t>[1]  Statutory Federal Income Tax Rate:</t>
  </si>
  <si>
    <t>Post Test Year</t>
  </si>
  <si>
    <t>in 2018</t>
  </si>
  <si>
    <t>2017 paid</t>
  </si>
  <si>
    <t>Hedging</t>
  </si>
  <si>
    <t>TME December</t>
  </si>
  <si>
    <t xml:space="preserve">   Actual Claims - Ordinary (Paid)</t>
  </si>
  <si>
    <t>Depreciation Expense - Test Year Actual</t>
  </si>
  <si>
    <t>Depreciation Expense Adjustment</t>
  </si>
  <si>
    <t>O&amp;M Accrual</t>
  </si>
  <si>
    <t>Capital Accrual</t>
  </si>
  <si>
    <t>Off/Ex</t>
  </si>
  <si>
    <t>Cap</t>
  </si>
  <si>
    <t>NBU Goals Inc Bonus</t>
  </si>
  <si>
    <t>NBU Goals Inc Supp</t>
  </si>
  <si>
    <t>Exec</t>
  </si>
  <si>
    <t>Key Goal Award</t>
  </si>
  <si>
    <t>Key Goal Supp</t>
  </si>
  <si>
    <t>paid bonuses in 18 (Jason Lloyd)</t>
  </si>
  <si>
    <t>Alloc Paid</t>
  </si>
  <si>
    <t>TME 9/30/16</t>
  </si>
  <si>
    <t>TME 9/30/17</t>
  </si>
  <si>
    <t>TME 9/30/18</t>
  </si>
  <si>
    <t xml:space="preserve">   3-Year Average Claims - Extraordinary 1/</t>
  </si>
  <si>
    <t>WACOG Incurred</t>
  </si>
  <si>
    <t>WACOG Deferred</t>
  </si>
  <si>
    <t>Demand Incurred</t>
  </si>
  <si>
    <t>Demand Deferred</t>
  </si>
  <si>
    <t>Amortizations</t>
  </si>
  <si>
    <t>Mist ISS Fuel-in-kind</t>
  </si>
  <si>
    <t>Demand Charges (Net of Deferral)</t>
  </si>
  <si>
    <t>Commodity Charges (Net of Deferral)</t>
  </si>
  <si>
    <t>Officers/Exempt</t>
  </si>
  <si>
    <t>Clerical/Hourly</t>
  </si>
  <si>
    <t>Accruals in TY</t>
  </si>
  <si>
    <t>Perf Bonus</t>
  </si>
  <si>
    <t>Key Goal</t>
  </si>
  <si>
    <t>Alloc Accrued</t>
  </si>
  <si>
    <t>From Kyle file (thru 2017) - 2018 calced using payroll analysis</t>
  </si>
  <si>
    <t>Other Revenues</t>
  </si>
  <si>
    <t>Returned Check</t>
  </si>
  <si>
    <t>Miscellaneous</t>
  </si>
  <si>
    <t>Cost of Gas</t>
  </si>
  <si>
    <t xml:space="preserve">   Total Cost of Gas</t>
  </si>
  <si>
    <t>Pension Costs - Current Cost (Calendar 2018)</t>
  </si>
  <si>
    <t>Pension Adjustment - Washington Allocated Costs</t>
  </si>
  <si>
    <t>System-Wide FAS 87</t>
  </si>
  <si>
    <t>System-Wide Service Cost</t>
  </si>
  <si>
    <t>Service Cost O&amp;M</t>
  </si>
  <si>
    <t>Non-Service Cost</t>
  </si>
  <si>
    <t>Total O&amp;M</t>
  </si>
  <si>
    <t>WA Allocated O&amp;M</t>
  </si>
  <si>
    <t>WA Allocation % (Payroll)</t>
  </si>
  <si>
    <t>Pension (FAS 87)</t>
  </si>
  <si>
    <t>Health and Life</t>
  </si>
  <si>
    <t>Note: Pension administrative costs and Western States not normalized</t>
  </si>
  <si>
    <t>Marketing Expenses - Account 912</t>
  </si>
  <si>
    <t>Total Adjustment for Marketing &amp; Communications</t>
  </si>
  <si>
    <t>Twelve Months Ended September 30, 2018</t>
  </si>
  <si>
    <t>Storage Maint. Expense of Compressor Equp</t>
  </si>
  <si>
    <t>845</t>
  </si>
  <si>
    <t>LNG Fuel Expense - Credit Liquef Costs</t>
  </si>
  <si>
    <t>Price Per Therm</t>
  </si>
  <si>
    <t>Average Class</t>
  </si>
  <si>
    <t>Total Invested Capital</t>
  </si>
  <si>
    <t xml:space="preserve">  Utility Operating Investments</t>
  </si>
  <si>
    <t>Other Investments</t>
  </si>
  <si>
    <t xml:space="preserve">  Total Average Investments (ln 15 + ln 24)</t>
  </si>
  <si>
    <t>Less CWIP   (ln 16)</t>
  </si>
  <si>
    <t>Less Deferred Gas Costs  (ln 22)</t>
  </si>
  <si>
    <t xml:space="preserve">   Investor Supplied Working Capital (ln 6 - ln 28)</t>
  </si>
  <si>
    <t xml:space="preserve">   Allowable Working Capital - System</t>
  </si>
  <si>
    <t xml:space="preserve">   Working Capital Percentage Allowable (ln 31 / ln 28)</t>
  </si>
  <si>
    <t xml:space="preserve">   Allowable Investor Supplied Working Capital (ln 33 X ln 32)</t>
  </si>
  <si>
    <t>Inventory allocation % - firm delivered</t>
  </si>
  <si>
    <t>Working Capital Calculation</t>
  </si>
  <si>
    <t>Washington Post Test-Year Capital Projects</t>
  </si>
  <si>
    <t>Addition to Rate Base</t>
  </si>
  <si>
    <t>Addition to Depreciation Expense</t>
  </si>
  <si>
    <t>September 2017</t>
  </si>
  <si>
    <t>Original</t>
  </si>
  <si>
    <t>POH Adjust</t>
  </si>
  <si>
    <t>Net Clearing</t>
  </si>
  <si>
    <t>Factor %</t>
  </si>
  <si>
    <t>Health</t>
  </si>
  <si>
    <t xml:space="preserve">401k </t>
  </si>
  <si>
    <t>OPEB</t>
  </si>
  <si>
    <t>QP Pension</t>
  </si>
  <si>
    <t>Western States Pension</t>
  </si>
  <si>
    <t>Workers Comp</t>
  </si>
  <si>
    <t>Coos County</t>
  </si>
  <si>
    <t>Direct - OR</t>
  </si>
  <si>
    <t>Small Tools / Transpo / Vehicles</t>
  </si>
  <si>
    <t>Sept 2018</t>
  </si>
  <si>
    <t>POHs - 9/30/18 12 month rolling payroll mix</t>
  </si>
  <si>
    <t>630/640'S - Small tools mix - updated mix per M. Cresalia</t>
  </si>
  <si>
    <t>645'S - Vehicles - updated mix</t>
  </si>
  <si>
    <t>Per Accounting:</t>
  </si>
  <si>
    <t xml:space="preserve">   Net Clearing</t>
  </si>
  <si>
    <t>Washington Alloc</t>
  </si>
  <si>
    <t>Return on Equity Consultant</t>
  </si>
  <si>
    <t>Cost of Service / Rate Design Consultant</t>
  </si>
  <si>
    <t>Outside Legal</t>
  </si>
  <si>
    <t xml:space="preserve">   Total</t>
  </si>
  <si>
    <t>O&amp;M based on Regulatory application of Pension related costs in O&amp;M (costs map to Non-Operating for GAAP).</t>
  </si>
  <si>
    <t>MISC SERV REV- Scheduled CNG Main Rev</t>
  </si>
  <si>
    <t>MISC SERV REV- Unscheduled CNG Main Rev</t>
  </si>
  <si>
    <t>RENT FROM GAS PROP - Schedule H CNG Reve</t>
  </si>
  <si>
    <t>OTHER GAS REVENUES-CNG METER RENTALS</t>
  </si>
  <si>
    <t>OTHER GAS REVENUES-MULTIPLE CALL OUT FEE</t>
  </si>
  <si>
    <t>OTHER GAS REVENUES-PRIORITY SCHEDULING F</t>
  </si>
  <si>
    <t>OTHER GAS REVENUES-CURTAILMENT UNAUTH TA</t>
  </si>
  <si>
    <t>Non-AMR Install/Remove Charge</t>
  </si>
  <si>
    <t>Non-AMR Read Charge</t>
  </si>
  <si>
    <t>Miscellaneous Revenues</t>
  </si>
  <si>
    <t>Rate Adjustments (Rev Def &amp; Amort)</t>
  </si>
  <si>
    <t>Split of Actuals</t>
  </si>
  <si>
    <t>Land &amp; Structures</t>
  </si>
  <si>
    <t xml:space="preserve">   Total Depreciation</t>
  </si>
  <si>
    <t>Customers All</t>
  </si>
  <si>
    <t>3-Factor</t>
  </si>
  <si>
    <t>Per Alloc History</t>
  </si>
  <si>
    <t>Firm Volumes</t>
  </si>
  <si>
    <t>Total Marketing and Advertising</t>
  </si>
  <si>
    <t>Direct &amp; 3-Factor</t>
  </si>
  <si>
    <t>Department of Energy</t>
  </si>
  <si>
    <t>Gas Reserves</t>
  </si>
  <si>
    <t>Adjusted Payroll - O&amp;M</t>
  </si>
  <si>
    <t>Test Period Payroll - O&amp;M</t>
  </si>
  <si>
    <t>Clearing Allocation %'s</t>
  </si>
  <si>
    <t>Determination of Clearing Amounts</t>
  </si>
  <si>
    <t>Clearing Accounts Classified</t>
  </si>
  <si>
    <t>Clearing Accounts Allocated to Washington</t>
  </si>
  <si>
    <t>September 2018</t>
  </si>
  <si>
    <t>North Mist Property Tax</t>
  </si>
  <si>
    <t>FTEs</t>
  </si>
  <si>
    <t>Total Health</t>
  </si>
  <si>
    <t>Exempt</t>
  </si>
  <si>
    <t>Non-Exempt</t>
  </si>
  <si>
    <t>Union</t>
  </si>
  <si>
    <t>2019 Costs</t>
  </si>
  <si>
    <t>H&amp;L Active</t>
  </si>
  <si>
    <t>Post-Retire</t>
  </si>
  <si>
    <t>Total H&amp;L</t>
  </si>
  <si>
    <t>Oregon only - from Gas Reserves</t>
  </si>
  <si>
    <t>Federal Tax Credits</t>
  </si>
  <si>
    <t>Federal Research Credit - increase from TCJA</t>
  </si>
  <si>
    <t xml:space="preserve">State Tax Rate </t>
  </si>
  <si>
    <t>State Income Tax</t>
  </si>
  <si>
    <t xml:space="preserve">Federal Tax Rate </t>
  </si>
  <si>
    <t>Total 2018 Perms</t>
  </si>
  <si>
    <t>Prop Tax elim</t>
  </si>
  <si>
    <t>Net Perms</t>
  </si>
  <si>
    <t>Federal Income Tax Before Credits</t>
  </si>
  <si>
    <t xml:space="preserve">Federal Income Tax </t>
  </si>
  <si>
    <t>Excess Deferred Tax Amortization</t>
  </si>
  <si>
    <t>Plant Related Excess Deferred Taxes</t>
  </si>
  <si>
    <t>Non-Plant Related Excess Deferred Taxes</t>
  </si>
  <si>
    <t>EDIT</t>
  </si>
  <si>
    <t>Amortization</t>
  </si>
  <si>
    <t>Reduction of Deferred Taxes - Rate Base (3-Year Ave)</t>
  </si>
  <si>
    <t>2019 NBU Adjustment March 1, 2019</t>
  </si>
  <si>
    <t>DEF INC TAX-UTIL-DEP</t>
  </si>
  <si>
    <t>283061</t>
  </si>
  <si>
    <t>283062</t>
  </si>
  <si>
    <t>2018 September Balances:</t>
  </si>
  <si>
    <t>SYS</t>
  </si>
  <si>
    <t>Accumulated Deferred Income Tax - Depreciation</t>
  </si>
  <si>
    <t>&lt; Allocation</t>
  </si>
  <si>
    <t>Tax Reform Reg. Liability - Plant (254100)</t>
  </si>
  <si>
    <t>&lt; Actual</t>
  </si>
  <si>
    <t>Tax Reform DTA - Plant (283012)</t>
  </si>
  <si>
    <t>&lt; Calc'd</t>
  </si>
  <si>
    <t>Net Plant Related Balance</t>
  </si>
  <si>
    <t>Fed Grossed Up</t>
  </si>
  <si>
    <t>WA Alloc</t>
  </si>
  <si>
    <t>Accum Deprec Factor</t>
  </si>
  <si>
    <t>fed</t>
  </si>
  <si>
    <t>state</t>
  </si>
  <si>
    <t>Deferred Tax- Washington Allocated</t>
  </si>
  <si>
    <t>Deferred Tax- System</t>
  </si>
  <si>
    <t xml:space="preserve">   Washington Rate Base (excludes WC - includes adjustments)</t>
  </si>
  <si>
    <t>Property Taxes - Capitalized</t>
  </si>
  <si>
    <t>Property Taxes - Paid During 2018</t>
  </si>
  <si>
    <t xml:space="preserve">   Riders external to Rate Case Revenue Requirement</t>
  </si>
  <si>
    <t>Depreciation Expense - New Rates</t>
  </si>
  <si>
    <t>Annualized 2017 Wage Increases (2 months) BU</t>
  </si>
  <si>
    <t>42014</t>
  </si>
  <si>
    <t>SEC REPORTING</t>
  </si>
  <si>
    <t>44010</t>
  </si>
  <si>
    <t>FIN PLANNING &amp; BUDGE</t>
  </si>
  <si>
    <t>46010</t>
  </si>
  <si>
    <t>CORP SECRETARY</t>
  </si>
  <si>
    <t>46020</t>
  </si>
  <si>
    <t>SHAREHOLDER SVCS</t>
  </si>
  <si>
    <t>46030</t>
  </si>
  <si>
    <t>CORP ETHICS &amp; COMPL</t>
  </si>
  <si>
    <t>48010</t>
  </si>
  <si>
    <t>INVESTOR RELATIONS</t>
  </si>
  <si>
    <t>72500</t>
  </si>
  <si>
    <t>INTERNAL AUDITING</t>
  </si>
  <si>
    <t>73600</t>
  </si>
  <si>
    <t>VP &amp; CORPORATE SECTY</t>
  </si>
  <si>
    <t>Washington Allocated Director Expense</t>
  </si>
  <si>
    <t>Cost per Director (12 Directors)</t>
  </si>
  <si>
    <t>Total Adjustment</t>
  </si>
  <si>
    <t>Adjustment for Additional Director</t>
  </si>
  <si>
    <t>Holdco</t>
  </si>
  <si>
    <t>Director</t>
  </si>
  <si>
    <t>(t)</t>
  </si>
  <si>
    <t>Holdco Adjustment</t>
  </si>
  <si>
    <t>Director Adjustment</t>
  </si>
  <si>
    <t>Pre Tax Income Adjusted for Permanents</t>
  </si>
  <si>
    <t>Pre Tax Income Adj for Perms and State Tax</t>
  </si>
  <si>
    <t>from master state allocation - TME 9-30-18</t>
  </si>
  <si>
    <t>tax deferral is left in for sys / out for WA</t>
  </si>
  <si>
    <t>System excludes 2% franchise rev</t>
  </si>
  <si>
    <t>System O&amp;M from Income statement (to include SRRM in revs)</t>
  </si>
  <si>
    <t>Note:</t>
  </si>
  <si>
    <t>O&amp;M above excludes amounts that are not intended to be recoverable in ratemaking.</t>
  </si>
  <si>
    <t>O&amp;M above varies from Test Year Result for System due to exclusions above and SRRM environmental offset.</t>
  </si>
  <si>
    <t>Gas Reserves for System are included in rate base to match Oregon contribution to System revenues</t>
  </si>
  <si>
    <t>Tax Calculated (include Tax Credits)</t>
  </si>
  <si>
    <t>Normalized to test year average pay per executive times ending 12 Officers</t>
  </si>
  <si>
    <t xml:space="preserve">Adjusted Employee Count - Year-end   1/ </t>
  </si>
  <si>
    <t>1/  Reflects expected retirement of HR executive</t>
  </si>
  <si>
    <t>Subject to Allocation (3.4)</t>
  </si>
  <si>
    <t>Subject to Allocation (10.0)</t>
  </si>
  <si>
    <t>Percent of Total</t>
  </si>
  <si>
    <t>Worksheet d</t>
  </si>
  <si>
    <t>Worksheet j</t>
  </si>
  <si>
    <t>Worksheet l (1)</t>
  </si>
  <si>
    <t>Worksheet l (2)</t>
  </si>
  <si>
    <t>Worksheet n</t>
  </si>
  <si>
    <t>Worksheet m</t>
  </si>
  <si>
    <t>Worksheet o</t>
  </si>
  <si>
    <t>Worksheet r</t>
  </si>
  <si>
    <t>Worksheet q</t>
  </si>
  <si>
    <t>Washington Jurisdictional Rate Case</t>
  </si>
  <si>
    <t>Test Year Twelve Months Ended September 30, 2018</t>
  </si>
  <si>
    <t>Normalized Test Year Revenue and Gas Costs</t>
  </si>
  <si>
    <t>Special Contract</t>
  </si>
  <si>
    <t>Demand Charges</t>
  </si>
  <si>
    <t>Commodity Charges</t>
  </si>
  <si>
    <t>SUM</t>
  </si>
  <si>
    <t>KSM-4 p6 - Revenue &amp; Gas Cost'!E15+'KSM-4 p6 - Revenue &amp; Gas Cost'!E17</t>
  </si>
  <si>
    <t>KSM-4 p6 - Revenue &amp; Gas Cost'!E25</t>
  </si>
  <si>
    <t>WP - Other Rev &amp; Tax'!E18</t>
  </si>
  <si>
    <t>KSM-4 p6 - Revenue &amp; Gas Cost'!E35</t>
  </si>
  <si>
    <t>KSM-3 p2 &amp; p3 - O&amp;M'!F71</t>
  </si>
  <si>
    <t>KSM-3 p2 &amp; p3 - O&amp;M'!F106-C20</t>
  </si>
  <si>
    <t>KSM-3 p5 - Taxes'!C27</t>
  </si>
  <si>
    <t>WP - Other Rev &amp; Tax'!E21</t>
  </si>
  <si>
    <t>WP - Other Rev &amp; Tax'!E28-C27</t>
  </si>
  <si>
    <t>WP - Other Rev &amp; Tax'!E40</t>
  </si>
  <si>
    <t>C16-C31</t>
  </si>
  <si>
    <t>KSM-3 p6 &amp; p7 - AMA Rate Base'!Q91</t>
  </si>
  <si>
    <t>Source Column (a)</t>
  </si>
  <si>
    <t>Source</t>
  </si>
  <si>
    <t>Cost of Capital Testimony Exh. BJW-1T Pg 10</t>
  </si>
  <si>
    <t>Cost of Capital Testimony Exh. BJW-1T Pg 11</t>
  </si>
  <si>
    <t>Cost of Capital Testimony Exh. BJW-1T Pg 12</t>
  </si>
  <si>
    <t>Tax Exh. SRB-5, Pg. 1</t>
  </si>
  <si>
    <t>'WP - Other Rev &amp; Tax'!E40</t>
  </si>
  <si>
    <t>Percentage allocations per Accounting study</t>
  </si>
  <si>
    <t>Amount Allocable to Affiliates (3.4%)  1/</t>
  </si>
  <si>
    <t>Amount Allocable to Affiliates (10%)  1/</t>
  </si>
  <si>
    <t>page is duplicate of "KSM-2 p1 - Rev Req" tab</t>
  </si>
  <si>
    <t>'KSM-4 p10 - Uncollectible'!C48</t>
  </si>
  <si>
    <t>Tax Code</t>
  </si>
  <si>
    <t>'WP - Other Rev &amp; Tax'!E21</t>
  </si>
  <si>
    <t>Washington Allocated amounts from Departments</t>
  </si>
  <si>
    <t>'KSM-4 p16 - Payroll 1'!C23</t>
  </si>
  <si>
    <t>'KSM-4 p16 - Payroll 1'!C25</t>
  </si>
  <si>
    <t>per Tax Dept</t>
  </si>
  <si>
    <t>Uses 2017 Calendar as proxy</t>
  </si>
  <si>
    <t>Per Washington DOR website</t>
  </si>
  <si>
    <t>Per 2107 Fee Calculation Sheet</t>
  </si>
  <si>
    <t>per increases specified below</t>
  </si>
  <si>
    <t>KSM-4 p22 - Holdco</t>
  </si>
  <si>
    <t>Source: Income Statement Detail</t>
  </si>
  <si>
    <t>WP - Deferred Tax tab</t>
  </si>
  <si>
    <t>181053-NWN-KSM-xlsx-WP15-1-4-2019</t>
  </si>
  <si>
    <t>181053-NWN-KSM-xlsx-WP25-1-4-2019</t>
  </si>
  <si>
    <t>181053-NWN-KSM-xlsx-WP24-1-4-2019</t>
  </si>
  <si>
    <t>181053-NWN-KSM-xlsx-WP7-1-4-2019</t>
  </si>
  <si>
    <t>N/A</t>
  </si>
  <si>
    <t>181053-NWN-KSM-xlsx-WP13-1-4-2019</t>
  </si>
  <si>
    <t>181053-NWN-KSM-xlsx-WP23-1-4-2019</t>
  </si>
  <si>
    <t>181053-NWN-KSM-xlsx-WP21-1-4-2019</t>
  </si>
  <si>
    <t>181053-NWN-KSM-xlsx-WP22-1-4-2020</t>
  </si>
  <si>
    <t>181053-NWN-KSM-xlsx-WP20-1-4-2019</t>
  </si>
  <si>
    <t>181053-NWN-KSM-xlsx-WP17-1-4-2019</t>
  </si>
  <si>
    <t>181053-NWN-KSM-xlsx-WP17-1-4-2021</t>
  </si>
  <si>
    <t>181053-NWN-KSM-xlsx-WP34-1-4-2019</t>
  </si>
  <si>
    <t>181053-NWN-KSM-xlsx-WP35-1-4-2019</t>
  </si>
  <si>
    <t xml:space="preserve">per HR </t>
  </si>
  <si>
    <t>181053-NWN-KSM-xlsx-WP16-1-4-2019</t>
  </si>
  <si>
    <t>181053-NWN-KSM-xlsx-WP19-1-4-2019</t>
  </si>
  <si>
    <t>181053-NWN-KSM-xlsx-WP30-1-4-2019</t>
  </si>
  <si>
    <t>Rate Base Allocation Factor</t>
  </si>
  <si>
    <t>181053-NWN-KSM-xlsx-WP14-1-4-2021</t>
  </si>
  <si>
    <t>select cost centers</t>
  </si>
  <si>
    <t>Table at right</t>
  </si>
  <si>
    <t>HR Reports</t>
  </si>
  <si>
    <t>Estimate</t>
  </si>
  <si>
    <t>Row 32 below</t>
  </si>
  <si>
    <t>181053-NWN-KSM-xlsx-WP39-1-4-2019</t>
  </si>
  <si>
    <t>181053-NWN-KSM-xlsx-WP10-1-4-2019</t>
  </si>
  <si>
    <t>Human Resources Payroll Dept</t>
  </si>
  <si>
    <t>Payroll Analysis</t>
  </si>
  <si>
    <t>Report</t>
  </si>
  <si>
    <t>in 2016 1/</t>
  </si>
  <si>
    <t>in 2017 1/</t>
  </si>
  <si>
    <t>1/  Paid amounts in 2016 and 2017 taken from 2017 Commission Basis Report</t>
  </si>
  <si>
    <t>Test Year IS - System (IS sign convention)</t>
  </si>
  <si>
    <t>Normalized from 181053-NWN-KSM-xlsx-WP2-1-4-2019</t>
  </si>
  <si>
    <t>Actuals from 181053-NWN-KSM-xlsx-WP6-1-4-2019</t>
  </si>
  <si>
    <t>181053-NWN-KSM-xlsx-WP38-1-4-2019</t>
  </si>
  <si>
    <t>181053-NWN-KSM-xlsx-WP37-1-4-2019</t>
  </si>
  <si>
    <t>Gross</t>
  </si>
  <si>
    <t>Gas</t>
  </si>
  <si>
    <t>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</si>
</sst>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&quot;$&quot;#,##0.0_);\(&quot;$&quot;#,##0.0\)"/>
    <numFmt numFmtId="168" formatCode="#,##0.0"/>
    <numFmt numFmtId="169" formatCode="General_)"/>
    <numFmt numFmtId="170" formatCode="_(* #,##0_);_(* \(#,##0\);_(* &quot;-&quot;??_);_(@_)"/>
    <numFmt numFmtId="171" formatCode="&quot;$&quot;#,##0.00000_);\(&quot;$&quot;#,##0.00000\)"/>
    <numFmt numFmtId="172" formatCode="#,##0.000"/>
    <numFmt numFmtId="173" formatCode="#,##0.0_);\(#,##0.0\)"/>
    <numFmt numFmtId="174" formatCode="#,##0.00000"/>
    <numFmt numFmtId="175" formatCode="0.00000"/>
    <numFmt numFmtId="176" formatCode="0_);\(0\)"/>
    <numFmt numFmtId="177" formatCode="#,##0.0000"/>
    <numFmt numFmtId="178" formatCode="#,##0.000000"/>
    <numFmt numFmtId="179" formatCode="_(&quot;$&quot;* #,##0_);_(&quot;$&quot;* \(#,##0\);_(&quot;$&quot;* &quot;-&quot;??_);_(@_)"/>
  </numFmts>
  <fonts count="15" x14ac:knownFonts="1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>
      <alignment vertical="top"/>
    </xf>
    <xf numFmtId="0" fontId="3" fillId="0" borderId="0">
      <alignment vertical="top"/>
    </xf>
    <xf numFmtId="4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7" fontId="6" fillId="0" borderId="0" applyFont="0" applyFill="0" applyBorder="0" applyAlignment="0" applyProtection="0">
      <alignment vertical="top"/>
    </xf>
    <xf numFmtId="5" fontId="3" fillId="0" borderId="0">
      <alignment vertical="top"/>
    </xf>
    <xf numFmtId="5" fontId="3" fillId="0" borderId="0">
      <alignment vertical="top"/>
    </xf>
    <xf numFmtId="5" fontId="6" fillId="0" borderId="0" applyFont="0" applyFill="0" applyBorder="0" applyAlignment="0" applyProtection="0">
      <alignment vertical="top"/>
    </xf>
    <xf numFmtId="0" fontId="3" fillId="0" borderId="0">
      <alignment vertical="top"/>
    </xf>
    <xf numFmtId="0" fontId="6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0" fontId="3" fillId="0" borderId="0">
      <alignment horizontal="right" vertical="top"/>
    </xf>
    <xf numFmtId="0" fontId="2" fillId="0" borderId="0">
      <alignment vertical="top"/>
    </xf>
    <xf numFmtId="0" fontId="5" fillId="0" borderId="0"/>
    <xf numFmtId="0" fontId="3" fillId="0" borderId="0">
      <alignment vertical="top"/>
    </xf>
    <xf numFmtId="3" fontId="2" fillId="0" borderId="1">
      <alignment vertical="top"/>
    </xf>
    <xf numFmtId="10" fontId="6" fillId="0" borderId="0" applyFont="0" applyFill="0" applyBorder="0" applyAlignment="0" applyProtection="0">
      <alignment vertical="top"/>
    </xf>
    <xf numFmtId="10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2" applyNumberFormat="0" applyFont="0" applyFill="0" applyAlignment="0" applyProtection="0">
      <alignment vertical="top"/>
    </xf>
    <xf numFmtId="0" fontId="3" fillId="0" borderId="0"/>
    <xf numFmtId="0" fontId="3" fillId="0" borderId="0"/>
    <xf numFmtId="0" fontId="3" fillId="0" borderId="0">
      <alignment vertical="top"/>
    </xf>
  </cellStyleXfs>
  <cellXfs count="532">
    <xf numFmtId="3" fontId="0" fillId="0" borderId="0" xfId="0" applyNumberFormat="1">
      <alignment vertical="top"/>
    </xf>
    <xf numFmtId="0" fontId="8" fillId="0" borderId="0" xfId="0" applyFont="1">
      <alignment vertical="top"/>
    </xf>
    <xf numFmtId="3" fontId="9" fillId="0" borderId="0" xfId="0" applyNumberFormat="1" applyFont="1">
      <alignment vertical="top"/>
    </xf>
    <xf numFmtId="0" fontId="9" fillId="0" borderId="0" xfId="0" applyFont="1" applyBorder="1">
      <alignment vertical="top"/>
    </xf>
    <xf numFmtId="0" fontId="9" fillId="0" borderId="0" xfId="0" applyFont="1">
      <alignment vertical="top"/>
    </xf>
    <xf numFmtId="3" fontId="8" fillId="0" borderId="0" xfId="0" quotePrefix="1" applyNumberFormat="1" applyFont="1" applyAlignment="1">
      <alignment horizontal="left" vertical="top"/>
    </xf>
    <xf numFmtId="0" fontId="9" fillId="0" borderId="0" xfId="0" applyFont="1" applyFill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176" fontId="8" fillId="0" borderId="3" xfId="0" quotePrefix="1" applyNumberFormat="1" applyFont="1" applyBorder="1" applyAlignment="1">
      <alignment horizontal="center"/>
    </xf>
    <xf numFmtId="37" fontId="8" fillId="0" borderId="3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Fill="1" applyBorder="1">
      <alignment vertical="top"/>
    </xf>
    <xf numFmtId="3" fontId="8" fillId="0" borderId="0" xfId="3" applyFont="1" applyBorder="1">
      <alignment vertical="top"/>
    </xf>
    <xf numFmtId="41" fontId="8" fillId="0" borderId="0" xfId="3" applyNumberFormat="1" applyFont="1" applyFill="1" applyBorder="1" applyAlignment="1">
      <alignment horizontal="center" vertical="top"/>
    </xf>
    <xf numFmtId="3" fontId="8" fillId="0" borderId="0" xfId="3" applyFont="1" applyFill="1" applyBorder="1" applyAlignment="1">
      <alignment horizontal="center" vertical="top"/>
    </xf>
    <xf numFmtId="3" fontId="8" fillId="0" borderId="0" xfId="3" applyFont="1" applyFill="1" applyBorder="1">
      <alignment vertical="top"/>
    </xf>
    <xf numFmtId="41" fontId="9" fillId="0" borderId="0" xfId="3" applyNumberFormat="1" applyFont="1" applyFill="1" applyBorder="1">
      <alignment vertical="top"/>
    </xf>
    <xf numFmtId="41" fontId="9" fillId="0" borderId="0" xfId="3" quotePrefix="1" applyNumberFormat="1" applyFont="1" applyFill="1" applyBorder="1">
      <alignment vertical="top"/>
    </xf>
    <xf numFmtId="41" fontId="9" fillId="0" borderId="3" xfId="3" applyNumberFormat="1" applyFont="1" applyFill="1" applyBorder="1">
      <alignment vertical="top"/>
    </xf>
    <xf numFmtId="41" fontId="9" fillId="0" borderId="4" xfId="3" applyNumberFormat="1" applyFont="1" applyFill="1" applyBorder="1">
      <alignment vertical="top"/>
    </xf>
    <xf numFmtId="0" fontId="9" fillId="0" borderId="0" xfId="0" applyFont="1" applyAlignment="1"/>
    <xf numFmtId="43" fontId="9" fillId="0" borderId="0" xfId="3" applyNumberFormat="1" applyFont="1" applyFill="1" applyBorder="1">
      <alignment vertical="top"/>
    </xf>
    <xf numFmtId="3" fontId="9" fillId="0" borderId="0" xfId="0" applyNumberFormat="1" applyFont="1" applyAlignment="1">
      <alignment horizontal="center" vertical="top"/>
    </xf>
    <xf numFmtId="3" fontId="8" fillId="0" borderId="0" xfId="3" applyFont="1">
      <alignment vertical="top"/>
    </xf>
    <xf numFmtId="10" fontId="9" fillId="0" borderId="0" xfId="19" applyFont="1">
      <alignment vertical="top"/>
    </xf>
    <xf numFmtId="0" fontId="8" fillId="0" borderId="0" xfId="0" applyFont="1" applyFill="1" applyBorder="1">
      <alignment vertical="top"/>
    </xf>
    <xf numFmtId="3" fontId="8" fillId="0" borderId="0" xfId="3" quotePrefix="1" applyFont="1" applyAlignment="1">
      <alignment horizontal="left" vertical="top"/>
    </xf>
    <xf numFmtId="41" fontId="9" fillId="0" borderId="4" xfId="3" applyNumberFormat="1" applyFont="1" applyBorder="1">
      <alignment vertical="top"/>
    </xf>
    <xf numFmtId="37" fontId="9" fillId="0" borderId="0" xfId="2" applyNumberFormat="1" applyFont="1">
      <alignment vertical="top"/>
    </xf>
    <xf numFmtId="37" fontId="9" fillId="0" borderId="0" xfId="2" applyNumberFormat="1" applyFont="1" applyFill="1">
      <alignment vertical="top"/>
    </xf>
    <xf numFmtId="0" fontId="8" fillId="0" borderId="0" xfId="0" applyFont="1" applyAlignment="1">
      <alignment horizontal="left" vertical="top"/>
    </xf>
    <xf numFmtId="37" fontId="8" fillId="0" borderId="0" xfId="0" applyNumberFormat="1" applyFont="1">
      <alignment vertical="top"/>
    </xf>
    <xf numFmtId="37" fontId="9" fillId="0" borderId="0" xfId="0" applyNumberFormat="1" applyFont="1">
      <alignment vertical="top"/>
    </xf>
    <xf numFmtId="37" fontId="9" fillId="0" borderId="0" xfId="2" applyNumberFormat="1" applyFont="1" applyBorder="1">
      <alignment vertical="top"/>
    </xf>
    <xf numFmtId="37" fontId="9" fillId="0" borderId="0" xfId="2" applyNumberFormat="1" applyFont="1" applyFill="1" applyBorder="1">
      <alignment vertical="top"/>
    </xf>
    <xf numFmtId="0" fontId="8" fillId="0" borderId="0" xfId="0" quotePrefix="1" applyFont="1" applyAlignment="1">
      <alignment horizontal="left" vertical="top"/>
    </xf>
    <xf numFmtId="5" fontId="9" fillId="0" borderId="0" xfId="0" applyNumberFormat="1" applyFont="1" applyBorder="1">
      <alignment vertical="top"/>
    </xf>
    <xf numFmtId="5" fontId="9" fillId="0" borderId="7" xfId="0" applyNumberFormat="1" applyFont="1" applyFill="1" applyBorder="1">
      <alignment vertical="top"/>
    </xf>
    <xf numFmtId="3" fontId="8" fillId="0" borderId="0" xfId="3" applyFont="1" applyFill="1">
      <alignment vertical="top"/>
    </xf>
    <xf numFmtId="3" fontId="9" fillId="0" borderId="0" xfId="0" applyNumberFormat="1" applyFont="1" applyBorder="1">
      <alignment vertical="top"/>
    </xf>
    <xf numFmtId="3" fontId="9" fillId="0" borderId="0" xfId="0" applyNumberFormat="1" applyFont="1" applyFill="1">
      <alignment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164" fontId="9" fillId="0" borderId="0" xfId="19" applyNumberFormat="1" applyFont="1" applyAlignment="1">
      <alignment horizontal="right" vertical="top"/>
    </xf>
    <xf numFmtId="164" fontId="9" fillId="0" borderId="0" xfId="19" applyNumberFormat="1" applyFont="1" applyFill="1" applyBorder="1" applyAlignment="1" applyProtection="1">
      <alignment vertical="top"/>
    </xf>
    <xf numFmtId="164" fontId="9" fillId="0" borderId="0" xfId="19" applyNumberFormat="1" applyFont="1" applyFill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>
      <alignment vertical="top"/>
    </xf>
    <xf numFmtId="3" fontId="8" fillId="0" borderId="0" xfId="0" applyNumberFormat="1" applyFont="1">
      <alignment vertical="top"/>
    </xf>
    <xf numFmtId="164" fontId="9" fillId="0" borderId="0" xfId="19" applyNumberFormat="1" applyFo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8" fontId="8" fillId="0" borderId="0" xfId="0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>
      <alignment vertical="top"/>
    </xf>
    <xf numFmtId="37" fontId="9" fillId="0" borderId="0" xfId="3" applyNumberFormat="1" applyFont="1">
      <alignment vertical="top"/>
    </xf>
    <xf numFmtId="37" fontId="9" fillId="0" borderId="3" xfId="2" applyNumberFormat="1" applyFont="1" applyBorder="1">
      <alignment vertical="top"/>
    </xf>
    <xf numFmtId="37" fontId="9" fillId="0" borderId="3" xfId="3" applyNumberFormat="1" applyFont="1" applyBorder="1">
      <alignment vertical="top"/>
    </xf>
    <xf numFmtId="5" fontId="8" fillId="0" borderId="0" xfId="0" applyNumberFormat="1" applyFont="1">
      <alignment vertical="top"/>
    </xf>
    <xf numFmtId="0" fontId="9" fillId="0" borderId="0" xfId="0" applyNumberFormat="1" applyFont="1">
      <alignment vertical="top"/>
    </xf>
    <xf numFmtId="5" fontId="9" fillId="0" borderId="4" xfId="8" applyFont="1" applyBorder="1">
      <alignment vertical="top"/>
    </xf>
    <xf numFmtId="5" fontId="9" fillId="0" borderId="0" xfId="8" applyFont="1">
      <alignment vertical="top"/>
    </xf>
    <xf numFmtId="10" fontId="9" fillId="0" borderId="4" xfId="0" applyNumberFormat="1" applyFont="1" applyBorder="1">
      <alignment vertical="top"/>
    </xf>
    <xf numFmtId="10" fontId="9" fillId="0" borderId="0" xfId="0" applyNumberFormat="1" applyFont="1">
      <alignment vertical="top"/>
    </xf>
    <xf numFmtId="3" fontId="8" fillId="0" borderId="0" xfId="2" applyNumberFormat="1" applyFont="1">
      <alignment vertical="top"/>
    </xf>
    <xf numFmtId="3" fontId="9" fillId="0" borderId="3" xfId="0" applyNumberFormat="1" applyFont="1" applyBorder="1">
      <alignment vertical="top"/>
    </xf>
    <xf numFmtId="9" fontId="9" fillId="0" borderId="0" xfId="0" applyNumberFormat="1" applyFont="1">
      <alignment vertical="top"/>
    </xf>
    <xf numFmtId="0" fontId="8" fillId="0" borderId="0" xfId="0" applyFont="1" applyAlignment="1">
      <alignment horizontal="left"/>
    </xf>
    <xf numFmtId="10" fontId="8" fillId="0" borderId="0" xfId="0" applyNumberFormat="1" applyFont="1">
      <alignment vertical="top"/>
    </xf>
    <xf numFmtId="3" fontId="8" fillId="0" borderId="3" xfId="0" applyNumberFormat="1" applyFont="1" applyBorder="1">
      <alignment vertical="top"/>
    </xf>
    <xf numFmtId="165" fontId="9" fillId="0" borderId="0" xfId="19" applyNumberFormat="1" applyFont="1">
      <alignment vertical="top"/>
    </xf>
    <xf numFmtId="10" fontId="9" fillId="0" borderId="3" xfId="19" applyFont="1" applyBorder="1">
      <alignment vertical="top"/>
    </xf>
    <xf numFmtId="10" fontId="9" fillId="0" borderId="4" xfId="19" applyFont="1" applyBorder="1">
      <alignment vertical="top"/>
    </xf>
    <xf numFmtId="164" fontId="9" fillId="0" borderId="0" xfId="0" applyNumberFormat="1" applyFont="1">
      <alignment vertical="top"/>
    </xf>
    <xf numFmtId="164" fontId="9" fillId="0" borderId="3" xfId="0" applyNumberFormat="1" applyFont="1" applyBorder="1">
      <alignment vertical="top"/>
    </xf>
    <xf numFmtId="164" fontId="9" fillId="0" borderId="4" xfId="0" applyNumberFormat="1" applyFont="1" applyBorder="1">
      <alignment vertical="top"/>
    </xf>
    <xf numFmtId="10" fontId="9" fillId="0" borderId="0" xfId="19" applyFont="1" applyFill="1">
      <alignment vertical="top"/>
    </xf>
    <xf numFmtId="164" fontId="9" fillId="0" borderId="0" xfId="19" applyNumberFormat="1" applyFont="1" applyFill="1">
      <alignment vertical="top"/>
    </xf>
    <xf numFmtId="10" fontId="9" fillId="0" borderId="3" xfId="19" applyFont="1" applyFill="1" applyBorder="1">
      <alignment vertical="top"/>
    </xf>
    <xf numFmtId="3" fontId="8" fillId="0" borderId="5" xfId="0" applyNumberFormat="1" applyFont="1" applyBorder="1" applyAlignment="1">
      <alignment horizontal="center" vertical="top"/>
    </xf>
    <xf numFmtId="5" fontId="8" fillId="0" borderId="0" xfId="0" applyNumberFormat="1" applyFont="1" applyAlignment="1">
      <alignment horizontal="center" vertical="top"/>
    </xf>
    <xf numFmtId="37" fontId="9" fillId="0" borderId="3" xfId="0" applyNumberFormat="1" applyFont="1" applyBorder="1">
      <alignment vertical="top"/>
    </xf>
    <xf numFmtId="3" fontId="9" fillId="0" borderId="0" xfId="0" quotePrefix="1" applyNumberFormat="1" applyFont="1" applyAlignment="1">
      <alignment horizontal="left" vertical="top"/>
    </xf>
    <xf numFmtId="37" fontId="9" fillId="0" borderId="0" xfId="3" quotePrefix="1" applyNumberFormat="1" applyFont="1" applyAlignment="1">
      <alignment horizontal="left" vertical="top"/>
    </xf>
    <xf numFmtId="37" fontId="9" fillId="0" borderId="0" xfId="19" applyNumberFormat="1" applyFont="1">
      <alignment vertical="top"/>
    </xf>
    <xf numFmtId="5" fontId="9" fillId="0" borderId="4" xfId="8" applyNumberFormat="1" applyFont="1" applyBorder="1">
      <alignment vertical="top"/>
    </xf>
    <xf numFmtId="3" fontId="8" fillId="0" borderId="3" xfId="2" applyNumberFormat="1" applyFont="1" applyBorder="1" applyAlignment="1">
      <alignment horizontal="center" vertical="top"/>
    </xf>
    <xf numFmtId="3" fontId="8" fillId="0" borderId="0" xfId="2" applyNumberFormat="1" applyFont="1" applyAlignment="1">
      <alignment horizontal="center" vertical="top"/>
    </xf>
    <xf numFmtId="3" fontId="9" fillId="0" borderId="3" xfId="0" applyNumberFormat="1" applyFont="1" applyBorder="1" applyAlignment="1">
      <alignment horizontal="center" vertical="top"/>
    </xf>
    <xf numFmtId="3" fontId="9" fillId="0" borderId="0" xfId="2" applyNumberFormat="1" applyFont="1" applyAlignment="1">
      <alignment horizontal="center" vertical="top"/>
    </xf>
    <xf numFmtId="3" fontId="9" fillId="0" borderId="0" xfId="2" applyNumberFormat="1" applyFont="1" applyFill="1" applyAlignment="1">
      <alignment horizontal="center" vertical="top"/>
    </xf>
    <xf numFmtId="37" fontId="9" fillId="0" borderId="3" xfId="2" applyNumberFormat="1" applyFont="1" applyFill="1" applyBorder="1">
      <alignment vertical="top"/>
    </xf>
    <xf numFmtId="3" fontId="8" fillId="0" borderId="0" xfId="2" applyNumberFormat="1" applyFont="1" applyAlignment="1">
      <alignment horizontal="left" vertical="top" indent="1"/>
    </xf>
    <xf numFmtId="4" fontId="9" fillId="0" borderId="0" xfId="0" applyNumberFormat="1" applyFont="1" applyAlignment="1">
      <alignment horizontal="center" vertical="top"/>
    </xf>
    <xf numFmtId="37" fontId="9" fillId="0" borderId="0" xfId="20" applyNumberFormat="1" applyFont="1">
      <alignment vertical="top"/>
    </xf>
    <xf numFmtId="37" fontId="9" fillId="0" borderId="0" xfId="2" applyNumberFormat="1" applyFont="1" applyFill="1" applyAlignment="1">
      <alignment horizontal="right" vertical="top"/>
    </xf>
    <xf numFmtId="37" fontId="9" fillId="0" borderId="0" xfId="2" applyNumberFormat="1" applyFont="1" applyAlignment="1">
      <alignment horizontal="right" vertical="top"/>
    </xf>
    <xf numFmtId="37" fontId="9" fillId="0" borderId="3" xfId="2" applyNumberFormat="1" applyFont="1" applyFill="1" applyBorder="1" applyAlignment="1">
      <alignment horizontal="right" vertical="top"/>
    </xf>
    <xf numFmtId="3" fontId="8" fillId="0" borderId="0" xfId="0" applyNumberFormat="1" applyFont="1" applyFill="1">
      <alignment vertical="top"/>
    </xf>
    <xf numFmtId="3" fontId="9" fillId="0" borderId="0" xfId="0" applyNumberFormat="1" applyFont="1" applyFill="1" applyAlignment="1">
      <alignment horizontal="center" vertical="top"/>
    </xf>
    <xf numFmtId="3" fontId="8" fillId="0" borderId="0" xfId="2" applyNumberFormat="1" applyFont="1" applyFill="1">
      <alignment vertical="top"/>
    </xf>
    <xf numFmtId="3" fontId="8" fillId="0" borderId="0" xfId="0" applyNumberFormat="1" applyFont="1" applyBorder="1" applyAlignment="1">
      <alignment horizontal="center" vertical="top"/>
    </xf>
    <xf numFmtId="37" fontId="9" fillId="0" borderId="4" xfId="0" applyNumberFormat="1" applyFont="1" applyBorder="1">
      <alignment vertical="top"/>
    </xf>
    <xf numFmtId="15" fontId="8" fillId="0" borderId="0" xfId="0" applyNumberFormat="1" applyFont="1">
      <alignment vertical="top"/>
    </xf>
    <xf numFmtId="4" fontId="8" fillId="0" borderId="0" xfId="0" applyNumberFormat="1" applyFont="1" applyAlignment="1">
      <alignment horizontal="center" vertical="top"/>
    </xf>
    <xf numFmtId="3" fontId="8" fillId="0" borderId="0" xfId="0" applyNumberFormat="1" applyFont="1" applyFill="1" applyAlignment="1">
      <alignment horizontal="left" vertical="top" indent="1"/>
    </xf>
    <xf numFmtId="167" fontId="9" fillId="0" borderId="0" xfId="0" applyNumberFormat="1" applyFont="1" applyFill="1">
      <alignment vertical="top"/>
    </xf>
    <xf numFmtId="173" fontId="9" fillId="0" borderId="0" xfId="0" applyNumberFormat="1" applyFont="1">
      <alignment vertical="top"/>
    </xf>
    <xf numFmtId="3" fontId="8" fillId="0" borderId="0" xfId="0" applyNumberFormat="1" applyFont="1" applyAlignment="1">
      <alignment horizontal="left" vertical="top" indent="2"/>
    </xf>
    <xf numFmtId="173" fontId="9" fillId="0" borderId="0" xfId="8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left" vertical="top"/>
    </xf>
    <xf numFmtId="173" fontId="9" fillId="0" borderId="0" xfId="8" applyNumberFormat="1" applyFont="1" applyAlignment="1">
      <alignment horizontal="right" vertical="top"/>
    </xf>
    <xf numFmtId="3" fontId="9" fillId="0" borderId="0" xfId="0" applyNumberFormat="1" applyFont="1" applyBorder="1" applyAlignment="1">
      <alignment horizontal="left" vertical="top" indent="1"/>
    </xf>
    <xf numFmtId="167" fontId="9" fillId="0" borderId="0" xfId="0" applyNumberFormat="1" applyFont="1" applyFill="1" applyBorder="1">
      <alignment vertical="top"/>
    </xf>
    <xf numFmtId="167" fontId="9" fillId="0" borderId="0" xfId="8" applyNumberFormat="1" applyFont="1" applyBorder="1" applyAlignment="1">
      <alignment horizontal="right" vertical="top"/>
    </xf>
    <xf numFmtId="3" fontId="8" fillId="0" borderId="0" xfId="0" quotePrefix="1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center" vertical="top"/>
    </xf>
    <xf numFmtId="3" fontId="8" fillId="0" borderId="3" xfId="0" applyNumberFormat="1" applyFont="1" applyFill="1" applyBorder="1" applyAlignment="1">
      <alignment horizontal="center" vertical="top"/>
    </xf>
    <xf numFmtId="3" fontId="9" fillId="0" borderId="3" xfId="2" applyNumberFormat="1" applyFont="1" applyFill="1" applyBorder="1">
      <alignment vertical="top"/>
    </xf>
    <xf numFmtId="3" fontId="9" fillId="0" borderId="4" xfId="2" applyNumberFormat="1" applyFont="1" applyFill="1" applyBorder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Border="1" applyAlignment="1">
      <alignment horizontal="center" vertical="top"/>
    </xf>
    <xf numFmtId="3" fontId="9" fillId="0" borderId="0" xfId="2" applyNumberFormat="1" applyFont="1">
      <alignment vertical="top"/>
    </xf>
    <xf numFmtId="37" fontId="9" fillId="0" borderId="0" xfId="2" applyNumberFormat="1" applyFont="1" applyBorder="1" applyAlignment="1">
      <alignment horizontal="left" vertical="top" indent="1"/>
    </xf>
    <xf numFmtId="37" fontId="9" fillId="0" borderId="0" xfId="2" applyNumberFormat="1" applyFont="1" applyBorder="1" applyAlignment="1">
      <alignment horizontal="right" vertical="top"/>
    </xf>
    <xf numFmtId="10" fontId="9" fillId="0" borderId="0" xfId="19" applyNumberFormat="1" applyFont="1">
      <alignment vertical="top"/>
    </xf>
    <xf numFmtId="3" fontId="9" fillId="0" borderId="0" xfId="2" applyNumberFormat="1" applyFont="1" applyFill="1" applyBorder="1">
      <alignment vertical="top"/>
    </xf>
    <xf numFmtId="3" fontId="9" fillId="0" borderId="0" xfId="0" applyNumberFormat="1" applyFont="1" applyAlignment="1">
      <alignment horizontal="left" vertical="top"/>
    </xf>
    <xf numFmtId="3" fontId="8" fillId="0" borderId="0" xfId="0" quotePrefix="1" applyNumberFormat="1" applyFont="1" applyAlignment="1">
      <alignment horizontal="center" vertical="top"/>
    </xf>
    <xf numFmtId="3" fontId="8" fillId="0" borderId="3" xfId="0" quotePrefix="1" applyNumberFormat="1" applyFont="1" applyBorder="1" applyAlignment="1">
      <alignment horizontal="center" vertical="top"/>
    </xf>
    <xf numFmtId="5" fontId="9" fillId="0" borderId="0" xfId="8" applyNumberFormat="1" applyFont="1" applyFill="1">
      <alignment vertical="top"/>
    </xf>
    <xf numFmtId="5" fontId="9" fillId="0" borderId="0" xfId="8" applyNumberFormat="1" applyFont="1">
      <alignment vertical="top"/>
    </xf>
    <xf numFmtId="37" fontId="9" fillId="0" borderId="3" xfId="3" applyNumberFormat="1" applyFont="1" applyFill="1" applyBorder="1">
      <alignment vertical="top"/>
    </xf>
    <xf numFmtId="3" fontId="9" fillId="0" borderId="0" xfId="3" applyFont="1">
      <alignment vertical="top"/>
    </xf>
    <xf numFmtId="5" fontId="9" fillId="0" borderId="0" xfId="8" applyFont="1" applyBorder="1">
      <alignment vertical="top"/>
    </xf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8" fillId="0" borderId="0" xfId="0" quotePrefix="1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center" vertical="center"/>
    </xf>
    <xf numFmtId="174" fontId="8" fillId="0" borderId="3" xfId="2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3" xfId="0" quotePrefix="1" applyNumberFormat="1" applyFont="1" applyFill="1" applyBorder="1" applyAlignment="1" applyProtection="1">
      <alignment horizontal="left" vertical="center"/>
    </xf>
    <xf numFmtId="169" fontId="8" fillId="0" borderId="0" xfId="0" applyNumberFormat="1" applyFont="1" applyAlignment="1" applyProtection="1">
      <alignment horizontal="left" vertical="center"/>
    </xf>
    <xf numFmtId="171" fontId="9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37" fontId="9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Alignment="1">
      <alignment horizontal="center" vertical="center"/>
    </xf>
    <xf numFmtId="5" fontId="9" fillId="0" borderId="0" xfId="0" applyNumberFormat="1" applyFont="1" applyFill="1" applyBorder="1" applyAlignment="1">
      <alignment vertical="center"/>
    </xf>
    <xf numFmtId="37" fontId="9" fillId="0" borderId="3" xfId="0" applyNumberFormat="1" applyFont="1" applyFill="1" applyBorder="1" applyAlignment="1">
      <alignment vertical="center"/>
    </xf>
    <xf numFmtId="5" fontId="9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 applyProtection="1">
      <alignment vertical="center"/>
    </xf>
    <xf numFmtId="1" fontId="8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Fill="1" applyAlignment="1">
      <alignment vertical="center"/>
    </xf>
    <xf numFmtId="5" fontId="9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74" fontId="9" fillId="0" borderId="0" xfId="2" applyNumberFormat="1" applyFont="1" applyFill="1" applyBorder="1" applyAlignment="1" applyProtection="1">
      <alignment horizontal="center" vertical="center"/>
    </xf>
    <xf numFmtId="5" fontId="9" fillId="0" borderId="0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left" vertical="center"/>
    </xf>
    <xf numFmtId="5" fontId="8" fillId="0" borderId="0" xfId="0" applyNumberFormat="1" applyFont="1" applyFill="1" applyAlignment="1">
      <alignment vertical="center"/>
    </xf>
    <xf numFmtId="5" fontId="9" fillId="0" borderId="0" xfId="5" applyNumberFormat="1" applyFont="1" applyFill="1" applyBorder="1" applyAlignment="1">
      <alignment vertical="center"/>
    </xf>
    <xf numFmtId="37" fontId="9" fillId="0" borderId="8" xfId="0" applyNumberFormat="1" applyFont="1" applyFill="1" applyBorder="1" applyAlignment="1" applyProtection="1">
      <alignment vertical="center"/>
    </xf>
    <xf numFmtId="5" fontId="9" fillId="0" borderId="8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>
      <alignment horizontal="left" vertical="center"/>
    </xf>
    <xf numFmtId="37" fontId="9" fillId="0" borderId="4" xfId="0" applyNumberFormat="1" applyFont="1" applyFill="1" applyBorder="1" applyAlignment="1">
      <alignment vertical="center"/>
    </xf>
    <xf numFmtId="5" fontId="9" fillId="0" borderId="4" xfId="5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9" fillId="0" borderId="0" xfId="2" applyNumberFormat="1" applyFont="1" applyFill="1" applyBorder="1" applyAlignment="1" applyProtection="1">
      <alignment horizontal="right" vertical="center"/>
    </xf>
    <xf numFmtId="175" fontId="9" fillId="0" borderId="0" xfId="0" applyNumberFormat="1" applyFont="1" applyFill="1" applyBorder="1" applyAlignment="1" applyProtection="1">
      <alignment horizontal="center" vertical="center"/>
    </xf>
    <xf numFmtId="5" fontId="9" fillId="0" borderId="0" xfId="5" applyNumberFormat="1" applyFont="1" applyFill="1" applyBorder="1" applyAlignment="1" applyProtection="1">
      <alignment horizontal="right" vertical="center"/>
    </xf>
    <xf numFmtId="1" fontId="8" fillId="0" borderId="0" xfId="0" quotePrefix="1" applyNumberFormat="1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5" fontId="9" fillId="0" borderId="0" xfId="5" applyNumberFormat="1" applyFont="1" applyFill="1" applyAlignment="1" applyProtection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5" fontId="9" fillId="0" borderId="0" xfId="0" applyNumberFormat="1" applyFont="1" applyAlignment="1">
      <alignment vertical="center"/>
    </xf>
    <xf numFmtId="0" fontId="8" fillId="0" borderId="3" xfId="17" applyFont="1" applyBorder="1" applyAlignment="1">
      <alignment horizontal="center" vertical="center"/>
    </xf>
    <xf numFmtId="0" fontId="8" fillId="0" borderId="0" xfId="17" quotePrefix="1" applyFont="1" applyAlignment="1">
      <alignment horizontal="center" vertical="center"/>
    </xf>
    <xf numFmtId="3" fontId="8" fillId="0" borderId="0" xfId="17" quotePrefix="1" applyNumberFormat="1" applyFont="1" applyAlignment="1">
      <alignment horizontal="left" vertical="center"/>
    </xf>
    <xf numFmtId="37" fontId="9" fillId="0" borderId="0" xfId="17" applyNumberFormat="1" applyFont="1" applyFill="1" applyAlignment="1" applyProtection="1">
      <alignment vertical="center"/>
    </xf>
    <xf numFmtId="5" fontId="9" fillId="0" borderId="0" xfId="17" applyNumberFormat="1" applyFont="1" applyFill="1" applyAlignment="1" applyProtection="1">
      <alignment vertical="center"/>
    </xf>
    <xf numFmtId="5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10" fontId="9" fillId="0" borderId="0" xfId="19" applyFont="1" applyAlignment="1">
      <alignment horizontal="center" vertical="top"/>
    </xf>
    <xf numFmtId="37" fontId="9" fillId="0" borderId="0" xfId="3" applyNumberFormat="1" applyFont="1" applyFill="1" applyBorder="1">
      <alignment vertical="top"/>
    </xf>
    <xf numFmtId="37" fontId="9" fillId="0" borderId="0" xfId="3" applyNumberFormat="1" applyFont="1" applyBorder="1">
      <alignment vertical="top"/>
    </xf>
    <xf numFmtId="3" fontId="8" fillId="0" borderId="0" xfId="0" quotePrefix="1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5" fontId="9" fillId="0" borderId="0" xfId="0" applyNumberFormat="1" applyFont="1" applyFill="1">
      <alignment vertical="top"/>
    </xf>
    <xf numFmtId="5" fontId="9" fillId="0" borderId="0" xfId="8" applyNumberFormat="1" applyFont="1" applyFill="1" applyAlignment="1">
      <alignment horizontal="right" vertical="top"/>
    </xf>
    <xf numFmtId="5" fontId="9" fillId="0" borderId="3" xfId="0" applyNumberFormat="1" applyFont="1" applyFill="1" applyBorder="1">
      <alignment vertical="top"/>
    </xf>
    <xf numFmtId="5" fontId="9" fillId="0" borderId="3" xfId="8" applyNumberFormat="1" applyFont="1" applyFill="1" applyBorder="1" applyAlignment="1">
      <alignment horizontal="right" vertical="top"/>
    </xf>
    <xf numFmtId="5" fontId="9" fillId="0" borderId="3" xfId="8" applyNumberFormat="1" applyFont="1" applyBorder="1" applyAlignment="1">
      <alignment horizontal="right" vertical="top"/>
    </xf>
    <xf numFmtId="5" fontId="9" fillId="0" borderId="0" xfId="8" applyNumberFormat="1" applyFont="1" applyBorder="1" applyAlignment="1">
      <alignment horizontal="right" vertical="top"/>
    </xf>
    <xf numFmtId="5" fontId="9" fillId="0" borderId="0" xfId="8" applyNumberFormat="1" applyFont="1" applyAlignment="1">
      <alignment horizontal="right" vertical="top"/>
    </xf>
    <xf numFmtId="5" fontId="9" fillId="0" borderId="0" xfId="16" applyNumberFormat="1" applyFont="1"/>
    <xf numFmtId="5" fontId="9" fillId="0" borderId="3" xfId="16" applyNumberFormat="1" applyFont="1" applyBorder="1"/>
    <xf numFmtId="5" fontId="9" fillId="0" borderId="4" xfId="8" applyNumberFormat="1" applyFont="1" applyBorder="1" applyAlignment="1">
      <alignment horizontal="right" vertical="top"/>
    </xf>
    <xf numFmtId="178" fontId="9" fillId="0" borderId="0" xfId="0" applyNumberFormat="1" applyFont="1">
      <alignment vertical="top"/>
    </xf>
    <xf numFmtId="5" fontId="9" fillId="0" borderId="0" xfId="16" applyNumberFormat="1" applyFont="1" applyFill="1"/>
    <xf numFmtId="3" fontId="8" fillId="0" borderId="0" xfId="0" quotePrefix="1" applyNumberFormat="1" applyFont="1">
      <alignment vertical="top"/>
    </xf>
    <xf numFmtId="3" fontId="8" fillId="0" borderId="0" xfId="0" applyNumberFormat="1" applyFont="1" applyFill="1" applyProtection="1">
      <alignment vertical="top"/>
      <protection locked="0"/>
    </xf>
    <xf numFmtId="3" fontId="8" fillId="0" borderId="3" xfId="3" applyFont="1" applyFill="1" applyBorder="1" applyAlignment="1">
      <alignment horizontal="center" vertical="top"/>
    </xf>
    <xf numFmtId="3" fontId="8" fillId="0" borderId="0" xfId="3" applyFont="1" applyFill="1" applyAlignment="1">
      <alignment horizontal="center" vertical="top"/>
    </xf>
    <xf numFmtId="3" fontId="9" fillId="0" borderId="0" xfId="3" applyFont="1" applyFill="1">
      <alignment vertical="top"/>
    </xf>
    <xf numFmtId="173" fontId="9" fillId="0" borderId="0" xfId="0" applyNumberFormat="1" applyFont="1" applyFill="1">
      <alignment vertical="top"/>
    </xf>
    <xf numFmtId="173" fontId="9" fillId="0" borderId="0" xfId="0" applyNumberFormat="1" applyFont="1" applyFill="1" applyProtection="1">
      <alignment vertical="top"/>
      <protection locked="0"/>
    </xf>
    <xf numFmtId="173" fontId="9" fillId="0" borderId="0" xfId="3" applyNumberFormat="1" applyFont="1" applyFill="1">
      <alignment vertical="top"/>
    </xf>
    <xf numFmtId="37" fontId="9" fillId="0" borderId="0" xfId="0" applyNumberFormat="1" applyFont="1" applyFill="1" applyProtection="1">
      <alignment vertical="top"/>
      <protection locked="0"/>
    </xf>
    <xf numFmtId="37" fontId="9" fillId="0" borderId="0" xfId="3" applyNumberFormat="1" applyFont="1" applyFill="1">
      <alignment vertical="top"/>
    </xf>
    <xf numFmtId="5" fontId="9" fillId="0" borderId="0" xfId="0" applyNumberFormat="1" applyFont="1" applyFill="1" applyProtection="1">
      <alignment vertical="top"/>
      <protection locked="0"/>
    </xf>
    <xf numFmtId="5" fontId="9" fillId="0" borderId="0" xfId="5" applyNumberFormat="1" applyFont="1" applyFill="1">
      <alignment vertical="top"/>
    </xf>
    <xf numFmtId="5" fontId="9" fillId="0" borderId="0" xfId="3" applyNumberFormat="1" applyFont="1" applyFill="1">
      <alignment vertical="top"/>
    </xf>
    <xf numFmtId="5" fontId="9" fillId="0" borderId="4" xfId="0" applyNumberFormat="1" applyFont="1" applyFill="1" applyBorder="1">
      <alignment vertical="top"/>
    </xf>
    <xf numFmtId="5" fontId="9" fillId="0" borderId="4" xfId="8" applyNumberFormat="1" applyFont="1" applyFill="1" applyBorder="1">
      <alignment vertical="top"/>
    </xf>
    <xf numFmtId="0" fontId="9" fillId="0" borderId="0" xfId="0" applyNumberFormat="1" applyFont="1" applyFill="1">
      <alignment vertical="top"/>
    </xf>
    <xf numFmtId="3" fontId="8" fillId="0" borderId="6" xfId="0" applyNumberFormat="1" applyFont="1" applyFill="1" applyBorder="1">
      <alignment vertical="top"/>
    </xf>
    <xf numFmtId="37" fontId="9" fillId="0" borderId="0" xfId="0" applyNumberFormat="1" applyFont="1" applyFill="1">
      <alignment vertical="top"/>
    </xf>
    <xf numFmtId="37" fontId="9" fillId="0" borderId="3" xfId="0" applyNumberFormat="1" applyFont="1" applyFill="1" applyBorder="1">
      <alignment vertical="top"/>
    </xf>
    <xf numFmtId="37" fontId="9" fillId="0" borderId="0" xfId="8" applyNumberFormat="1" applyFont="1" applyFill="1">
      <alignment vertical="top"/>
    </xf>
    <xf numFmtId="3" fontId="8" fillId="0" borderId="0" xfId="0" applyNumberFormat="1" applyFont="1" applyFill="1" applyBorder="1">
      <alignment vertical="top"/>
    </xf>
    <xf numFmtId="3" fontId="9" fillId="0" borderId="0" xfId="0" applyNumberFormat="1" applyFont="1" applyFill="1" applyBorder="1">
      <alignment vertical="top"/>
    </xf>
    <xf numFmtId="3" fontId="9" fillId="0" borderId="3" xfId="0" applyNumberFormat="1" applyFont="1" applyFill="1" applyBorder="1" applyAlignment="1">
      <alignment vertical="top"/>
    </xf>
    <xf numFmtId="37" fontId="9" fillId="0" borderId="3" xfId="8" applyNumberFormat="1" applyFont="1" applyFill="1" applyBorder="1">
      <alignment vertical="top"/>
    </xf>
    <xf numFmtId="37" fontId="9" fillId="0" borderId="4" xfId="0" applyNumberFormat="1" applyFont="1" applyFill="1" applyBorder="1">
      <alignment vertical="top"/>
    </xf>
    <xf numFmtId="37" fontId="9" fillId="0" borderId="4" xfId="8" applyNumberFormat="1" applyFont="1" applyFill="1" applyBorder="1">
      <alignment vertical="top"/>
    </xf>
    <xf numFmtId="10" fontId="9" fillId="0" borderId="0" xfId="19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3" fontId="9" fillId="0" borderId="3" xfId="0" applyNumberFormat="1" applyFont="1" applyFill="1" applyBorder="1">
      <alignment vertical="top"/>
    </xf>
    <xf numFmtId="0" fontId="8" fillId="0" borderId="0" xfId="0" applyFont="1" applyAlignment="1"/>
    <xf numFmtId="3" fontId="8" fillId="0" borderId="6" xfId="0" applyNumberFormat="1" applyFont="1" applyFill="1" applyBorder="1" applyAlignment="1">
      <alignment horizontal="center" vertical="top"/>
    </xf>
    <xf numFmtId="3" fontId="9" fillId="0" borderId="6" xfId="0" applyNumberFormat="1" applyFont="1" applyFill="1" applyBorder="1">
      <alignment vertical="top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3" fontId="9" fillId="0" borderId="6" xfId="0" applyNumberFormat="1" applyFont="1" applyFill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5" fontId="9" fillId="0" borderId="4" xfId="7" applyFont="1" applyFill="1" applyBorder="1">
      <alignment vertical="top"/>
    </xf>
    <xf numFmtId="3" fontId="8" fillId="0" borderId="0" xfId="0" applyNumberFormat="1" applyFont="1" applyFill="1" applyBorder="1" applyAlignment="1">
      <alignment horizontal="center" vertical="top"/>
    </xf>
    <xf numFmtId="10" fontId="9" fillId="0" borderId="0" xfId="20" quotePrefix="1" applyFont="1" applyFill="1" applyBorder="1">
      <alignment vertical="top"/>
    </xf>
    <xf numFmtId="5" fontId="9" fillId="0" borderId="0" xfId="7" applyFont="1" applyFill="1" applyBorder="1">
      <alignment vertical="top"/>
    </xf>
    <xf numFmtId="5" fontId="8" fillId="0" borderId="4" xfId="7" applyFont="1" applyFill="1" applyBorder="1">
      <alignment vertical="top"/>
    </xf>
    <xf numFmtId="3" fontId="8" fillId="0" borderId="0" xfId="0" quotePrefix="1" applyNumberFormat="1" applyFont="1" applyFill="1" applyAlignment="1">
      <alignment horizontal="center" vertical="top"/>
    </xf>
    <xf numFmtId="0" fontId="8" fillId="0" borderId="0" xfId="0" applyFont="1" applyAlignment="1">
      <alignment horizontal="center"/>
    </xf>
    <xf numFmtId="9" fontId="9" fillId="0" borderId="0" xfId="20" quotePrefix="1" applyNumberFormat="1" applyFont="1" applyFill="1" applyBorder="1">
      <alignment vertical="top"/>
    </xf>
    <xf numFmtId="37" fontId="9" fillId="0" borderId="0" xfId="0" applyNumberFormat="1" applyFont="1" applyFill="1" applyBorder="1" applyAlignment="1">
      <alignment vertical="top"/>
    </xf>
    <xf numFmtId="174" fontId="9" fillId="0" borderId="0" xfId="2" applyNumberFormat="1" applyFont="1" applyFill="1" applyAlignment="1">
      <alignment horizontal="center" vertical="top"/>
    </xf>
    <xf numFmtId="5" fontId="9" fillId="0" borderId="0" xfId="0" applyNumberFormat="1" applyFont="1" applyFill="1" applyBorder="1" applyAlignment="1">
      <alignment vertical="top"/>
    </xf>
    <xf numFmtId="37" fontId="9" fillId="0" borderId="3" xfId="0" applyNumberFormat="1" applyFont="1" applyFill="1" applyBorder="1" applyAlignment="1">
      <alignment vertical="top"/>
    </xf>
    <xf numFmtId="5" fontId="9" fillId="0" borderId="3" xfId="0" applyNumberFormat="1" applyFont="1" applyFill="1" applyBorder="1" applyAlignment="1">
      <alignment vertical="top"/>
    </xf>
    <xf numFmtId="174" fontId="9" fillId="0" borderId="0" xfId="2" applyNumberFormat="1" applyFont="1" applyFill="1" applyBorder="1" applyAlignment="1">
      <alignment horizontal="center" vertical="top"/>
    </xf>
    <xf numFmtId="37" fontId="9" fillId="0" borderId="0" xfId="0" applyNumberFormat="1" applyFont="1" applyFill="1" applyAlignment="1">
      <alignment vertical="top"/>
    </xf>
    <xf numFmtId="5" fontId="9" fillId="0" borderId="0" xfId="0" applyNumberFormat="1" applyFont="1" applyFill="1" applyAlignment="1">
      <alignment vertical="top"/>
    </xf>
    <xf numFmtId="3" fontId="8" fillId="0" borderId="3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left" vertical="center"/>
    </xf>
    <xf numFmtId="3" fontId="8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8" fillId="0" borderId="3" xfId="0" applyNumberFormat="1" applyFont="1" applyBorder="1" applyAlignment="1">
      <alignment horizontal="centerContinuous" vertical="top"/>
    </xf>
    <xf numFmtId="1" fontId="8" fillId="0" borderId="0" xfId="0" applyNumberFormat="1" applyFont="1" applyAlignment="1">
      <alignment horizontal="center" vertical="top"/>
    </xf>
    <xf numFmtId="5" fontId="9" fillId="0" borderId="0" xfId="8" applyFont="1" applyAlignment="1">
      <alignment horizontal="right" vertical="top"/>
    </xf>
    <xf numFmtId="5" fontId="9" fillId="0" borderId="0" xfId="8" applyFont="1" applyFill="1" applyAlignment="1">
      <alignment horizontal="right" vertical="top"/>
    </xf>
    <xf numFmtId="41" fontId="9" fillId="0" borderId="0" xfId="3" applyNumberFormat="1" applyFont="1" applyAlignment="1">
      <alignment horizontal="right" vertical="top"/>
    </xf>
    <xf numFmtId="41" fontId="9" fillId="0" borderId="0" xfId="3" applyNumberFormat="1" applyFont="1" applyFill="1" applyAlignment="1">
      <alignment horizontal="right" vertical="top"/>
    </xf>
    <xf numFmtId="41" fontId="9" fillId="0" borderId="3" xfId="3" applyNumberFormat="1" applyFont="1" applyBorder="1" applyAlignment="1">
      <alignment horizontal="right" vertical="top"/>
    </xf>
    <xf numFmtId="41" fontId="9" fillId="0" borderId="3" xfId="3" applyNumberFormat="1" applyFont="1" applyFill="1" applyBorder="1" applyAlignment="1">
      <alignment horizontal="right" vertical="top"/>
    </xf>
    <xf numFmtId="5" fontId="9" fillId="0" borderId="0" xfId="0" applyNumberFormat="1" applyFont="1" applyAlignment="1">
      <alignment vertical="top"/>
    </xf>
    <xf numFmtId="41" fontId="9" fillId="0" borderId="0" xfId="0" applyNumberFormat="1" applyFont="1" applyAlignment="1">
      <alignment vertical="top"/>
    </xf>
    <xf numFmtId="37" fontId="9" fillId="0" borderId="3" xfId="3" applyNumberFormat="1" applyFont="1" applyBorder="1" applyAlignment="1">
      <alignment horizontal="right" vertical="top"/>
    </xf>
    <xf numFmtId="37" fontId="9" fillId="0" borderId="3" xfId="3" applyNumberFormat="1" applyFont="1" applyFill="1" applyBorder="1" applyAlignment="1">
      <alignment horizontal="right" vertical="top"/>
    </xf>
    <xf numFmtId="164" fontId="9" fillId="0" borderId="0" xfId="19" applyNumberFormat="1" applyFont="1" applyAlignment="1">
      <alignment vertical="top"/>
    </xf>
    <xf numFmtId="164" fontId="9" fillId="0" borderId="0" xfId="19" applyNumberFormat="1" applyFont="1" applyBorder="1" applyAlignment="1">
      <alignment vertical="top"/>
    </xf>
    <xf numFmtId="164" fontId="9" fillId="0" borderId="3" xfId="19" applyNumberFormat="1" applyFont="1" applyBorder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3" xfId="0" applyNumberFormat="1" applyFont="1" applyBorder="1" applyAlignment="1">
      <alignment vertical="top"/>
    </xf>
    <xf numFmtId="10" fontId="9" fillId="0" borderId="3" xfId="19" applyNumberFormat="1" applyFont="1" applyBorder="1" applyAlignment="1">
      <alignment vertical="top"/>
    </xf>
    <xf numFmtId="5" fontId="8" fillId="0" borderId="0" xfId="0" applyNumberFormat="1" applyFont="1" applyAlignment="1">
      <alignment vertical="top"/>
    </xf>
    <xf numFmtId="5" fontId="9" fillId="0" borderId="3" xfId="0" applyNumberFormat="1" applyFont="1" applyBorder="1" applyAlignment="1">
      <alignment vertical="top"/>
    </xf>
    <xf numFmtId="5" fontId="9" fillId="0" borderId="4" xfId="0" applyNumberFormat="1" applyFont="1" applyBorder="1" applyAlignment="1">
      <alignment vertical="top"/>
    </xf>
    <xf numFmtId="5" fontId="9" fillId="0" borderId="4" xfId="0" applyNumberFormat="1" applyFont="1" applyBorder="1">
      <alignment vertical="top"/>
    </xf>
    <xf numFmtId="0" fontId="8" fillId="0" borderId="0" xfId="0" applyNumberFormat="1" applyFont="1" applyAlignment="1">
      <alignment horizontal="left" vertical="top"/>
    </xf>
    <xf numFmtId="3" fontId="8" fillId="0" borderId="0" xfId="0" applyNumberFormat="1" applyFont="1" applyProtection="1">
      <alignment vertical="top"/>
      <protection locked="0"/>
    </xf>
    <xf numFmtId="37" fontId="9" fillId="0" borderId="0" xfId="2" quotePrefix="1" applyNumberFormat="1" applyFont="1">
      <alignment vertical="top"/>
    </xf>
    <xf numFmtId="3" fontId="8" fillId="0" borderId="3" xfId="3" quotePrefix="1" applyFont="1" applyBorder="1" applyAlignment="1">
      <alignment horizontal="center" vertical="top"/>
    </xf>
    <xf numFmtId="3" fontId="8" fillId="0" borderId="3" xfId="3" applyFont="1" applyBorder="1" applyAlignment="1">
      <alignment horizontal="center" vertical="top"/>
    </xf>
    <xf numFmtId="3" fontId="8" fillId="0" borderId="0" xfId="3" applyFont="1" applyAlignment="1">
      <alignment horizontal="center" vertical="top"/>
    </xf>
    <xf numFmtId="37" fontId="9" fillId="0" borderId="0" xfId="2" applyNumberFormat="1" applyFont="1" applyProtection="1">
      <alignment vertical="top"/>
    </xf>
    <xf numFmtId="37" fontId="9" fillId="0" borderId="0" xfId="2" applyNumberFormat="1" applyFont="1" applyFill="1" applyProtection="1">
      <alignment vertical="top"/>
    </xf>
    <xf numFmtId="37" fontId="9" fillId="0" borderId="0" xfId="2" applyNumberFormat="1" applyFont="1" applyBorder="1" applyProtection="1">
      <alignment vertical="top"/>
      <protection locked="0"/>
    </xf>
    <xf numFmtId="166" fontId="9" fillId="0" borderId="3" xfId="19" applyNumberFormat="1" applyFont="1" applyBorder="1">
      <alignment vertical="top"/>
    </xf>
    <xf numFmtId="166" fontId="9" fillId="0" borderId="3" xfId="19" applyNumberFormat="1" applyFont="1" applyFill="1" applyBorder="1">
      <alignment vertical="top"/>
    </xf>
    <xf numFmtId="166" fontId="9" fillId="0" borderId="0" xfId="2" applyNumberFormat="1" applyFont="1">
      <alignment vertical="top"/>
    </xf>
    <xf numFmtId="37" fontId="9" fillId="0" borderId="4" xfId="2" applyNumberFormat="1" applyFont="1" applyBorder="1">
      <alignment vertical="top"/>
    </xf>
    <xf numFmtId="4" fontId="9" fillId="0" borderId="0" xfId="2" applyFont="1">
      <alignment vertical="top"/>
    </xf>
    <xf numFmtId="177" fontId="9" fillId="0" borderId="0" xfId="0" applyNumberFormat="1" applyFont="1">
      <alignment vertical="top"/>
    </xf>
    <xf numFmtId="10" fontId="9" fillId="0" borderId="0" xfId="2" applyNumberFormat="1" applyFont="1" applyFill="1">
      <alignment vertical="top"/>
    </xf>
    <xf numFmtId="10" fontId="9" fillId="0" borderId="0" xfId="2" applyNumberFormat="1" applyFont="1">
      <alignment vertical="top"/>
    </xf>
    <xf numFmtId="170" fontId="9" fillId="0" borderId="0" xfId="2" applyNumberFormat="1" applyFont="1" applyAlignment="1"/>
    <xf numFmtId="170" fontId="9" fillId="0" borderId="0" xfId="2" applyNumberFormat="1" applyFont="1" applyFill="1" applyAlignment="1"/>
    <xf numFmtId="170" fontId="9" fillId="0" borderId="3" xfId="2" applyNumberFormat="1" applyFont="1" applyFill="1" applyBorder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170" fontId="8" fillId="0" borderId="3" xfId="2" applyNumberFormat="1" applyFont="1" applyFill="1" applyBorder="1" applyAlignment="1">
      <alignment horizontal="center"/>
    </xf>
    <xf numFmtId="170" fontId="9" fillId="0" borderId="0" xfId="0" applyNumberFormat="1" applyFont="1" applyFill="1" applyAlignment="1"/>
    <xf numFmtId="179" fontId="9" fillId="0" borderId="0" xfId="5" applyNumberFormat="1" applyFont="1" applyFill="1" applyAlignment="1"/>
    <xf numFmtId="179" fontId="9" fillId="0" borderId="8" xfId="5" applyNumberFormat="1" applyFont="1" applyFill="1" applyBorder="1" applyAlignment="1"/>
    <xf numFmtId="179" fontId="9" fillId="0" borderId="0" xfId="0" applyNumberFormat="1" applyFont="1" applyFill="1" applyAlignment="1"/>
    <xf numFmtId="10" fontId="9" fillId="0" borderId="0" xfId="19" applyNumberFormat="1" applyFont="1" applyFill="1" applyAlignment="1"/>
    <xf numFmtId="5" fontId="9" fillId="0" borderId="0" xfId="0" applyNumberFormat="1" applyFont="1" applyFill="1" applyAlignment="1"/>
    <xf numFmtId="10" fontId="9" fillId="0" borderId="3" xfId="19" applyNumberFormat="1" applyFont="1" applyFill="1" applyBorder="1" applyAlignment="1"/>
    <xf numFmtId="179" fontId="9" fillId="0" borderId="4" xfId="5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168" fontId="9" fillId="0" borderId="0" xfId="0" applyNumberFormat="1" applyFont="1" applyFill="1" applyBorder="1">
      <alignment vertical="top"/>
    </xf>
    <xf numFmtId="168" fontId="9" fillId="0" borderId="0" xfId="0" applyNumberFormat="1" applyFont="1" applyFill="1" applyAlignment="1">
      <alignment horizontal="center" vertical="top"/>
    </xf>
    <xf numFmtId="3" fontId="8" fillId="0" borderId="0" xfId="0" applyNumberFormat="1" applyFont="1" applyAlignment="1">
      <alignment vertical="center"/>
    </xf>
    <xf numFmtId="3" fontId="8" fillId="0" borderId="0" xfId="0" quotePrefix="1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0" xfId="0" quotePrefix="1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70" fontId="8" fillId="0" borderId="3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vertical="center"/>
    </xf>
    <xf numFmtId="37" fontId="9" fillId="0" borderId="10" xfId="0" applyNumberFormat="1" applyFont="1" applyFill="1" applyBorder="1" applyAlignment="1">
      <alignment vertical="center"/>
    </xf>
    <xf numFmtId="37" fontId="9" fillId="0" borderId="0" xfId="0" applyNumberFormat="1" applyFont="1" applyAlignment="1">
      <alignment vertical="center"/>
    </xf>
    <xf numFmtId="166" fontId="9" fillId="0" borderId="0" xfId="19" applyNumberFormat="1" applyFont="1" applyFill="1" applyAlignment="1">
      <alignment vertical="center"/>
    </xf>
    <xf numFmtId="170" fontId="9" fillId="0" borderId="0" xfId="2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0" fontId="9" fillId="0" borderId="0" xfId="19" applyNumberFormat="1" applyFont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5" fontId="9" fillId="0" borderId="0" xfId="0" applyNumberFormat="1" applyFont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11" xfId="0" applyNumberFormat="1" applyFont="1" applyFill="1" applyBorder="1" applyAlignment="1">
      <alignment vertical="center"/>
    </xf>
    <xf numFmtId="37" fontId="9" fillId="0" borderId="3" xfId="0" applyNumberFormat="1" applyFont="1" applyBorder="1" applyAlignment="1">
      <alignment vertical="center"/>
    </xf>
    <xf numFmtId="170" fontId="9" fillId="0" borderId="3" xfId="2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0" fontId="9" fillId="0" borderId="3" xfId="0" applyNumberFormat="1" applyFont="1" applyBorder="1" applyAlignment="1">
      <alignment vertical="center"/>
    </xf>
    <xf numFmtId="170" fontId="9" fillId="0" borderId="0" xfId="2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170" fontId="9" fillId="0" borderId="0" xfId="2" applyNumberFormat="1" applyFont="1" applyBorder="1" applyAlignment="1">
      <alignment vertical="center"/>
    </xf>
    <xf numFmtId="10" fontId="9" fillId="0" borderId="0" xfId="19" applyFont="1" applyAlignment="1">
      <alignment vertical="center"/>
    </xf>
    <xf numFmtId="5" fontId="9" fillId="0" borderId="4" xfId="5" applyNumberFormat="1" applyFont="1" applyFill="1" applyBorder="1">
      <alignment vertical="top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7" fontId="9" fillId="0" borderId="0" xfId="0" applyNumberFormat="1" applyFont="1" applyBorder="1">
      <alignment vertical="top"/>
    </xf>
    <xf numFmtId="3" fontId="9" fillId="0" borderId="0" xfId="2" applyNumberFormat="1" applyFont="1" applyFill="1" applyAlignment="1">
      <alignment vertical="center"/>
    </xf>
    <xf numFmtId="0" fontId="9" fillId="0" borderId="13" xfId="0" applyNumberFormat="1" applyFont="1" applyBorder="1" applyAlignment="1">
      <alignment horizontal="center" vertical="top"/>
    </xf>
    <xf numFmtId="3" fontId="9" fillId="0" borderId="13" xfId="0" applyNumberFormat="1" applyFont="1" applyBorder="1">
      <alignment vertical="top"/>
    </xf>
    <xf numFmtId="3" fontId="9" fillId="0" borderId="14" xfId="0" applyNumberFormat="1" applyFont="1" applyBorder="1" applyAlignment="1">
      <alignment horizontal="center" vertical="top"/>
    </xf>
    <xf numFmtId="3" fontId="9" fillId="0" borderId="15" xfId="0" applyNumberFormat="1" applyFont="1" applyBorder="1">
      <alignment vertical="top"/>
    </xf>
    <xf numFmtId="3" fontId="9" fillId="0" borderId="16" xfId="0" applyNumberFormat="1" applyFont="1" applyBorder="1" applyAlignment="1">
      <alignment horizontal="center" vertical="top"/>
    </xf>
    <xf numFmtId="173" fontId="9" fillId="0" borderId="15" xfId="8" applyNumberFormat="1" applyFont="1" applyBorder="1" applyAlignment="1">
      <alignment horizontal="left" vertical="top"/>
    </xf>
    <xf numFmtId="10" fontId="9" fillId="0" borderId="0" xfId="19" applyNumberFormat="1" applyFont="1" applyBorder="1">
      <alignment vertical="top"/>
    </xf>
    <xf numFmtId="3" fontId="9" fillId="0" borderId="17" xfId="0" applyNumberFormat="1" applyFont="1" applyBorder="1">
      <alignment vertical="top"/>
    </xf>
    <xf numFmtId="37" fontId="9" fillId="0" borderId="6" xfId="2" applyNumberFormat="1" applyFont="1" applyBorder="1">
      <alignment vertical="top"/>
    </xf>
    <xf numFmtId="3" fontId="9" fillId="0" borderId="18" xfId="0" applyNumberFormat="1" applyFont="1" applyBorder="1" applyAlignment="1">
      <alignment horizontal="center" vertical="top"/>
    </xf>
    <xf numFmtId="3" fontId="9" fillId="0" borderId="12" xfId="0" applyNumberFormat="1" applyFont="1" applyBorder="1">
      <alignment vertical="top"/>
    </xf>
    <xf numFmtId="3" fontId="8" fillId="0" borderId="13" xfId="0" applyNumberFormat="1" applyFont="1" applyBorder="1">
      <alignment vertical="top"/>
    </xf>
    <xf numFmtId="3" fontId="8" fillId="0" borderId="14" xfId="0" applyNumberFormat="1" applyFont="1" applyBorder="1">
      <alignment vertical="top"/>
    </xf>
    <xf numFmtId="3" fontId="9" fillId="0" borderId="16" xfId="0" applyNumberFormat="1" applyFont="1" applyBorder="1">
      <alignment vertical="top"/>
    </xf>
    <xf numFmtId="3" fontId="9" fillId="0" borderId="6" xfId="0" applyNumberFormat="1" applyFont="1" applyBorder="1">
      <alignment vertical="top"/>
    </xf>
    <xf numFmtId="3" fontId="9" fillId="0" borderId="18" xfId="0" applyNumberFormat="1" applyFont="1" applyBorder="1">
      <alignment vertical="top"/>
    </xf>
    <xf numFmtId="3" fontId="9" fillId="0" borderId="19" xfId="0" applyNumberFormat="1" applyFont="1" applyBorder="1">
      <alignment vertical="top"/>
    </xf>
    <xf numFmtId="0" fontId="0" fillId="0" borderId="0" xfId="0" applyAlignment="1"/>
    <xf numFmtId="170" fontId="0" fillId="0" borderId="0" xfId="2" applyNumberFormat="1" applyFont="1" applyFill="1" applyAlignment="1"/>
    <xf numFmtId="0" fontId="0" fillId="0" borderId="0" xfId="0" applyFont="1" applyAlignment="1">
      <alignment horizontal="center"/>
    </xf>
    <xf numFmtId="3" fontId="3" fillId="0" borderId="0" xfId="25" applyNumberFormat="1" applyFont="1" applyAlignment="1">
      <alignment horizontal="center" vertical="center"/>
    </xf>
    <xf numFmtId="3" fontId="3" fillId="0" borderId="0" xfId="25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0" fontId="9" fillId="0" borderId="10" xfId="0" applyNumberFormat="1" applyFont="1" applyBorder="1" applyAlignment="1">
      <alignment vertical="center"/>
    </xf>
    <xf numFmtId="170" fontId="9" fillId="0" borderId="11" xfId="0" applyNumberFormat="1" applyFont="1" applyBorder="1" applyAlignment="1">
      <alignment vertical="center"/>
    </xf>
    <xf numFmtId="170" fontId="9" fillId="0" borderId="10" xfId="2" applyNumberFormat="1" applyFont="1" applyBorder="1" applyAlignment="1">
      <alignment vertical="center"/>
    </xf>
    <xf numFmtId="17" fontId="8" fillId="0" borderId="20" xfId="0" quotePrefix="1" applyNumberFormat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70" fontId="9" fillId="0" borderId="20" xfId="0" applyNumberFormat="1" applyFont="1" applyBorder="1" applyAlignment="1">
      <alignment vertical="center"/>
    </xf>
    <xf numFmtId="170" fontId="9" fillId="0" borderId="21" xfId="2" applyNumberFormat="1" applyFont="1" applyBorder="1" applyAlignment="1">
      <alignment vertical="center"/>
    </xf>
    <xf numFmtId="170" fontId="9" fillId="0" borderId="20" xfId="2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7" fontId="9" fillId="2" borderId="4" xfId="0" applyNumberFormat="1" applyFont="1" applyFill="1" applyBorder="1" applyAlignment="1">
      <alignment vertical="center"/>
    </xf>
    <xf numFmtId="174" fontId="9" fillId="0" borderId="0" xfId="0" applyNumberFormat="1" applyFont="1">
      <alignment vertical="top"/>
    </xf>
    <xf numFmtId="3" fontId="9" fillId="0" borderId="0" xfId="0" applyNumberFormat="1" applyFont="1" applyFill="1" applyBorder="1" applyAlignment="1">
      <alignment vertical="top"/>
    </xf>
    <xf numFmtId="3" fontId="8" fillId="0" borderId="12" xfId="0" applyNumberFormat="1" applyFont="1" applyFill="1" applyBorder="1">
      <alignment vertical="top"/>
    </xf>
    <xf numFmtId="3" fontId="9" fillId="0" borderId="13" xfId="0" applyNumberFormat="1" applyFont="1" applyFill="1" applyBorder="1">
      <alignment vertical="top"/>
    </xf>
    <xf numFmtId="3" fontId="9" fillId="0" borderId="15" xfId="0" applyNumberFormat="1" applyFont="1" applyFill="1" applyBorder="1">
      <alignment vertical="top"/>
    </xf>
    <xf numFmtId="3" fontId="8" fillId="0" borderId="16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>
      <alignment vertical="top"/>
    </xf>
    <xf numFmtId="1" fontId="9" fillId="0" borderId="0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 applyAlignment="1">
      <alignment vertical="top"/>
    </xf>
    <xf numFmtId="3" fontId="9" fillId="0" borderId="19" xfId="0" applyNumberFormat="1" applyFont="1" applyFill="1" applyBorder="1" applyAlignment="1">
      <alignment vertical="top"/>
    </xf>
    <xf numFmtId="10" fontId="9" fillId="0" borderId="19" xfId="19" applyFont="1" applyFill="1" applyBorder="1">
      <alignment vertical="top"/>
    </xf>
    <xf numFmtId="3" fontId="9" fillId="0" borderId="17" xfId="0" applyNumberFormat="1" applyFont="1" applyFill="1" applyBorder="1">
      <alignment vertical="top"/>
    </xf>
    <xf numFmtId="3" fontId="9" fillId="0" borderId="18" xfId="0" applyNumberFormat="1" applyFont="1" applyFill="1" applyBorder="1">
      <alignment vertical="top"/>
    </xf>
    <xf numFmtId="0" fontId="8" fillId="0" borderId="12" xfId="0" applyFont="1" applyBorder="1" applyAlignment="1"/>
    <xf numFmtId="0" fontId="8" fillId="0" borderId="23" xfId="0" applyFont="1" applyBorder="1" applyAlignment="1">
      <alignment horizontal="center"/>
    </xf>
    <xf numFmtId="0" fontId="9" fillId="0" borderId="15" xfId="0" applyFont="1" applyBorder="1" applyAlignment="1"/>
    <xf numFmtId="0" fontId="9" fillId="0" borderId="15" xfId="0" applyFont="1" applyBorder="1" applyAlignment="1">
      <alignment horizontal="left"/>
    </xf>
    <xf numFmtId="4" fontId="9" fillId="0" borderId="16" xfId="2" applyFont="1" applyBorder="1" applyAlignment="1"/>
    <xf numFmtId="10" fontId="9" fillId="0" borderId="19" xfId="0" applyNumberFormat="1" applyFont="1" applyBorder="1" applyAlignment="1"/>
    <xf numFmtId="4" fontId="9" fillId="0" borderId="24" xfId="2" applyFont="1" applyBorder="1" applyAlignment="1"/>
    <xf numFmtId="10" fontId="9" fillId="0" borderId="19" xfId="19" applyNumberFormat="1" applyFont="1" applyBorder="1" applyAlignment="1"/>
    <xf numFmtId="0" fontId="9" fillId="0" borderId="17" xfId="0" applyFont="1" applyBorder="1" applyAlignment="1">
      <alignment horizontal="left"/>
    </xf>
    <xf numFmtId="3" fontId="8" fillId="0" borderId="25" xfId="0" applyNumberFormat="1" applyFont="1" applyFill="1" applyBorder="1">
      <alignment vertical="top"/>
    </xf>
    <xf numFmtId="172" fontId="8" fillId="0" borderId="3" xfId="0" applyNumberFormat="1" applyFont="1" applyFill="1" applyBorder="1" applyAlignment="1">
      <alignment horizontal="center" vertical="top"/>
    </xf>
    <xf numFmtId="0" fontId="10" fillId="0" borderId="0" xfId="0" applyFont="1" applyAlignment="1"/>
    <xf numFmtId="5" fontId="9" fillId="0" borderId="0" xfId="8" applyNumberFormat="1" applyFont="1" applyBorder="1">
      <alignment vertical="top"/>
    </xf>
    <xf numFmtId="170" fontId="9" fillId="0" borderId="0" xfId="0" applyNumberFormat="1" applyFont="1" applyBorder="1" applyAlignment="1"/>
    <xf numFmtId="170" fontId="9" fillId="0" borderId="3" xfId="2" applyNumberFormat="1" applyFont="1" applyBorder="1" applyAlignment="1"/>
    <xf numFmtId="170" fontId="9" fillId="0" borderId="3" xfId="0" applyNumberFormat="1" applyFont="1" applyBorder="1" applyAlignment="1"/>
    <xf numFmtId="3" fontId="8" fillId="0" borderId="3" xfId="0" applyNumberFormat="1" applyFont="1" applyBorder="1" applyAlignment="1">
      <alignment horizontal="center" vertical="top"/>
    </xf>
    <xf numFmtId="10" fontId="9" fillId="0" borderId="0" xfId="19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0" fontId="9" fillId="0" borderId="0" xfId="2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0" fontId="9" fillId="0" borderId="27" xfId="19" applyNumberFormat="1" applyFont="1" applyFill="1" applyBorder="1" applyAlignment="1">
      <alignment vertical="center" wrapText="1"/>
    </xf>
    <xf numFmtId="170" fontId="9" fillId="0" borderId="26" xfId="2" applyNumberFormat="1" applyFont="1" applyFill="1" applyBorder="1" applyAlignment="1">
      <alignment vertical="center"/>
    </xf>
    <xf numFmtId="170" fontId="9" fillId="0" borderId="0" xfId="2" applyNumberFormat="1" applyFont="1" applyFill="1" applyAlignment="1">
      <alignment vertical="center"/>
    </xf>
    <xf numFmtId="3" fontId="9" fillId="0" borderId="12" xfId="0" quotePrefix="1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170" fontId="9" fillId="0" borderId="16" xfId="2" applyNumberFormat="1" applyFont="1" applyFill="1" applyBorder="1" applyAlignment="1">
      <alignment vertical="center" wrapText="1"/>
    </xf>
    <xf numFmtId="3" fontId="9" fillId="0" borderId="16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170" fontId="9" fillId="0" borderId="18" xfId="2" applyNumberFormat="1" applyFont="1" applyFill="1" applyBorder="1" applyAlignment="1">
      <alignment vertical="center" wrapText="1"/>
    </xf>
    <xf numFmtId="43" fontId="9" fillId="0" borderId="0" xfId="2" applyNumberFormat="1" applyFont="1" applyFill="1" applyAlignment="1">
      <alignment vertical="center" wrapText="1"/>
    </xf>
    <xf numFmtId="3" fontId="8" fillId="0" borderId="0" xfId="0" quotePrefix="1" applyNumberFormat="1" applyFont="1" applyFill="1" applyAlignment="1">
      <alignment vertical="center"/>
    </xf>
    <xf numFmtId="176" fontId="8" fillId="0" borderId="3" xfId="0" quotePrefix="1" applyNumberFormat="1" applyFont="1" applyFill="1" applyBorder="1" applyAlignment="1">
      <alignment horizontal="center"/>
    </xf>
    <xf numFmtId="5" fontId="9" fillId="0" borderId="0" xfId="0" applyNumberFormat="1" applyFont="1" applyFill="1" applyBorder="1">
      <alignment vertical="top"/>
    </xf>
    <xf numFmtId="170" fontId="9" fillId="0" borderId="19" xfId="2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5" fontId="9" fillId="0" borderId="0" xfId="5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5" fontId="9" fillId="0" borderId="4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37" fontId="9" fillId="0" borderId="4" xfId="2" applyNumberFormat="1" applyFont="1" applyFill="1" applyBorder="1">
      <alignment vertical="top"/>
    </xf>
    <xf numFmtId="3" fontId="12" fillId="0" borderId="0" xfId="0" applyNumberFormat="1" applyFont="1">
      <alignment vertical="top"/>
    </xf>
    <xf numFmtId="0" fontId="12" fillId="0" borderId="0" xfId="0" applyFont="1" applyAlignment="1"/>
    <xf numFmtId="170" fontId="12" fillId="0" borderId="0" xfId="2" applyNumberFormat="1" applyFont="1" applyFill="1" applyAlignment="1"/>
    <xf numFmtId="3" fontId="13" fillId="0" borderId="0" xfId="0" applyNumberFormat="1" applyFont="1">
      <alignment vertical="top"/>
    </xf>
    <xf numFmtId="164" fontId="9" fillId="0" borderId="3" xfId="19" applyNumberFormat="1" applyFont="1" applyBorder="1">
      <alignment vertical="top"/>
    </xf>
    <xf numFmtId="164" fontId="9" fillId="0" borderId="4" xfId="19" applyNumberFormat="1" applyFont="1" applyBorder="1">
      <alignment vertical="top"/>
    </xf>
    <xf numFmtId="170" fontId="9" fillId="0" borderId="0" xfId="2" applyNumberFormat="1" applyFont="1" applyFill="1" applyAlignment="1">
      <alignment horizontal="center"/>
    </xf>
    <xf numFmtId="168" fontId="9" fillId="0" borderId="0" xfId="0" applyNumberFormat="1" applyFont="1" applyFill="1">
      <alignment vertical="top"/>
    </xf>
    <xf numFmtId="168" fontId="9" fillId="0" borderId="3" xfId="0" applyNumberFormat="1" applyFont="1" applyFill="1" applyBorder="1">
      <alignment vertical="top"/>
    </xf>
    <xf numFmtId="37" fontId="9" fillId="0" borderId="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10" fontId="9" fillId="0" borderId="0" xfId="19" applyFont="1" applyFill="1" applyBorder="1">
      <alignment vertical="top"/>
    </xf>
    <xf numFmtId="3" fontId="8" fillId="0" borderId="0" xfId="3" applyFont="1" applyFill="1" applyAlignment="1">
      <alignment horizontal="center" vertical="center"/>
    </xf>
    <xf numFmtId="3" fontId="8" fillId="0" borderId="0" xfId="0" quotePrefix="1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170" fontId="12" fillId="0" borderId="4" xfId="2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14" fillId="0" borderId="0" xfId="2" quotePrefix="1" applyNumberFormat="1" applyFont="1" applyFill="1" applyBorder="1">
      <alignment vertical="top"/>
    </xf>
    <xf numFmtId="3" fontId="3" fillId="0" borderId="0" xfId="0" applyNumberFormat="1" applyFont="1">
      <alignment vertical="top"/>
    </xf>
    <xf numFmtId="164" fontId="9" fillId="0" borderId="0" xfId="0" quotePrefix="1" applyNumberFormat="1" applyFont="1">
      <alignment vertical="top"/>
    </xf>
    <xf numFmtId="5" fontId="9" fillId="0" borderId="0" xfId="5" quotePrefix="1" applyNumberFormat="1" applyFont="1" applyBorder="1" applyAlignment="1">
      <alignment vertical="center"/>
    </xf>
    <xf numFmtId="3" fontId="9" fillId="3" borderId="4" xfId="0" applyNumberFormat="1" applyFont="1" applyFill="1" applyBorder="1">
      <alignment vertical="top"/>
    </xf>
    <xf numFmtId="170" fontId="9" fillId="3" borderId="4" xfId="2" applyNumberFormat="1" applyFont="1" applyFill="1" applyBorder="1" applyAlignment="1"/>
    <xf numFmtId="4" fontId="9" fillId="3" borderId="18" xfId="2" applyFont="1" applyFill="1" applyBorder="1" applyAlignment="1"/>
    <xf numFmtId="3" fontId="9" fillId="3" borderId="3" xfId="0" applyNumberFormat="1" applyFont="1" applyFill="1" applyBorder="1">
      <alignment vertical="top"/>
    </xf>
    <xf numFmtId="37" fontId="9" fillId="3" borderId="0" xfId="3" applyNumberFormat="1" applyFont="1" applyFill="1">
      <alignment vertical="top"/>
    </xf>
    <xf numFmtId="3" fontId="9" fillId="3" borderId="6" xfId="0" applyNumberFormat="1" applyFont="1" applyFill="1" applyBorder="1">
      <alignment vertical="top"/>
    </xf>
    <xf numFmtId="3" fontId="9" fillId="3" borderId="16" xfId="0" applyNumberFormat="1" applyFont="1" applyFill="1" applyBorder="1">
      <alignment vertical="top"/>
    </xf>
    <xf numFmtId="37" fontId="9" fillId="3" borderId="3" xfId="0" applyNumberFormat="1" applyFont="1" applyFill="1" applyBorder="1">
      <alignment vertical="top"/>
    </xf>
    <xf numFmtId="1" fontId="8" fillId="0" borderId="0" xfId="0" quotePrefix="1" applyNumberFormat="1" applyFont="1" applyFill="1" applyAlignment="1">
      <alignment horizontal="center" vertical="top"/>
    </xf>
    <xf numFmtId="1" fontId="8" fillId="0" borderId="0" xfId="0" quotePrefix="1" applyNumberFormat="1" applyFont="1" applyFill="1" applyBorder="1" applyAlignment="1">
      <alignment horizontal="center" vertical="top"/>
    </xf>
    <xf numFmtId="37" fontId="9" fillId="0" borderId="0" xfId="0" quotePrefix="1" applyNumberFormat="1" applyFont="1" applyFill="1">
      <alignment vertical="top"/>
    </xf>
    <xf numFmtId="37" fontId="9" fillId="0" borderId="0" xfId="0" quotePrefix="1" applyNumberFormat="1" applyFont="1" applyFill="1" applyBorder="1">
      <alignment vertical="top"/>
    </xf>
    <xf numFmtId="3" fontId="13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 applyFill="1" applyBorder="1">
      <alignment vertical="top"/>
    </xf>
    <xf numFmtId="4" fontId="9" fillId="0" borderId="0" xfId="0" applyNumberFormat="1" applyFont="1">
      <alignment vertical="top"/>
    </xf>
    <xf numFmtId="3" fontId="8" fillId="0" borderId="12" xfId="0" applyNumberFormat="1" applyFont="1" applyBorder="1">
      <alignment vertical="top"/>
    </xf>
    <xf numFmtId="10" fontId="9" fillId="0" borderId="0" xfId="19" applyNumberFormat="1" applyFont="1" applyFill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Fill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11" xfId="0" quotePrefix="1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top"/>
    </xf>
    <xf numFmtId="3" fontId="8" fillId="0" borderId="23" xfId="0" applyNumberFormat="1" applyFont="1" applyFill="1" applyBorder="1" applyAlignment="1">
      <alignment horizontal="center" vertical="top"/>
    </xf>
  </cellXfs>
  <cellStyles count="26">
    <cellStyle name="coma 5" xfId="1"/>
    <cellStyle name="Comma" xfId="2" builtinId="3"/>
    <cellStyle name="Comma0" xfId="3"/>
    <cellStyle name="Comma4" xfId="4"/>
    <cellStyle name="Currency" xfId="5" builtinId="4"/>
    <cellStyle name="currency 0" xfId="6"/>
    <cellStyle name="currency 0_2007 Oregon Earnings Test Report model" xfId="7"/>
    <cellStyle name="Currency0" xfId="8"/>
    <cellStyle name="Currency4" xfId="9"/>
    <cellStyle name="Date" xfId="10"/>
    <cellStyle name="Fixed" xfId="11"/>
    <cellStyle name="Heading 1" xfId="12" builtinId="16" customBuiltin="1"/>
    <cellStyle name="Heading 2" xfId="13" builtinId="17" customBuiltin="1"/>
    <cellStyle name="hidden" xfId="14"/>
    <cellStyle name="hide" xfId="15"/>
    <cellStyle name="Normal" xfId="0" builtinId="0"/>
    <cellStyle name="Normal 2" xfId="23"/>
    <cellStyle name="Normal 2 13" xfId="24"/>
    <cellStyle name="Normal_2006 master state IS allocation" xfId="16"/>
    <cellStyle name="Normal_2007 Oregon Earnings Test Report model" xfId="25"/>
    <cellStyle name="Normal_Rev &amp; Cost Model b" xfId="17"/>
    <cellStyle name="Outline" xfId="18"/>
    <cellStyle name="Percent" xfId="19" builtinId="5"/>
    <cellStyle name="Percent2" xfId="20"/>
    <cellStyle name="percent3" xfId="21"/>
    <cellStyle name="Total" xfId="2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A1:O59"/>
  <sheetViews>
    <sheetView zoomScaleNormal="100" workbookViewId="0">
      <selection activeCell="E27" sqref="E27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3.7109375" style="2" customWidth="1"/>
    <col min="7" max="7" width="14.7109375" style="2" customWidth="1"/>
    <col min="8" max="8" width="9.140625" style="2" customWidth="1"/>
    <col min="9" max="9" width="67.28515625" style="2" bestFit="1" customWidth="1"/>
    <col min="10" max="16384" width="9.140625" style="2"/>
  </cols>
  <sheetData>
    <row r="1" spans="1:15" s="54" customFormat="1" x14ac:dyDescent="0.2">
      <c r="A1" s="54" t="s">
        <v>0</v>
      </c>
    </row>
    <row r="2" spans="1:15" s="54" customFormat="1" x14ac:dyDescent="0.2">
      <c r="A2" s="54" t="s">
        <v>4</v>
      </c>
      <c r="F2" s="53"/>
    </row>
    <row r="3" spans="1:15" s="54" customFormat="1" x14ac:dyDescent="0.2">
      <c r="A3" s="5" t="str">
        <f>+'KSM-3 p1 - Test Year Results'!A3</f>
        <v>Test Year Based on Twelve Months Ended September 30, 2018</v>
      </c>
      <c r="F3" s="53"/>
    </row>
    <row r="4" spans="1:15" s="54" customFormat="1" x14ac:dyDescent="0.2">
      <c r="G4" s="59"/>
    </row>
    <row r="5" spans="1:15" s="54" customFormat="1" x14ac:dyDescent="0.2">
      <c r="C5" s="524" t="s">
        <v>372</v>
      </c>
      <c r="D5" s="524"/>
      <c r="E5" s="524"/>
      <c r="F5" s="524"/>
      <c r="G5" s="524"/>
    </row>
    <row r="6" spans="1:15" s="54" customFormat="1" x14ac:dyDescent="0.2">
      <c r="D6" s="60"/>
      <c r="E6" s="60"/>
      <c r="F6" s="60" t="s">
        <v>14</v>
      </c>
      <c r="G6" s="60" t="s">
        <v>15</v>
      </c>
    </row>
    <row r="7" spans="1:15" s="54" customFormat="1" x14ac:dyDescent="0.2">
      <c r="A7" s="60" t="s">
        <v>17</v>
      </c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15" s="54" customFormat="1" x14ac:dyDescent="0.2">
      <c r="A8" s="62" t="s">
        <v>33</v>
      </c>
      <c r="C8" s="62" t="s">
        <v>18</v>
      </c>
      <c r="D8" s="62" t="s">
        <v>34</v>
      </c>
      <c r="E8" s="62" t="s">
        <v>35</v>
      </c>
      <c r="F8" s="62" t="s">
        <v>36</v>
      </c>
      <c r="G8" s="62" t="s">
        <v>37</v>
      </c>
    </row>
    <row r="9" spans="1:15" s="54" customFormat="1" x14ac:dyDescent="0.2">
      <c r="A9" s="60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15" x14ac:dyDescent="0.2">
      <c r="A10" s="60"/>
      <c r="E10" s="25"/>
      <c r="I10" s="519" t="s">
        <v>836</v>
      </c>
      <c r="J10" s="54"/>
      <c r="K10" s="54"/>
      <c r="L10" s="54"/>
      <c r="M10" s="54"/>
      <c r="N10" s="54"/>
      <c r="O10" s="54"/>
    </row>
    <row r="11" spans="1:15" x14ac:dyDescent="0.2">
      <c r="A11" s="60"/>
      <c r="B11" s="54" t="s">
        <v>78</v>
      </c>
      <c r="C11" s="63"/>
      <c r="D11" s="63"/>
      <c r="E11" s="63"/>
      <c r="G11" s="63"/>
    </row>
    <row r="12" spans="1:15" x14ac:dyDescent="0.2">
      <c r="A12" s="60">
        <v>1</v>
      </c>
      <c r="B12" s="54" t="s">
        <v>81</v>
      </c>
      <c r="C12" s="64">
        <f>+'KSM-4 p6 - Revenue &amp; Gas Cost'!E15+'KSM-4 p6 - Revenue &amp; Gas Cost'!E17</f>
        <v>67314413.069999993</v>
      </c>
      <c r="D12" s="64">
        <f>'KSM-4 p2 &amp; p3 - Adjust Issues'!V13</f>
        <v>-3593725.3960132077</v>
      </c>
      <c r="E12" s="64">
        <f>C12+D12</f>
        <v>63720687.673986785</v>
      </c>
      <c r="F12" s="64">
        <f>D57</f>
        <v>8189001.7852078788</v>
      </c>
      <c r="G12" s="64">
        <f>F12+E12</f>
        <v>71909689.45919466</v>
      </c>
      <c r="H12" s="55"/>
      <c r="I12" s="499" t="s">
        <v>824</v>
      </c>
    </row>
    <row r="13" spans="1:15" x14ac:dyDescent="0.2">
      <c r="A13" s="60">
        <v>2</v>
      </c>
      <c r="B13" s="54" t="s">
        <v>87</v>
      </c>
      <c r="C13" s="29">
        <f>+'KSM-4 p6 - Revenue &amp; Gas Cost'!E25</f>
        <v>2370980.7199999997</v>
      </c>
      <c r="D13" s="29">
        <f>'KSM-4 p2 &amp; p3 - Adjust Issues'!V14</f>
        <v>-9876.9533199756406</v>
      </c>
      <c r="E13" s="29">
        <f>C13+D13</f>
        <v>2361103.7666800241</v>
      </c>
      <c r="F13" s="65">
        <v>0</v>
      </c>
      <c r="G13" s="65">
        <f>F13+E13</f>
        <v>2361103.7666800241</v>
      </c>
      <c r="I13" s="499" t="s">
        <v>825</v>
      </c>
    </row>
    <row r="14" spans="1:15" x14ac:dyDescent="0.2">
      <c r="A14" s="60">
        <v>3</v>
      </c>
      <c r="B14" s="54" t="s">
        <v>91</v>
      </c>
      <c r="C14" s="66">
        <f>+'WP - Other Rev &amp; Tax'!E18</f>
        <v>-2048364.0723769995</v>
      </c>
      <c r="D14" s="66">
        <f>'KSM-4 p2 &amp; p3 - Adjust Issues'!V15</f>
        <v>2287568.4330936661</v>
      </c>
      <c r="E14" s="66">
        <f>D14+C14</f>
        <v>239204.36071666656</v>
      </c>
      <c r="F14" s="67">
        <v>0</v>
      </c>
      <c r="G14" s="67">
        <f>F14+E14</f>
        <v>239204.36071666656</v>
      </c>
      <c r="I14" s="2" t="s">
        <v>826</v>
      </c>
    </row>
    <row r="15" spans="1:15" x14ac:dyDescent="0.2">
      <c r="A15" s="60"/>
      <c r="C15" s="29"/>
      <c r="D15" s="29"/>
      <c r="E15" s="29"/>
      <c r="F15" s="65"/>
      <c r="G15" s="65"/>
    </row>
    <row r="16" spans="1:15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8189001.7852078788</v>
      </c>
      <c r="G16" s="65">
        <f>SUM(G12:G15)</f>
        <v>74509997.586591348</v>
      </c>
      <c r="I16" s="2" t="s">
        <v>823</v>
      </c>
    </row>
    <row r="17" spans="1:9" x14ac:dyDescent="0.2">
      <c r="A17" s="60"/>
      <c r="B17" s="68"/>
      <c r="C17" s="29"/>
      <c r="D17" s="29"/>
      <c r="E17" s="29"/>
      <c r="F17" s="65"/>
      <c r="G17" s="65"/>
    </row>
    <row r="18" spans="1:9" x14ac:dyDescent="0.2">
      <c r="A18" s="60"/>
      <c r="B18" s="54" t="s">
        <v>107</v>
      </c>
      <c r="C18" s="29"/>
      <c r="D18" s="29"/>
      <c r="E18" s="29"/>
      <c r="F18" s="65"/>
      <c r="G18" s="65"/>
    </row>
    <row r="19" spans="1:9" x14ac:dyDescent="0.2">
      <c r="A19" s="60">
        <v>5</v>
      </c>
      <c r="B19" s="54" t="s">
        <v>109</v>
      </c>
      <c r="C19" s="29">
        <f>+'KSM-4 p6 - Revenue &amp; Gas Cost'!E35</f>
        <v>25772082.550587021</v>
      </c>
      <c r="D19" s="29">
        <f>'KSM-4 p2 &amp; p3 - Adjust Issues'!V20</f>
        <v>-1327404.5505870208</v>
      </c>
      <c r="E19" s="29">
        <f>C19+D19</f>
        <v>24444678</v>
      </c>
      <c r="F19" s="65">
        <v>0</v>
      </c>
      <c r="G19" s="65">
        <f>F19+E19</f>
        <v>24444678</v>
      </c>
      <c r="I19" s="499" t="s">
        <v>827</v>
      </c>
    </row>
    <row r="20" spans="1:9" x14ac:dyDescent="0.2">
      <c r="A20" s="60">
        <v>6</v>
      </c>
      <c r="B20" s="54" t="s">
        <v>114</v>
      </c>
      <c r="C20" s="29">
        <f>+'KSM-3 p2 &amp; p3 - O&amp;M'!F71</f>
        <v>58165.898717000018</v>
      </c>
      <c r="D20" s="29">
        <f>'KSM-4 p2 &amp; p3 - Adjust Issues'!V21</f>
        <v>17476.441965468621</v>
      </c>
      <c r="E20" s="29">
        <f>C20+D20</f>
        <v>75642.340682468639</v>
      </c>
      <c r="F20" s="65">
        <f>D57*'KSM-3 p8 - Cost of Cap'!C25</f>
        <v>8643.6593040613971</v>
      </c>
      <c r="G20" s="65">
        <f>F20+E20</f>
        <v>84285.999986530034</v>
      </c>
      <c r="I20" s="499" t="s">
        <v>828</v>
      </c>
    </row>
    <row r="21" spans="1:9" x14ac:dyDescent="0.2">
      <c r="A21" s="60">
        <v>7</v>
      </c>
      <c r="B21" s="54" t="s">
        <v>115</v>
      </c>
      <c r="C21" s="66">
        <f>+'KSM-3 p2 &amp; p3 - O&amp;M'!F106-C20</f>
        <v>17640138.728842866</v>
      </c>
      <c r="D21" s="66">
        <f>'KSM-4 p2 &amp; p3 - Adjust Issues'!V22</f>
        <v>422474.72597069084</v>
      </c>
      <c r="E21" s="66">
        <f>C21+D21</f>
        <v>18062613.454813555</v>
      </c>
      <c r="F21" s="67">
        <v>0</v>
      </c>
      <c r="G21" s="67">
        <f>F21+E21</f>
        <v>18062613.454813555</v>
      </c>
      <c r="I21" s="499" t="s">
        <v>829</v>
      </c>
    </row>
    <row r="22" spans="1:9" x14ac:dyDescent="0.2">
      <c r="A22" s="60"/>
      <c r="C22" s="29"/>
      <c r="D22" s="29"/>
      <c r="E22" s="29"/>
      <c r="F22" s="65"/>
      <c r="G22" s="65"/>
    </row>
    <row r="23" spans="1:9" x14ac:dyDescent="0.2">
      <c r="A23" s="60">
        <v>8</v>
      </c>
      <c r="B23" s="54" t="s">
        <v>123</v>
      </c>
      <c r="C23" s="29">
        <f>SUM(C19:C22)</f>
        <v>43470387.178146884</v>
      </c>
      <c r="D23" s="29">
        <f>SUM(D18:D21)</f>
        <v>-887453.38265086128</v>
      </c>
      <c r="E23" s="29">
        <f>SUM(E18:E21)</f>
        <v>42582933.795496024</v>
      </c>
      <c r="F23" s="65">
        <f>SUM(F18:F21)</f>
        <v>8643.6593040613971</v>
      </c>
      <c r="G23" s="65">
        <f>SUM(G18:G21)</f>
        <v>42591577.454800084</v>
      </c>
      <c r="I23" s="2" t="s">
        <v>823</v>
      </c>
    </row>
    <row r="24" spans="1:9" x14ac:dyDescent="0.2">
      <c r="A24" s="60"/>
      <c r="B24" s="53"/>
      <c r="C24" s="29"/>
      <c r="D24" s="29"/>
      <c r="E24" s="29"/>
      <c r="F24" s="65"/>
      <c r="G24" s="65"/>
    </row>
    <row r="25" spans="1:9" x14ac:dyDescent="0.2">
      <c r="A25" s="60"/>
      <c r="C25" s="29"/>
      <c r="D25" s="29"/>
      <c r="E25" s="29"/>
      <c r="F25" s="65"/>
      <c r="G25" s="65"/>
    </row>
    <row r="26" spans="1:9" x14ac:dyDescent="0.2">
      <c r="A26" s="60">
        <v>9</v>
      </c>
      <c r="B26" s="54" t="s">
        <v>130</v>
      </c>
      <c r="C26" s="29">
        <f>+'KSM-3 p5 - Taxes'!C27</f>
        <v>1320294.0126704453</v>
      </c>
      <c r="D26" s="29">
        <f>'KSM-4 p2 &amp; p3 - Adjust Issues'!V27</f>
        <v>-226679</v>
      </c>
      <c r="E26" s="29">
        <f>C26+D26</f>
        <v>1093615.0126704453</v>
      </c>
      <c r="F26" s="65">
        <f>(D57-F20-F28)*'KSM-3 p8 - Cost of Cap'!C43</f>
        <v>1648193.3524491107</v>
      </c>
      <c r="G26" s="65">
        <f>F26+E26</f>
        <v>2741808.365119556</v>
      </c>
      <c r="I26" s="499" t="s">
        <v>830</v>
      </c>
    </row>
    <row r="27" spans="1:9" x14ac:dyDescent="0.2">
      <c r="A27" s="60">
        <v>10</v>
      </c>
      <c r="B27" s="54" t="s">
        <v>132</v>
      </c>
      <c r="C27" s="29">
        <f>+'WP - Other Rev &amp; Tax'!E21</f>
        <v>1541124</v>
      </c>
      <c r="D27" s="29">
        <f>'KSM-4 p2 &amp; p3 - Adjust Issues'!V28</f>
        <v>-44489.81</v>
      </c>
      <c r="E27" s="29">
        <f>C27+D27</f>
        <v>1496634.19</v>
      </c>
      <c r="F27" s="65">
        <v>0</v>
      </c>
      <c r="G27" s="65">
        <f>F27+E27</f>
        <v>1496634.19</v>
      </c>
      <c r="I27" s="499" t="s">
        <v>831</v>
      </c>
    </row>
    <row r="28" spans="1:9" x14ac:dyDescent="0.2">
      <c r="A28" s="60">
        <v>11</v>
      </c>
      <c r="B28" s="54" t="s">
        <v>136</v>
      </c>
      <c r="C28" s="29">
        <f>+'WP - Other Rev &amp; Tax'!E28-C27</f>
        <v>3688227.834309103</v>
      </c>
      <c r="D28" s="29">
        <f>'KSM-4 p2 &amp; p3 - Adjust Issues'!V29</f>
        <v>-12059.249822806618</v>
      </c>
      <c r="E28" s="29">
        <f>C28+D28</f>
        <v>3676168.5844862964</v>
      </c>
      <c r="F28" s="65">
        <f>D57*(+'KSM-3 p8 - Cost of Cap'!C26+'KSM-3 p8 - Cost of Cap'!C27)</f>
        <v>331818.35233662324</v>
      </c>
      <c r="G28" s="65">
        <f>F28+E28</f>
        <v>4007986.9368229196</v>
      </c>
      <c r="I28" s="499" t="s">
        <v>832</v>
      </c>
    </row>
    <row r="29" spans="1:9" x14ac:dyDescent="0.2">
      <c r="A29" s="60">
        <v>12</v>
      </c>
      <c r="B29" s="54" t="s">
        <v>137</v>
      </c>
      <c r="C29" s="66">
        <f>+'WP - Other Rev &amp; Tax'!E40</f>
        <v>9325935.1064954381</v>
      </c>
      <c r="D29" s="66">
        <f>'KSM-4 p2 &amp; p3 - Adjust Issues'!V30</f>
        <v>111574.0376062459</v>
      </c>
      <c r="E29" s="66">
        <f>C29+D29</f>
        <v>9437509.1441016849</v>
      </c>
      <c r="F29" s="67">
        <v>0</v>
      </c>
      <c r="G29" s="67">
        <f>F29+E29</f>
        <v>9437509.1441016849</v>
      </c>
      <c r="I29" s="499" t="s">
        <v>833</v>
      </c>
    </row>
    <row r="30" spans="1:9" x14ac:dyDescent="0.2">
      <c r="A30" s="60"/>
      <c r="C30" s="29"/>
      <c r="D30" s="29"/>
      <c r="E30" s="29"/>
      <c r="F30" s="65"/>
      <c r="G30" s="65"/>
    </row>
    <row r="31" spans="1:9" x14ac:dyDescent="0.2">
      <c r="A31" s="60">
        <v>13</v>
      </c>
      <c r="B31" s="54" t="s">
        <v>141</v>
      </c>
      <c r="C31" s="66">
        <f>SUM(C23:C30)</f>
        <v>59345968.131621867</v>
      </c>
      <c r="D31" s="66">
        <f>SUM(D23:D30)</f>
        <v>-1059107.4048674221</v>
      </c>
      <c r="E31" s="66">
        <f>SUM(E23:E30)</f>
        <v>58286860.726754449</v>
      </c>
      <c r="F31" s="67">
        <f>SUM(F23:F30)</f>
        <v>1988655.3640897954</v>
      </c>
      <c r="G31" s="67">
        <f>SUM(G23:G30)</f>
        <v>60275516.090844244</v>
      </c>
      <c r="I31" s="2" t="s">
        <v>823</v>
      </c>
    </row>
    <row r="32" spans="1:9" x14ac:dyDescent="0.2">
      <c r="A32" s="60"/>
    </row>
    <row r="33" spans="1:9" ht="15.75" thickBot="1" x14ac:dyDescent="0.25">
      <c r="A33" s="60">
        <v>14</v>
      </c>
      <c r="B33" s="54" t="s">
        <v>146</v>
      </c>
      <c r="C33" s="70">
        <f>C16-C31</f>
        <v>8291061.586001128</v>
      </c>
      <c r="D33" s="70">
        <f>D16-D31</f>
        <v>-256926.51137209521</v>
      </c>
      <c r="E33" s="70">
        <f>E16-E31</f>
        <v>8034135.0746290237</v>
      </c>
      <c r="F33" s="70">
        <f>F16-F31</f>
        <v>6200346.4211180834</v>
      </c>
      <c r="G33" s="70">
        <f>G16-G31</f>
        <v>14234481.495747104</v>
      </c>
      <c r="I33" s="2" t="s">
        <v>834</v>
      </c>
    </row>
    <row r="34" spans="1:9" ht="15.75" thickTop="1" x14ac:dyDescent="0.2">
      <c r="A34" s="60"/>
      <c r="C34" s="71"/>
      <c r="D34" s="71"/>
      <c r="E34" s="71"/>
      <c r="F34" s="71"/>
      <c r="G34" s="71"/>
    </row>
    <row r="35" spans="1:9" ht="15.75" thickBot="1" x14ac:dyDescent="0.25">
      <c r="A35" s="60">
        <v>15</v>
      </c>
      <c r="B35" s="54" t="s">
        <v>149</v>
      </c>
      <c r="C35" s="70">
        <f>+'KSM-3 p6 &amp; p7 - AMA Rate Base'!Q91</f>
        <v>163033846.94894913</v>
      </c>
      <c r="D35" s="70">
        <f>'KSM-4 p2 &amp; p3 - Adjust Issues'!V47</f>
        <v>23550178.726007156</v>
      </c>
      <c r="E35" s="70">
        <f>C35+D35</f>
        <v>186584025.67495629</v>
      </c>
      <c r="F35" s="70">
        <v>0</v>
      </c>
      <c r="G35" s="70">
        <f>F35+E35</f>
        <v>186584025.67495629</v>
      </c>
      <c r="I35" s="499" t="s">
        <v>835</v>
      </c>
    </row>
    <row r="36" spans="1:9" ht="15.75" thickTop="1" x14ac:dyDescent="0.2">
      <c r="A36" s="60"/>
      <c r="C36" s="64"/>
      <c r="D36" s="64"/>
      <c r="E36" s="64"/>
      <c r="F36" s="64"/>
      <c r="G36" s="64"/>
    </row>
    <row r="37" spans="1:9" x14ac:dyDescent="0.2">
      <c r="A37" s="60"/>
      <c r="D37" s="40"/>
    </row>
    <row r="38" spans="1:9" ht="15.75" thickBot="1" x14ac:dyDescent="0.25">
      <c r="A38" s="60">
        <v>16</v>
      </c>
      <c r="B38" s="54" t="s">
        <v>153</v>
      </c>
      <c r="C38" s="72">
        <f>ROUND(+C33/C35,5)</f>
        <v>5.0849999999999999E-2</v>
      </c>
      <c r="D38" s="40"/>
      <c r="E38" s="72">
        <f>ROUND(+E33/E35,5)</f>
        <v>4.3060000000000001E-2</v>
      </c>
      <c r="F38" s="40"/>
      <c r="G38" s="72">
        <f>'KSM-3 p8 - Cost of Cap'!E15</f>
        <v>7.6289999999999997E-2</v>
      </c>
    </row>
    <row r="39" spans="1:9" ht="15.75" thickTop="1" x14ac:dyDescent="0.2">
      <c r="A39" s="60"/>
      <c r="C39" s="73"/>
      <c r="D39" s="40"/>
      <c r="E39" s="73"/>
      <c r="F39" s="40"/>
      <c r="G39" s="73"/>
    </row>
    <row r="40" spans="1:9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5.1616161616161609E-2</v>
      </c>
      <c r="D40" s="40"/>
      <c r="E40" s="72">
        <f>((+E38-'KSM-3 p8 - Cost of Cap'!$E$11-'KSM-3 p8 - Cost of Cap'!$E$12)/'KSM-3 p8 - Cost of Cap'!$C$13)</f>
        <v>3.5878787878787878E-2</v>
      </c>
      <c r="F40" s="40"/>
      <c r="G40" s="72">
        <f>((+G38-'KSM-3 p8 - Cost of Cap'!$E$11-'KSM-3 p8 - Cost of Cap'!$E$12)/'KSM-3 p8 - Cost of Cap'!$C$13)</f>
        <v>0.103010101010101</v>
      </c>
    </row>
    <row r="41" spans="1:9" ht="15.75" thickTop="1" x14ac:dyDescent="0.2">
      <c r="F41" s="40"/>
    </row>
    <row r="43" spans="1:9" x14ac:dyDescent="0.2">
      <c r="E43" s="55"/>
      <c r="F43" s="55"/>
    </row>
    <row r="45" spans="1:9" x14ac:dyDescent="0.2">
      <c r="B45" s="54" t="s">
        <v>162</v>
      </c>
    </row>
    <row r="46" spans="1:9" x14ac:dyDescent="0.2">
      <c r="A46" s="60">
        <v>1</v>
      </c>
      <c r="B46" s="54" t="s">
        <v>167</v>
      </c>
      <c r="C46" s="40"/>
      <c r="D46" s="2">
        <f>G33+G26</f>
        <v>16976289.860866658</v>
      </c>
    </row>
    <row r="47" spans="1:9" x14ac:dyDescent="0.2">
      <c r="A47" s="60">
        <v>2</v>
      </c>
      <c r="B47" s="54" t="s">
        <v>169</v>
      </c>
      <c r="C47" s="40"/>
      <c r="D47" s="2">
        <f>G35*'KSM-3 p8 - Cost of Cap'!C41</f>
        <v>4720575.849576395</v>
      </c>
    </row>
    <row r="48" spans="1:9" x14ac:dyDescent="0.2">
      <c r="A48" s="60">
        <v>3</v>
      </c>
      <c r="B48" s="54" t="s">
        <v>171</v>
      </c>
      <c r="C48" s="40"/>
      <c r="D48" s="75">
        <f>+'KSM-3 p5 - Taxes'!C17</f>
        <v>849454.73232943821</v>
      </c>
    </row>
    <row r="49" spans="1:8" x14ac:dyDescent="0.2">
      <c r="A49" s="60">
        <v>4</v>
      </c>
      <c r="B49" s="5" t="s">
        <v>548</v>
      </c>
      <c r="C49" s="40"/>
      <c r="D49" s="2">
        <f>D46-D47+D48</f>
        <v>13105168.743619701</v>
      </c>
      <c r="G49" s="318"/>
    </row>
    <row r="50" spans="1:8" x14ac:dyDescent="0.2">
      <c r="A50" s="60">
        <v>5</v>
      </c>
      <c r="B50" s="5" t="s">
        <v>801</v>
      </c>
      <c r="C50" s="40"/>
      <c r="D50" s="2">
        <f>D49*0.21+'KSM-3 p5 - Taxes'!C25</f>
        <v>2741808.1081601367</v>
      </c>
      <c r="H50" s="76"/>
    </row>
    <row r="51" spans="1:8" x14ac:dyDescent="0.2">
      <c r="A51" s="60">
        <v>6</v>
      </c>
      <c r="B51" s="54" t="s">
        <v>176</v>
      </c>
      <c r="C51" s="40"/>
      <c r="D51" s="75">
        <f>G26</f>
        <v>2741808.365119556</v>
      </c>
    </row>
    <row r="52" spans="1:8" x14ac:dyDescent="0.2">
      <c r="A52" s="60">
        <v>7</v>
      </c>
      <c r="B52" s="54" t="s">
        <v>178</v>
      </c>
      <c r="C52" s="40"/>
      <c r="D52" s="521">
        <f>D50-D51</f>
        <v>-0.25695941923186183</v>
      </c>
      <c r="H52" s="69"/>
    </row>
    <row r="53" spans="1:8" x14ac:dyDescent="0.2">
      <c r="A53" s="60"/>
    </row>
    <row r="54" spans="1:8" x14ac:dyDescent="0.2">
      <c r="A54" s="60"/>
      <c r="B54" s="54" t="s">
        <v>180</v>
      </c>
      <c r="G54" s="69"/>
    </row>
    <row r="55" spans="1:8" x14ac:dyDescent="0.2">
      <c r="A55" s="60">
        <v>1</v>
      </c>
      <c r="B55" s="54" t="s">
        <v>181</v>
      </c>
      <c r="D55" s="2">
        <f>G35*G38</f>
        <v>14234495.318742415</v>
      </c>
      <c r="G55" s="69"/>
    </row>
    <row r="56" spans="1:8" x14ac:dyDescent="0.2">
      <c r="A56" s="60">
        <v>2</v>
      </c>
      <c r="B56" s="54" t="s">
        <v>182</v>
      </c>
      <c r="D56" s="2">
        <f>D55-E33</f>
        <v>6200360.2441133913</v>
      </c>
    </row>
    <row r="57" spans="1:8" x14ac:dyDescent="0.2">
      <c r="A57" s="60">
        <v>3</v>
      </c>
      <c r="B57" s="54" t="s">
        <v>183</v>
      </c>
      <c r="D57" s="2">
        <f>D56*'KSM-3 p8 - Cost of Cap'!C39</f>
        <v>8189001.7852078788</v>
      </c>
    </row>
    <row r="58" spans="1:8" x14ac:dyDescent="0.2">
      <c r="A58" s="60"/>
    </row>
    <row r="59" spans="1:8" x14ac:dyDescent="0.2">
      <c r="A59" s="60">
        <v>4</v>
      </c>
      <c r="B59" s="54" t="s">
        <v>184</v>
      </c>
      <c r="D59" s="25">
        <f>G33/G35</f>
        <v>7.6289925915440718E-2</v>
      </c>
    </row>
  </sheetData>
  <mergeCells count="1">
    <mergeCell ref="C5:G5"/>
  </mergeCells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  <pageSetUpPr fitToPage="1"/>
  </sheetPr>
  <dimension ref="A1:V38"/>
  <sheetViews>
    <sheetView workbookViewId="0">
      <selection activeCell="A16" sqref="A16"/>
    </sheetView>
  </sheetViews>
  <sheetFormatPr defaultColWidth="9.140625" defaultRowHeight="15" x14ac:dyDescent="0.2"/>
  <cols>
    <col min="1" max="1" width="7.42578125" style="2" customWidth="1"/>
    <col min="2" max="2" width="41.7109375" style="2" customWidth="1"/>
    <col min="3" max="22" width="13.7109375" style="2" customWidth="1"/>
    <col min="23" max="16384" width="9.140625" style="2"/>
  </cols>
  <sheetData>
    <row r="1" spans="1:22" x14ac:dyDescent="0.2">
      <c r="A1" s="54" t="s">
        <v>1</v>
      </c>
      <c r="B1" s="5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x14ac:dyDescent="0.2">
      <c r="A2" s="54" t="s">
        <v>256</v>
      </c>
      <c r="B2" s="5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x14ac:dyDescent="0.2">
      <c r="A3" s="54" t="str">
        <f>+'KSM-4 p2 &amp; p3 - Adjust Issues'!A3</f>
        <v>Test Year Based on Twelve Months Ended September 30, 2018</v>
      </c>
      <c r="B3" s="5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x14ac:dyDescent="0.2">
      <c r="A4" s="54" t="s">
        <v>12</v>
      </c>
      <c r="B4" s="5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x14ac:dyDescent="0.2">
      <c r="A5" s="54"/>
      <c r="B5" s="53"/>
      <c r="C5" s="60" t="s">
        <v>16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2">
      <c r="A6" s="54"/>
      <c r="B6" s="54"/>
      <c r="C6" s="60" t="s">
        <v>24</v>
      </c>
      <c r="D6" s="60" t="s">
        <v>351</v>
      </c>
      <c r="E6" s="60"/>
      <c r="F6" s="60" t="s">
        <v>314</v>
      </c>
      <c r="G6" s="60" t="s">
        <v>377</v>
      </c>
      <c r="H6" s="60" t="s">
        <v>26</v>
      </c>
      <c r="I6" s="60" t="s">
        <v>27</v>
      </c>
      <c r="J6" s="60"/>
      <c r="K6" s="60"/>
      <c r="L6" s="60"/>
      <c r="M6" s="60" t="s">
        <v>66</v>
      </c>
      <c r="N6" s="60"/>
      <c r="O6" s="60" t="s">
        <v>25</v>
      </c>
      <c r="P6" s="60"/>
      <c r="Q6" s="60" t="s">
        <v>580</v>
      </c>
      <c r="R6" s="60" t="s">
        <v>737</v>
      </c>
      <c r="S6" s="60" t="s">
        <v>10</v>
      </c>
      <c r="T6" s="60" t="s">
        <v>10</v>
      </c>
      <c r="U6" s="60" t="s">
        <v>66</v>
      </c>
      <c r="V6" s="60"/>
    </row>
    <row r="7" spans="1:22" x14ac:dyDescent="0.2">
      <c r="A7" s="60" t="s">
        <v>17</v>
      </c>
      <c r="B7" s="54"/>
      <c r="C7" s="60" t="s">
        <v>44</v>
      </c>
      <c r="D7" s="60" t="s">
        <v>64</v>
      </c>
      <c r="E7" s="60" t="s">
        <v>45</v>
      </c>
      <c r="F7" s="60" t="s">
        <v>338</v>
      </c>
      <c r="G7" s="60" t="s">
        <v>46</v>
      </c>
      <c r="H7" s="60" t="s">
        <v>47</v>
      </c>
      <c r="I7" s="60" t="s">
        <v>383</v>
      </c>
      <c r="J7" s="60" t="s">
        <v>48</v>
      </c>
      <c r="K7" s="60" t="s">
        <v>328</v>
      </c>
      <c r="L7" s="60" t="s">
        <v>232</v>
      </c>
      <c r="M7" s="60" t="s">
        <v>378</v>
      </c>
      <c r="N7" s="60" t="s">
        <v>25</v>
      </c>
      <c r="O7" s="60" t="s">
        <v>288</v>
      </c>
      <c r="P7" s="60" t="s">
        <v>214</v>
      </c>
      <c r="Q7" s="60" t="s">
        <v>47</v>
      </c>
      <c r="R7" s="60" t="s">
        <v>738</v>
      </c>
      <c r="S7" s="60" t="s">
        <v>583</v>
      </c>
      <c r="T7" s="60" t="s">
        <v>583</v>
      </c>
      <c r="U7" s="60" t="s">
        <v>379</v>
      </c>
      <c r="V7" s="60" t="s">
        <v>49</v>
      </c>
    </row>
    <row r="8" spans="1:22" x14ac:dyDescent="0.2">
      <c r="A8" s="62" t="s">
        <v>33</v>
      </c>
      <c r="B8" s="62" t="s">
        <v>186</v>
      </c>
      <c r="C8" s="377" t="s">
        <v>63</v>
      </c>
      <c r="D8" s="377" t="s">
        <v>28</v>
      </c>
      <c r="E8" s="377" t="s">
        <v>28</v>
      </c>
      <c r="F8" s="377" t="s">
        <v>28</v>
      </c>
      <c r="G8" s="377" t="s">
        <v>28</v>
      </c>
      <c r="H8" s="377" t="s">
        <v>28</v>
      </c>
      <c r="I8" s="377" t="s">
        <v>28</v>
      </c>
      <c r="J8" s="377" t="s">
        <v>28</v>
      </c>
      <c r="K8" s="377" t="s">
        <v>28</v>
      </c>
      <c r="L8" s="377" t="s">
        <v>28</v>
      </c>
      <c r="M8" s="377" t="s">
        <v>34</v>
      </c>
      <c r="N8" s="377" t="s">
        <v>28</v>
      </c>
      <c r="O8" s="377" t="s">
        <v>28</v>
      </c>
      <c r="P8" s="377" t="s">
        <v>28</v>
      </c>
      <c r="Q8" s="377" t="s">
        <v>28</v>
      </c>
      <c r="R8" s="402" t="s">
        <v>28</v>
      </c>
      <c r="S8" s="477" t="s">
        <v>28</v>
      </c>
      <c r="T8" s="477" t="s">
        <v>28</v>
      </c>
      <c r="U8" s="377" t="s">
        <v>34</v>
      </c>
      <c r="V8" s="377" t="s">
        <v>34</v>
      </c>
    </row>
    <row r="9" spans="1:22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  <c r="H9" s="60" t="s">
        <v>69</v>
      </c>
      <c r="I9" s="60" t="s">
        <v>70</v>
      </c>
      <c r="J9" s="60" t="s">
        <v>71</v>
      </c>
      <c r="K9" s="60" t="s">
        <v>72</v>
      </c>
      <c r="L9" s="60" t="s">
        <v>73</v>
      </c>
      <c r="M9" s="60" t="s">
        <v>74</v>
      </c>
      <c r="N9" s="60" t="s">
        <v>321</v>
      </c>
      <c r="O9" s="60" t="s">
        <v>322</v>
      </c>
      <c r="P9" s="60" t="s">
        <v>75</v>
      </c>
      <c r="Q9" s="60" t="s">
        <v>76</v>
      </c>
      <c r="R9" s="60" t="s">
        <v>346</v>
      </c>
      <c r="S9" s="60" t="s">
        <v>348</v>
      </c>
      <c r="T9" s="60" t="s">
        <v>380</v>
      </c>
      <c r="U9" s="60" t="s">
        <v>381</v>
      </c>
      <c r="V9" s="60" t="s">
        <v>788</v>
      </c>
    </row>
    <row r="10" spans="1:22" x14ac:dyDescent="0.2">
      <c r="A10" s="60"/>
      <c r="B10" s="5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x14ac:dyDescent="0.2">
      <c r="A11" s="60">
        <v>1</v>
      </c>
      <c r="B11" s="54" t="s">
        <v>187</v>
      </c>
      <c r="C11" s="33">
        <f>'KSM-4 p2 &amp; p3 - Adjust Issues'!C17</f>
        <v>-3603602.3493331834</v>
      </c>
      <c r="D11" s="33">
        <f>'KSM-4 p2 &amp; p3 - Adjust Issues'!D17</f>
        <v>2287568.4330936661</v>
      </c>
      <c r="E11" s="33">
        <f>'KSM-4 p2 &amp; p3 - Adjust Issues'!E17</f>
        <v>0</v>
      </c>
      <c r="F11" s="33">
        <f>'KSM-4 p2 &amp; p3 - Adjust Issues'!F17</f>
        <v>0</v>
      </c>
      <c r="G11" s="33">
        <f>'KSM-4 p2 &amp; p3 - Adjust Issues'!G17</f>
        <v>0</v>
      </c>
      <c r="H11" s="33">
        <f>'KSM-4 p2 &amp; p3 - Adjust Issues'!H17</f>
        <v>0</v>
      </c>
      <c r="I11" s="33">
        <f>'KSM-4 p2 &amp; p3 - Adjust Issues'!I17</f>
        <v>0</v>
      </c>
      <c r="J11" s="33">
        <f>'KSM-4 p2 &amp; p3 - Adjust Issues'!J17</f>
        <v>0</v>
      </c>
      <c r="K11" s="33">
        <f>'KSM-4 p2 &amp; p3 - Adjust Issues'!K17</f>
        <v>0</v>
      </c>
      <c r="L11" s="33">
        <f>'KSM-4 p2 &amp; p3 - Adjust Issues'!L17</f>
        <v>0</v>
      </c>
      <c r="M11" s="33"/>
      <c r="N11" s="33">
        <f>'KSM-4 p2 &amp; p3 - Adjust Issues'!N17</f>
        <v>0</v>
      </c>
      <c r="O11" s="33">
        <f>'KSM-4 p2 &amp; p3 - Adjust Issues'!O17</f>
        <v>0</v>
      </c>
      <c r="P11" s="33">
        <f>'KSM-4 p2 &amp; p3 - Adjust Issues'!P17</f>
        <v>0</v>
      </c>
      <c r="Q11" s="33">
        <f>'KSM-4 p2 &amp; p3 - Adjust Issues'!Q17</f>
        <v>0</v>
      </c>
      <c r="R11" s="33">
        <f>'KSM-4 p2 &amp; p3 - Adjust Issues'!R17</f>
        <v>0</v>
      </c>
      <c r="S11" s="33">
        <f>'KSM-4 p2 &amp; p3 - Adjust Issues'!S17</f>
        <v>0</v>
      </c>
      <c r="T11" s="33">
        <f>'KSM-4 p2 &amp; p3 - Adjust Issues'!T17</f>
        <v>0</v>
      </c>
      <c r="U11" s="33"/>
      <c r="V11" s="33"/>
    </row>
    <row r="12" spans="1:22" x14ac:dyDescent="0.2">
      <c r="A12" s="60">
        <f>+A11+1</f>
        <v>2</v>
      </c>
      <c r="B12" s="5" t="s">
        <v>265</v>
      </c>
      <c r="C12" s="33">
        <f>'KSM-4 p2 &amp; p3 - Adjust Issues'!C24+'KSM-4 p2 &amp; p3 - Adjust Issues'!C28+'KSM-4 p2 &amp; p3 - Adjust Issues'!C29</f>
        <v>-1477226.1939554778</v>
      </c>
      <c r="D12" s="33">
        <f>'KSM-4 p2 &amp; p3 - Adjust Issues'!D24+'KSM-4 p2 &amp; p3 - Adjust Issues'!D28+'KSM-4 p2 &amp; p3 - Adjust Issues'!D29</f>
        <v>92692.272908955347</v>
      </c>
      <c r="E12" s="33">
        <f>'KSM-4 p2 &amp; p3 - Adjust Issues'!E24+'KSM-4 p2 &amp; p3 - Adjust Issues'!E28+'KSM-4 p2 &amp; p3 - Adjust Issues'!E29</f>
        <v>-160538.36394096908</v>
      </c>
      <c r="F12" s="33">
        <f>'KSM-4 p2 &amp; p3 - Adjust Issues'!F24+'KSM-4 p2 &amp; p3 - Adjust Issues'!F28+'KSM-4 p2 &amp; p3 - Adjust Issues'!F29</f>
        <v>-44489.81</v>
      </c>
      <c r="G12" s="33">
        <f>'KSM-4 p2 &amp; p3 - Adjust Issues'!G24+'KSM-4 p2 &amp; p3 - Adjust Issues'!G28+'KSM-4 p2 &amp; p3 - Adjust Issues'!G29</f>
        <v>21280.118138945065</v>
      </c>
      <c r="H12" s="33">
        <f>'KSM-4 p2 &amp; p3 - Adjust Issues'!H24+'KSM-4 p2 &amp; p3 - Adjust Issues'!H28+'KSM-4 p2 &amp; p3 - Adjust Issues'!H29</f>
        <v>0</v>
      </c>
      <c r="I12" s="33">
        <f>'KSM-4 p2 &amp; p3 - Adjust Issues'!I24+'KSM-4 p2 &amp; p3 - Adjust Issues'!I28+'KSM-4 p2 &amp; p3 - Adjust Issues'!I29</f>
        <v>-287523.47004028718</v>
      </c>
      <c r="J12" s="33">
        <f>'KSM-4 p2 &amp; p3 - Adjust Issues'!J24+'KSM-4 p2 &amp; p3 - Adjust Issues'!J28+'KSM-4 p2 &amp; p3 - Adjust Issues'!J29</f>
        <v>35322.827704999996</v>
      </c>
      <c r="K12" s="33">
        <f>'KSM-4 p2 &amp; p3 - Adjust Issues'!K24+'KSM-4 p2 &amp; p3 - Adjust Issues'!K28+'KSM-4 p2 &amp; p3 - Adjust Issues'!K29</f>
        <v>137833.33333333334</v>
      </c>
      <c r="L12" s="33">
        <f>'KSM-4 p2 &amp; p3 - Adjust Issues'!L24+'KSM-4 p2 &amp; p3 - Adjust Issues'!L28+'KSM-4 p2 &amp; p3 - Adjust Issues'!L29</f>
        <v>16384.907757193774</v>
      </c>
      <c r="M12" s="33"/>
      <c r="N12" s="33">
        <f>'KSM-4 p2 &amp; p3 - Adjust Issues'!N24+'KSM-4 p2 &amp; p3 - Adjust Issues'!N28+'KSM-4 p2 &amp; p3 - Adjust Issues'!N29</f>
        <v>539430.64657802123</v>
      </c>
      <c r="O12" s="33">
        <f>'KSM-4 p2 &amp; p3 - Adjust Issues'!O24+'KSM-4 p2 &amp; p3 - Adjust Issues'!O28+'KSM-4 p2 &amp; p3 - Adjust Issues'!O29</f>
        <v>201138.30763276003</v>
      </c>
      <c r="P12" s="33">
        <f>'KSM-4 p2 &amp; p3 - Adjust Issues'!P24+'KSM-4 p2 &amp; p3 - Adjust Issues'!P28+'KSM-4 p2 &amp; p3 - Adjust Issues'!P29</f>
        <v>0</v>
      </c>
      <c r="Q12" s="33">
        <f>'KSM-4 p2 &amp; p3 - Adjust Issues'!Q24+'KSM-4 p2 &amp; p3 - Adjust Issues'!Q28+'KSM-4 p2 &amp; p3 - Adjust Issues'!Q29</f>
        <v>0</v>
      </c>
      <c r="R12" s="33">
        <f>'KSM-4 p2 &amp; p3 - Adjust Issues'!R24+'KSM-4 p2 &amp; p3 - Adjust Issues'!R28+'KSM-4 p2 &amp; p3 - Adjust Issues'!R29</f>
        <v>0</v>
      </c>
      <c r="S12" s="33">
        <f>'KSM-4 p2 &amp; p3 - Adjust Issues'!S24+'KSM-4 p2 &amp; p3 - Adjust Issues'!S28+'KSM-4 p2 &amp; p3 - Adjust Issues'!S29</f>
        <v>-37466.568138226001</v>
      </c>
      <c r="T12" s="33">
        <f>'KSM-4 p2 &amp; p3 - Adjust Issues'!T24+'KSM-4 p2 &amp; p3 - Adjust Issues'!T28+'KSM-4 p2 &amp; p3 - Adjust Issues'!T29</f>
        <v>19159.54954708333</v>
      </c>
      <c r="U12" s="33"/>
      <c r="V12" s="33"/>
    </row>
    <row r="13" spans="1:22" x14ac:dyDescent="0.2">
      <c r="A13" s="60">
        <f>+A12+1</f>
        <v>3</v>
      </c>
      <c r="B13" s="54" t="s">
        <v>188</v>
      </c>
      <c r="C13" s="33">
        <f>'KSM-4 p2 &amp; p3 - Adjust Issues'!C30</f>
        <v>0</v>
      </c>
      <c r="D13" s="33">
        <f>'KSM-4 p2 &amp; p3 - Adjust Issues'!D30</f>
        <v>0</v>
      </c>
      <c r="E13" s="33">
        <f>'KSM-4 p2 &amp; p3 - Adjust Issues'!E30</f>
        <v>0</v>
      </c>
      <c r="F13" s="33">
        <f>'KSM-4 p2 &amp; p3 - Adjust Issues'!F30</f>
        <v>0</v>
      </c>
      <c r="G13" s="33">
        <f>'KSM-4 p2 &amp; p3 - Adjust Issues'!G30</f>
        <v>0</v>
      </c>
      <c r="H13" s="33">
        <f>'KSM-4 p2 &amp; p3 - Adjust Issues'!H30</f>
        <v>0</v>
      </c>
      <c r="I13" s="33">
        <f>'KSM-4 p2 &amp; p3 - Adjust Issues'!I30</f>
        <v>0</v>
      </c>
      <c r="J13" s="33">
        <f>'KSM-4 p2 &amp; p3 - Adjust Issues'!J30</f>
        <v>0</v>
      </c>
      <c r="K13" s="33">
        <f>'KSM-4 p2 &amp; p3 - Adjust Issues'!K30</f>
        <v>0</v>
      </c>
      <c r="L13" s="33">
        <f>'KSM-4 p2 &amp; p3 - Adjust Issues'!L30</f>
        <v>0</v>
      </c>
      <c r="M13" s="33"/>
      <c r="N13" s="33">
        <f>'KSM-4 p2 &amp; p3 - Adjust Issues'!N30</f>
        <v>0</v>
      </c>
      <c r="O13" s="33">
        <f>'KSM-4 p2 &amp; p3 - Adjust Issues'!O30</f>
        <v>0</v>
      </c>
      <c r="P13" s="33">
        <f>'KSM-4 p2 &amp; p3 - Adjust Issues'!P30</f>
        <v>-187109.75907745585</v>
      </c>
      <c r="Q13" s="33">
        <f>'KSM-4 p2 &amp; p3 - Adjust Issues'!Q30</f>
        <v>298683.79668370174</v>
      </c>
      <c r="R13" s="33">
        <f>'KSM-4 p2 &amp; p3 - Adjust Issues'!R30</f>
        <v>0</v>
      </c>
      <c r="S13" s="33">
        <f>'KSM-4 p2 &amp; p3 - Adjust Issues'!S30</f>
        <v>0</v>
      </c>
      <c r="T13" s="33">
        <f>'KSM-4 p2 &amp; p3 - Adjust Issues'!T30</f>
        <v>0</v>
      </c>
      <c r="U13" s="33"/>
      <c r="V13" s="33"/>
    </row>
    <row r="14" spans="1:22" x14ac:dyDescent="0.2">
      <c r="A14" s="60">
        <f>+A13+1</f>
        <v>4</v>
      </c>
      <c r="B14" s="54" t="s">
        <v>189</v>
      </c>
      <c r="C14" s="33">
        <f>'KSM-4 p2 &amp; p3 - Adjust Issues'!C49</f>
        <v>0</v>
      </c>
      <c r="D14" s="33">
        <f>'KSM-4 p2 &amp; p3 - Adjust Issues'!D49</f>
        <v>0</v>
      </c>
      <c r="E14" s="33">
        <f>'KSM-4 p2 &amp; p3 - Adjust Issues'!E49</f>
        <v>-3940</v>
      </c>
      <c r="F14" s="33">
        <f>'KSM-4 p2 &amp; p3 - Adjust Issues'!F49</f>
        <v>0</v>
      </c>
      <c r="G14" s="33">
        <f>'KSM-4 p2 &amp; p3 - Adjust Issues'!G49</f>
        <v>0</v>
      </c>
      <c r="H14" s="33">
        <f>'KSM-4 p2 &amp; p3 - Adjust Issues'!H49</f>
        <v>321754</v>
      </c>
      <c r="I14" s="33">
        <f>'KSM-4 p2 &amp; p3 - Adjust Issues'!I49</f>
        <v>0</v>
      </c>
      <c r="J14" s="33">
        <f>'KSM-4 p2 &amp; p3 - Adjust Issues'!J49</f>
        <v>-73</v>
      </c>
      <c r="K14" s="33">
        <f>'KSM-4 p2 &amp; p3 - Adjust Issues'!K49</f>
        <v>0</v>
      </c>
      <c r="L14" s="33">
        <f>'KSM-4 p2 &amp; p3 - Adjust Issues'!L49</f>
        <v>6383</v>
      </c>
      <c r="M14" s="33"/>
      <c r="N14" s="33">
        <f>'KSM-4 p2 &amp; p3 - Adjust Issues'!N49</f>
        <v>0</v>
      </c>
      <c r="O14" s="33">
        <f>'KSM-4 p2 &amp; p3 - Adjust Issues'!O49</f>
        <v>0</v>
      </c>
      <c r="P14" s="33">
        <f>'KSM-4 p2 &amp; p3 - Adjust Issues'!P49</f>
        <v>0</v>
      </c>
      <c r="Q14" s="33">
        <f>'KSM-4 p2 &amp; p3 - Adjust Issues'!Q49</f>
        <v>257797</v>
      </c>
      <c r="R14" s="33">
        <f>'KSM-4 p2 &amp; p3 - Adjust Issues'!R49</f>
        <v>13899</v>
      </c>
      <c r="S14" s="33">
        <f>'KSM-4 p2 &amp; p3 - Adjust Issues'!S49</f>
        <v>0</v>
      </c>
      <c r="T14" s="33">
        <f>'KSM-4 p2 &amp; p3 - Adjust Issues'!T49</f>
        <v>0</v>
      </c>
      <c r="U14" s="33"/>
      <c r="V14" s="33"/>
    </row>
    <row r="15" spans="1:22" x14ac:dyDescent="0.2">
      <c r="A15" s="60">
        <f>+A14+1</f>
        <v>5</v>
      </c>
      <c r="B15" s="54" t="s">
        <v>190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/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/>
      <c r="V15" s="33"/>
    </row>
    <row r="16" spans="1:22" x14ac:dyDescent="0.2">
      <c r="B16" s="5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f>+A15+1</f>
        <v>6</v>
      </c>
      <c r="B17" s="54" t="s">
        <v>150</v>
      </c>
      <c r="C17" s="33">
        <f t="shared" ref="C17:L17" si="0">+C11-C12-C13-C14-C15</f>
        <v>-2126376.1553777056</v>
      </c>
      <c r="D17" s="33">
        <f t="shared" si="0"/>
        <v>2194876.1601847108</v>
      </c>
      <c r="E17" s="33">
        <f t="shared" si="0"/>
        <v>164478.36394096908</v>
      </c>
      <c r="F17" s="33">
        <f t="shared" si="0"/>
        <v>44489.81</v>
      </c>
      <c r="G17" s="33">
        <f t="shared" si="0"/>
        <v>-21280.118138945065</v>
      </c>
      <c r="H17" s="33">
        <f t="shared" si="0"/>
        <v>-321754</v>
      </c>
      <c r="I17" s="33">
        <f t="shared" si="0"/>
        <v>287523.47004028718</v>
      </c>
      <c r="J17" s="33">
        <f t="shared" si="0"/>
        <v>-35249.827704999996</v>
      </c>
      <c r="K17" s="33">
        <f t="shared" si="0"/>
        <v>-137833.33333333334</v>
      </c>
      <c r="L17" s="33">
        <f t="shared" si="0"/>
        <v>-22767.907757193774</v>
      </c>
      <c r="M17" s="33"/>
      <c r="N17" s="33">
        <f t="shared" ref="N17:R17" si="1">+N11-N12-N13-N14-N15</f>
        <v>-539430.64657802123</v>
      </c>
      <c r="O17" s="33">
        <f t="shared" si="1"/>
        <v>-201138.30763276003</v>
      </c>
      <c r="P17" s="33">
        <f t="shared" si="1"/>
        <v>187109.75907745585</v>
      </c>
      <c r="Q17" s="33">
        <f t="shared" si="1"/>
        <v>-556480.79668370169</v>
      </c>
      <c r="R17" s="33">
        <f t="shared" si="1"/>
        <v>-13899</v>
      </c>
      <c r="S17" s="33">
        <f t="shared" ref="S17:T17" si="2">+S11-S12-S13-S14-S15</f>
        <v>37466.568138226001</v>
      </c>
      <c r="T17" s="33">
        <f t="shared" si="2"/>
        <v>-19159.54954708333</v>
      </c>
      <c r="U17" s="33"/>
      <c r="V17" s="33"/>
    </row>
    <row r="18" spans="1:22" x14ac:dyDescent="0.2">
      <c r="B18" s="5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>
        <f>+A17+1</f>
        <v>7</v>
      </c>
      <c r="B19" s="54" t="s">
        <v>578</v>
      </c>
      <c r="C19" s="33">
        <f>ROUND(+C17*$C$32,0)</f>
        <v>-446539</v>
      </c>
      <c r="D19" s="33">
        <f t="shared" ref="D19:Q19" si="3">ROUND(+D17*$C$32,0)</f>
        <v>460924</v>
      </c>
      <c r="E19" s="33">
        <f t="shared" si="3"/>
        <v>34540</v>
      </c>
      <c r="F19" s="33">
        <f t="shared" si="3"/>
        <v>9343</v>
      </c>
      <c r="G19" s="33">
        <f t="shared" si="3"/>
        <v>-4469</v>
      </c>
      <c r="H19" s="33">
        <f t="shared" si="3"/>
        <v>-67568</v>
      </c>
      <c r="I19" s="33">
        <f t="shared" si="3"/>
        <v>60380</v>
      </c>
      <c r="J19" s="33">
        <f t="shared" si="3"/>
        <v>-7402</v>
      </c>
      <c r="K19" s="33">
        <f t="shared" si="3"/>
        <v>-28945</v>
      </c>
      <c r="L19" s="33">
        <f t="shared" si="3"/>
        <v>-4781</v>
      </c>
      <c r="M19" s="33"/>
      <c r="N19" s="33">
        <f t="shared" si="3"/>
        <v>-113280</v>
      </c>
      <c r="O19" s="33">
        <f t="shared" si="3"/>
        <v>-42239</v>
      </c>
      <c r="P19" s="33">
        <f t="shared" si="3"/>
        <v>39293</v>
      </c>
      <c r="Q19" s="33">
        <f t="shared" si="3"/>
        <v>-116861</v>
      </c>
      <c r="R19" s="33">
        <f>ROUND(+R17*$C$32,0)</f>
        <v>-2919</v>
      </c>
      <c r="S19" s="33">
        <f t="shared" ref="S19:T19" si="4">ROUND(+S17*$C$32,0)</f>
        <v>7868</v>
      </c>
      <c r="T19" s="33">
        <f t="shared" si="4"/>
        <v>-4024</v>
      </c>
      <c r="U19" s="33"/>
      <c r="V19" s="33"/>
    </row>
    <row r="20" spans="1:22" x14ac:dyDescent="0.2">
      <c r="A20" s="60">
        <f>+A19+1</f>
        <v>8</v>
      </c>
      <c r="B20" s="54" t="s">
        <v>195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/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/>
      <c r="V20" s="33"/>
    </row>
    <row r="21" spans="1:22" x14ac:dyDescent="0.2">
      <c r="B21" s="5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x14ac:dyDescent="0.2">
      <c r="A22" s="60">
        <f>+A20+1</f>
        <v>9</v>
      </c>
      <c r="B22" s="54" t="s">
        <v>196</v>
      </c>
      <c r="C22" s="33">
        <f t="shared" ref="C22:L22" si="5">C19+C20</f>
        <v>-446539</v>
      </c>
      <c r="D22" s="33">
        <f t="shared" si="5"/>
        <v>460924</v>
      </c>
      <c r="E22" s="33">
        <f t="shared" si="5"/>
        <v>34540</v>
      </c>
      <c r="F22" s="33">
        <f t="shared" si="5"/>
        <v>9343</v>
      </c>
      <c r="G22" s="33">
        <f t="shared" si="5"/>
        <v>-4469</v>
      </c>
      <c r="H22" s="33">
        <f t="shared" si="5"/>
        <v>-67568</v>
      </c>
      <c r="I22" s="33">
        <f t="shared" si="5"/>
        <v>60380</v>
      </c>
      <c r="J22" s="33">
        <f t="shared" si="5"/>
        <v>-7402</v>
      </c>
      <c r="K22" s="33">
        <f t="shared" si="5"/>
        <v>-28945</v>
      </c>
      <c r="L22" s="33">
        <f t="shared" si="5"/>
        <v>-4781</v>
      </c>
      <c r="M22" s="33"/>
      <c r="N22" s="33">
        <f t="shared" ref="N22:R22" si="6">N19+N20</f>
        <v>-113280</v>
      </c>
      <c r="O22" s="33">
        <f t="shared" si="6"/>
        <v>-42239</v>
      </c>
      <c r="P22" s="33">
        <f t="shared" si="6"/>
        <v>39293</v>
      </c>
      <c r="Q22" s="33">
        <f t="shared" si="6"/>
        <v>-116861</v>
      </c>
      <c r="R22" s="33">
        <f t="shared" si="6"/>
        <v>-2919</v>
      </c>
      <c r="S22" s="33">
        <f t="shared" ref="S22:T22" si="7">S19+S20</f>
        <v>7868</v>
      </c>
      <c r="T22" s="33">
        <f t="shared" si="7"/>
        <v>-4024</v>
      </c>
      <c r="U22" s="33"/>
      <c r="V22" s="33"/>
    </row>
    <row r="23" spans="1:22" x14ac:dyDescent="0.2">
      <c r="B23" s="5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f>+A22+1</f>
        <v>10</v>
      </c>
      <c r="B24" s="54" t="s">
        <v>197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/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/>
      <c r="V24" s="33"/>
    </row>
    <row r="25" spans="1:22" x14ac:dyDescent="0.2">
      <c r="A25" s="60">
        <f>+A24+1</f>
        <v>11</v>
      </c>
      <c r="B25" s="54" t="s">
        <v>198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/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/>
      <c r="V25" s="33"/>
    </row>
    <row r="26" spans="1:22" x14ac:dyDescent="0.2">
      <c r="A26" s="60">
        <f>+A25+1</f>
        <v>12</v>
      </c>
      <c r="B26" s="54" t="s">
        <v>199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/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/>
      <c r="V26" s="33"/>
    </row>
    <row r="27" spans="1:22" x14ac:dyDescent="0.2">
      <c r="B27" s="5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x14ac:dyDescent="0.2">
      <c r="A28" s="60">
        <f>+A26+1</f>
        <v>13</v>
      </c>
      <c r="B28" s="54" t="s">
        <v>200</v>
      </c>
      <c r="C28" s="33">
        <f t="shared" ref="C28:L28" si="8">C22+C24+C26</f>
        <v>-446539</v>
      </c>
      <c r="D28" s="33">
        <f t="shared" si="8"/>
        <v>460924</v>
      </c>
      <c r="E28" s="33">
        <f t="shared" si="8"/>
        <v>34540</v>
      </c>
      <c r="F28" s="33">
        <f t="shared" si="8"/>
        <v>9343</v>
      </c>
      <c r="G28" s="33">
        <f t="shared" si="8"/>
        <v>-4469</v>
      </c>
      <c r="H28" s="33">
        <f t="shared" si="8"/>
        <v>-67568</v>
      </c>
      <c r="I28" s="33">
        <f t="shared" si="8"/>
        <v>60380</v>
      </c>
      <c r="J28" s="33">
        <f t="shared" si="8"/>
        <v>-7402</v>
      </c>
      <c r="K28" s="33">
        <f t="shared" si="8"/>
        <v>-28945</v>
      </c>
      <c r="L28" s="33">
        <f t="shared" si="8"/>
        <v>-4781</v>
      </c>
      <c r="M28" s="33"/>
      <c r="N28" s="33">
        <f t="shared" ref="N28:R28" si="9">N22+N24+N26</f>
        <v>-113280</v>
      </c>
      <c r="O28" s="33">
        <f t="shared" si="9"/>
        <v>-42239</v>
      </c>
      <c r="P28" s="33">
        <f t="shared" si="9"/>
        <v>39293</v>
      </c>
      <c r="Q28" s="33">
        <f t="shared" si="9"/>
        <v>-116861</v>
      </c>
      <c r="R28" s="33">
        <f t="shared" si="9"/>
        <v>-2919</v>
      </c>
      <c r="S28" s="33">
        <f t="shared" ref="S28:T28" si="10">S22+S24+S26</f>
        <v>7868</v>
      </c>
      <c r="T28" s="33">
        <f t="shared" si="10"/>
        <v>-4024</v>
      </c>
      <c r="U28" s="33"/>
      <c r="V28" s="33"/>
    </row>
    <row r="29" spans="1:22" x14ac:dyDescent="0.2">
      <c r="A29" s="60"/>
      <c r="B29" s="5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">
      <c r="A30" s="60"/>
      <c r="B30" s="5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x14ac:dyDescent="0.2">
      <c r="A31" s="54"/>
      <c r="B31" s="54"/>
      <c r="C31" s="64"/>
      <c r="D31" s="64"/>
      <c r="E31" s="64"/>
      <c r="F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x14ac:dyDescent="0.2">
      <c r="A32" s="54" t="s">
        <v>579</v>
      </c>
      <c r="B32" s="54"/>
      <c r="C32" s="73">
        <f>'KSM-3 p8 - Cost of Cap'!$C$43</f>
        <v>0.21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0" x14ac:dyDescent="0.2">
      <c r="A33" s="54"/>
      <c r="B33" s="54"/>
      <c r="C33" s="64"/>
      <c r="G33" s="64"/>
    </row>
    <row r="34" spans="1:20" x14ac:dyDescent="0.2">
      <c r="A34" s="54"/>
      <c r="B34" s="54"/>
      <c r="C34" s="64"/>
      <c r="D34" s="64"/>
      <c r="E34" s="64"/>
      <c r="F34" s="64"/>
      <c r="G34" s="64"/>
      <c r="N34" s="64"/>
      <c r="S34" s="64"/>
      <c r="T34" s="64"/>
    </row>
    <row r="35" spans="1:20" x14ac:dyDescent="0.2">
      <c r="A35" s="60">
        <v>1</v>
      </c>
      <c r="B35" s="54" t="s">
        <v>216</v>
      </c>
      <c r="C35" s="2">
        <f>'KSM-4 p2 &amp; p3 - Adjust Issues'!C34+'KSM-4 p2 &amp; p3 - Adjust Issues'!C27-'KSM-4 p2 &amp; p3 - Adjust Issues'!C49</f>
        <v>-2126376.1553777056</v>
      </c>
      <c r="D35" s="2">
        <f>'KSM-4 p2 &amp; p3 - Adjust Issues'!D34+'KSM-4 p2 &amp; p3 - Adjust Issues'!D27-'KSM-4 p2 &amp; p3 - Adjust Issues'!D49</f>
        <v>2194876.1601847108</v>
      </c>
      <c r="E35" s="2">
        <f>'KSM-4 p2 &amp; p3 - Adjust Issues'!E34+'KSM-4 p2 &amp; p3 - Adjust Issues'!E27-'KSM-4 p2 &amp; p3 - Adjust Issues'!E49</f>
        <v>164478.36394096908</v>
      </c>
      <c r="F35" s="2">
        <f>'KSM-4 p2 &amp; p3 - Adjust Issues'!F34+'KSM-4 p2 &amp; p3 - Adjust Issues'!F27-'KSM-4 p2 &amp; p3 - Adjust Issues'!F49</f>
        <v>44489.81</v>
      </c>
      <c r="G35" s="2">
        <f>'KSM-4 p2 &amp; p3 - Adjust Issues'!G34+'KSM-4 p2 &amp; p3 - Adjust Issues'!G27-'KSM-4 p2 &amp; p3 - Adjust Issues'!G49</f>
        <v>-21280.118138945065</v>
      </c>
      <c r="H35" s="2">
        <f>'KSM-4 p2 &amp; p3 - Adjust Issues'!H34+'KSM-4 p2 &amp; p3 - Adjust Issues'!H27-'KSM-4 p2 &amp; p3 - Adjust Issues'!H49</f>
        <v>-321754</v>
      </c>
      <c r="I35" s="2">
        <f>'KSM-4 p2 &amp; p3 - Adjust Issues'!I34+'KSM-4 p2 &amp; p3 - Adjust Issues'!I27-'KSM-4 p2 &amp; p3 - Adjust Issues'!I49</f>
        <v>287523.47004028718</v>
      </c>
      <c r="J35" s="2">
        <f>'KSM-4 p2 &amp; p3 - Adjust Issues'!J34+'KSM-4 p2 &amp; p3 - Adjust Issues'!J27-'KSM-4 p2 &amp; p3 - Adjust Issues'!J49</f>
        <v>-35249.827704999996</v>
      </c>
      <c r="K35" s="2">
        <f>'KSM-4 p2 &amp; p3 - Adjust Issues'!K34+'KSM-4 p2 &amp; p3 - Adjust Issues'!K27-'KSM-4 p2 &amp; p3 - Adjust Issues'!K49</f>
        <v>-137833.33333333334</v>
      </c>
      <c r="L35" s="2">
        <f>'KSM-4 p2 &amp; p3 - Adjust Issues'!L34+'KSM-4 p2 &amp; p3 - Adjust Issues'!L27-'KSM-4 p2 &amp; p3 - Adjust Issues'!L49</f>
        <v>-22767.907757193774</v>
      </c>
      <c r="N35" s="2">
        <f>'KSM-4 p2 &amp; p3 - Adjust Issues'!N34+'KSM-4 p2 &amp; p3 - Adjust Issues'!N27-'KSM-4 p2 &amp; p3 - Adjust Issues'!N49</f>
        <v>-539430.64657802123</v>
      </c>
      <c r="O35" s="2">
        <f>'KSM-4 p2 &amp; p3 - Adjust Issues'!O34+'KSM-4 p2 &amp; p3 - Adjust Issues'!O27-'KSM-4 p2 &amp; p3 - Adjust Issues'!O49</f>
        <v>-201138.30763276003</v>
      </c>
      <c r="P35" s="2">
        <f>'KSM-4 p2 &amp; p3 - Adjust Issues'!P34+'KSM-4 p2 &amp; p3 - Adjust Issues'!P27-'KSM-4 p2 &amp; p3 - Adjust Issues'!P49</f>
        <v>187109.75907745585</v>
      </c>
      <c r="Q35" s="2">
        <f>'KSM-4 p2 &amp; p3 - Adjust Issues'!Q34+'KSM-4 p2 &amp; p3 - Adjust Issues'!Q27-'KSM-4 p2 &amp; p3 - Adjust Issues'!Q49</f>
        <v>-556480.79668370169</v>
      </c>
      <c r="R35" s="2">
        <f>'KSM-4 p2 &amp; p3 - Adjust Issues'!R34+'KSM-4 p2 &amp; p3 - Adjust Issues'!R27-'KSM-4 p2 &amp; p3 - Adjust Issues'!R49</f>
        <v>-13899</v>
      </c>
      <c r="S35" s="2">
        <f>'KSM-4 p2 &amp; p3 - Adjust Issues'!S34+'KSM-4 p2 &amp; p3 - Adjust Issues'!S27-'KSM-4 p2 &amp; p3 - Adjust Issues'!S49</f>
        <v>37466.568138226001</v>
      </c>
      <c r="T35" s="2">
        <f>'KSM-4 p2 &amp; p3 - Adjust Issues'!T34+'KSM-4 p2 &amp; p3 - Adjust Issues'!T27-'KSM-4 p2 &amp; p3 - Adjust Issues'!T49</f>
        <v>-19159.54954708333</v>
      </c>
    </row>
    <row r="36" spans="1:20" x14ac:dyDescent="0.2">
      <c r="A36" s="60">
        <v>2</v>
      </c>
      <c r="B36" s="54" t="s">
        <v>217</v>
      </c>
      <c r="C36" s="2">
        <f>'KSM-4 p2 &amp; p3 - Adjust Issues'!C27</f>
        <v>-446539</v>
      </c>
      <c r="D36" s="2">
        <f>'KSM-4 p2 &amp; p3 - Adjust Issues'!D27</f>
        <v>460924</v>
      </c>
      <c r="E36" s="2">
        <f>'KSM-4 p2 &amp; p3 - Adjust Issues'!E27</f>
        <v>34540</v>
      </c>
      <c r="F36" s="2">
        <f>'KSM-4 p2 &amp; p3 - Adjust Issues'!F27</f>
        <v>9343</v>
      </c>
      <c r="G36" s="2">
        <f>'KSM-4 p2 &amp; p3 - Adjust Issues'!G27</f>
        <v>-4469</v>
      </c>
      <c r="H36" s="2">
        <f>'KSM-4 p2 &amp; p3 - Adjust Issues'!H27</f>
        <v>-67568</v>
      </c>
      <c r="I36" s="2">
        <f>'KSM-4 p2 &amp; p3 - Adjust Issues'!I27</f>
        <v>60380</v>
      </c>
      <c r="J36" s="2">
        <f>'KSM-4 p2 &amp; p3 - Adjust Issues'!J27</f>
        <v>-7402</v>
      </c>
      <c r="K36" s="2">
        <f>'KSM-4 p2 &amp; p3 - Adjust Issues'!K27</f>
        <v>-28945</v>
      </c>
      <c r="L36" s="2">
        <f>'KSM-4 p2 &amp; p3 - Adjust Issues'!L27</f>
        <v>-4781</v>
      </c>
      <c r="N36" s="2">
        <f>'KSM-4 p2 &amp; p3 - Adjust Issues'!N27</f>
        <v>-113280</v>
      </c>
      <c r="O36" s="2">
        <f>'KSM-4 p2 &amp; p3 - Adjust Issues'!O27</f>
        <v>-42239</v>
      </c>
      <c r="P36" s="2">
        <f>'KSM-4 p2 &amp; p3 - Adjust Issues'!P27</f>
        <v>39293</v>
      </c>
      <c r="Q36" s="2">
        <f>'KSM-4 p2 &amp; p3 - Adjust Issues'!Q27</f>
        <v>-116861</v>
      </c>
      <c r="R36" s="2">
        <f>'KSM-4 p2 &amp; p3 - Adjust Issues'!R27</f>
        <v>-2919</v>
      </c>
      <c r="S36" s="2">
        <f>'KSM-4 p2 &amp; p3 - Adjust Issues'!S27</f>
        <v>7868</v>
      </c>
      <c r="T36" s="2">
        <f>'KSM-4 p2 &amp; p3 - Adjust Issues'!T27</f>
        <v>-4024</v>
      </c>
    </row>
    <row r="37" spans="1:20" x14ac:dyDescent="0.2">
      <c r="A37" s="60">
        <v>3</v>
      </c>
      <c r="B37" s="54" t="s">
        <v>218</v>
      </c>
      <c r="C37" s="2">
        <f>C35*$C32</f>
        <v>-446538.99262931815</v>
      </c>
      <c r="D37" s="2">
        <f t="shared" ref="D37:Q37" si="11">D35*$C32</f>
        <v>460923.99363878922</v>
      </c>
      <c r="E37" s="2">
        <f t="shared" si="11"/>
        <v>34540.456427603509</v>
      </c>
      <c r="F37" s="2">
        <f t="shared" si="11"/>
        <v>9342.8600999999999</v>
      </c>
      <c r="G37" s="2">
        <f t="shared" si="11"/>
        <v>-4468.8248091784635</v>
      </c>
      <c r="H37" s="2">
        <f t="shared" si="11"/>
        <v>-67568.34</v>
      </c>
      <c r="I37" s="2">
        <f t="shared" si="11"/>
        <v>60379.928708460306</v>
      </c>
      <c r="J37" s="2">
        <f t="shared" si="11"/>
        <v>-7402.4638180499987</v>
      </c>
      <c r="K37" s="2">
        <f t="shared" si="11"/>
        <v>-28945</v>
      </c>
      <c r="L37" s="2">
        <f t="shared" si="11"/>
        <v>-4781.2606290106924</v>
      </c>
      <c r="N37" s="2">
        <f t="shared" si="11"/>
        <v>-113280.43578138445</v>
      </c>
      <c r="O37" s="2">
        <f t="shared" si="11"/>
        <v>-42239.044602879607</v>
      </c>
      <c r="P37" s="2">
        <f t="shared" si="11"/>
        <v>39293.049406265724</v>
      </c>
      <c r="Q37" s="2">
        <f t="shared" si="11"/>
        <v>-116860.96730357734</v>
      </c>
      <c r="R37" s="2">
        <f>R35*$C32</f>
        <v>-2918.79</v>
      </c>
      <c r="S37" s="2">
        <f t="shared" ref="S37:T37" si="12">S35*$C32</f>
        <v>7867.9793090274597</v>
      </c>
      <c r="T37" s="2">
        <f t="shared" si="12"/>
        <v>-4023.505404887499</v>
      </c>
    </row>
    <row r="38" spans="1:20" x14ac:dyDescent="0.2">
      <c r="A38" s="60">
        <v>4</v>
      </c>
      <c r="B38" s="54" t="s">
        <v>219</v>
      </c>
      <c r="C38" s="2">
        <f t="shared" ref="C38:L38" si="13">C36-C37</f>
        <v>-7.3706818511709571E-3</v>
      </c>
      <c r="D38" s="2">
        <f t="shared" si="13"/>
        <v>6.3612107769586146E-3</v>
      </c>
      <c r="E38" s="2">
        <f t="shared" si="13"/>
        <v>-0.45642760350892786</v>
      </c>
      <c r="F38" s="2">
        <f t="shared" si="13"/>
        <v>0.13990000000012515</v>
      </c>
      <c r="G38" s="2">
        <f t="shared" si="13"/>
        <v>-0.17519082153648924</v>
      </c>
      <c r="H38" s="2">
        <f t="shared" si="13"/>
        <v>0.33999999999650754</v>
      </c>
      <c r="I38" s="2">
        <f t="shared" si="13"/>
        <v>7.1291539694357198E-2</v>
      </c>
      <c r="J38" s="2">
        <f t="shared" si="13"/>
        <v>0.46381804999873566</v>
      </c>
      <c r="K38" s="2">
        <f t="shared" si="13"/>
        <v>0</v>
      </c>
      <c r="L38" s="2">
        <f t="shared" si="13"/>
        <v>0.26062901069235522</v>
      </c>
      <c r="N38" s="2">
        <f t="shared" ref="N38:R38" si="14">N36-N37</f>
        <v>0.43578138445445802</v>
      </c>
      <c r="O38" s="2">
        <f t="shared" si="14"/>
        <v>4.4602879606827628E-2</v>
      </c>
      <c r="P38" s="2">
        <f t="shared" si="14"/>
        <v>-4.9406265723519027E-2</v>
      </c>
      <c r="Q38" s="2">
        <f t="shared" si="14"/>
        <v>-3.2696422655135393E-2</v>
      </c>
      <c r="R38" s="2">
        <f t="shared" si="14"/>
        <v>-0.21000000000003638</v>
      </c>
      <c r="S38" s="2">
        <f t="shared" ref="S38:T38" si="15">S36-S37</f>
        <v>2.0690972540251096E-2</v>
      </c>
      <c r="T38" s="2">
        <f t="shared" si="15"/>
        <v>-0.49459511250097421</v>
      </c>
    </row>
  </sheetData>
  <phoneticPr fontId="4" type="noConversion"/>
  <printOptions horizontalCentered="1"/>
  <pageMargins left="0.75" right="0.75" top="1" bottom="1" header="0.5" footer="0.5"/>
  <pageSetup scale="56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  <pageSetUpPr fitToPage="1"/>
  </sheetPr>
  <dimension ref="A1:T42"/>
  <sheetViews>
    <sheetView workbookViewId="0">
      <selection activeCell="E33" sqref="E33"/>
    </sheetView>
  </sheetViews>
  <sheetFormatPr defaultColWidth="8.85546875" defaultRowHeight="15" x14ac:dyDescent="0.2"/>
  <cols>
    <col min="1" max="1" width="5.7109375" style="194" customWidth="1"/>
    <col min="2" max="2" width="43.7109375" style="194" customWidth="1"/>
    <col min="3" max="5" width="17.5703125" style="194" customWidth="1"/>
    <col min="6" max="6" width="6.7109375" style="194" customWidth="1"/>
    <col min="7" max="9" width="17.5703125" style="194" customWidth="1"/>
    <col min="10" max="10" width="4.7109375" style="56" customWidth="1"/>
    <col min="11" max="11" width="17.7109375" style="56" customWidth="1"/>
    <col min="12" max="12" width="8.85546875" style="56"/>
    <col min="13" max="13" width="52.7109375" style="56" bestFit="1" customWidth="1"/>
    <col min="14" max="16384" width="8.85546875" style="56"/>
  </cols>
  <sheetData>
    <row r="1" spans="1:20" s="147" customFormat="1" ht="12" customHeight="1" x14ac:dyDescent="0.2">
      <c r="A1" s="146" t="s">
        <v>0</v>
      </c>
      <c r="B1" s="148"/>
      <c r="C1" s="148"/>
      <c r="D1" s="148"/>
      <c r="E1" s="148"/>
      <c r="F1" s="148"/>
      <c r="G1" s="149"/>
      <c r="H1" s="149"/>
      <c r="K1" s="201" t="s">
        <v>305</v>
      </c>
      <c r="O1" s="147" t="s">
        <v>0</v>
      </c>
    </row>
    <row r="2" spans="1:20" s="147" customFormat="1" x14ac:dyDescent="0.2">
      <c r="A2" s="202" t="str">
        <f>+'KSM-4 p2 &amp; p3 - Adjust Issues'!A3</f>
        <v>Test Year Based on Twelve Months Ended September 30, 2018</v>
      </c>
      <c r="B2" s="148"/>
      <c r="C2" s="148"/>
      <c r="D2" s="148"/>
      <c r="E2" s="148"/>
      <c r="F2" s="148"/>
      <c r="G2" s="149"/>
      <c r="H2" s="149"/>
      <c r="I2" s="149"/>
      <c r="O2" s="147" t="s">
        <v>817</v>
      </c>
    </row>
    <row r="3" spans="1:20" s="147" customFormat="1" x14ac:dyDescent="0.2">
      <c r="A3" s="146" t="s">
        <v>302</v>
      </c>
      <c r="B3" s="148"/>
      <c r="C3" s="148"/>
      <c r="D3" s="148"/>
      <c r="E3" s="148"/>
      <c r="F3" s="148"/>
      <c r="G3" s="149"/>
      <c r="H3" s="149"/>
      <c r="I3" s="149"/>
      <c r="O3" s="147" t="s">
        <v>818</v>
      </c>
    </row>
    <row r="4" spans="1:20" s="147" customFormat="1" x14ac:dyDescent="0.2">
      <c r="A4" s="146"/>
      <c r="B4" s="148"/>
      <c r="C4" s="148"/>
      <c r="D4" s="148"/>
      <c r="E4" s="148"/>
      <c r="F4" s="148"/>
      <c r="G4" s="149"/>
      <c r="H4" s="149"/>
      <c r="I4" s="149"/>
      <c r="O4" s="147" t="s">
        <v>819</v>
      </c>
    </row>
    <row r="5" spans="1:20" s="147" customFormat="1" x14ac:dyDescent="0.2">
      <c r="A5" s="150"/>
      <c r="B5" s="148"/>
      <c r="C5" s="526" t="s">
        <v>67</v>
      </c>
      <c r="D5" s="526"/>
      <c r="E5" s="526"/>
      <c r="F5" s="148"/>
      <c r="G5" s="526" t="s">
        <v>50</v>
      </c>
      <c r="H5" s="526"/>
      <c r="I5" s="526"/>
    </row>
    <row r="6" spans="1:20" s="147" customFormat="1" x14ac:dyDescent="0.2">
      <c r="A6" s="149"/>
      <c r="B6" s="149"/>
      <c r="C6" s="154" t="s">
        <v>502</v>
      </c>
      <c r="D6" s="153" t="s">
        <v>642</v>
      </c>
      <c r="E6" s="154" t="s">
        <v>64</v>
      </c>
      <c r="F6" s="149"/>
      <c r="G6" s="154" t="s">
        <v>502</v>
      </c>
      <c r="H6" s="153" t="s">
        <v>642</v>
      </c>
      <c r="I6" s="154" t="s">
        <v>64</v>
      </c>
      <c r="R6" s="147" t="s">
        <v>50</v>
      </c>
    </row>
    <row r="7" spans="1:20" s="147" customFormat="1" x14ac:dyDescent="0.2">
      <c r="A7" s="155" t="s">
        <v>64</v>
      </c>
      <c r="B7" s="156"/>
      <c r="C7" s="157" t="s">
        <v>503</v>
      </c>
      <c r="D7" s="158" t="s">
        <v>641</v>
      </c>
      <c r="E7" s="159" t="s">
        <v>504</v>
      </c>
      <c r="F7" s="149"/>
      <c r="G7" s="157" t="s">
        <v>503</v>
      </c>
      <c r="H7" s="158" t="s">
        <v>641</v>
      </c>
      <c r="I7" s="159" t="s">
        <v>504</v>
      </c>
      <c r="K7" s="200" t="s">
        <v>28</v>
      </c>
      <c r="M7" s="200" t="s">
        <v>837</v>
      </c>
      <c r="R7" s="147" t="s">
        <v>502</v>
      </c>
      <c r="S7" s="147" t="s">
        <v>642</v>
      </c>
      <c r="T7" s="147" t="s">
        <v>64</v>
      </c>
    </row>
    <row r="8" spans="1:20" s="146" customFormat="1" x14ac:dyDescent="0.2">
      <c r="A8" s="152"/>
      <c r="B8" s="149"/>
      <c r="C8" s="160" t="s">
        <v>58</v>
      </c>
      <c r="D8" s="160" t="s">
        <v>59</v>
      </c>
      <c r="E8" s="160" t="s">
        <v>60</v>
      </c>
      <c r="F8" s="149"/>
      <c r="G8" s="160" t="s">
        <v>61</v>
      </c>
      <c r="H8" s="160" t="s">
        <v>62</v>
      </c>
      <c r="I8" s="160" t="s">
        <v>69</v>
      </c>
      <c r="K8" s="160" t="s">
        <v>70</v>
      </c>
      <c r="R8" s="146" t="s">
        <v>503</v>
      </c>
      <c r="S8" s="146" t="s">
        <v>641</v>
      </c>
      <c r="T8" s="146" t="s">
        <v>504</v>
      </c>
    </row>
    <row r="9" spans="1:20" x14ac:dyDescent="0.2">
      <c r="A9" s="152"/>
      <c r="B9" s="161" t="s">
        <v>505</v>
      </c>
      <c r="C9" s="197"/>
      <c r="D9" s="197"/>
      <c r="E9" s="197"/>
      <c r="F9" s="197"/>
      <c r="G9" s="160"/>
      <c r="H9" s="160"/>
      <c r="I9" s="160"/>
      <c r="R9" s="56" t="s">
        <v>58</v>
      </c>
      <c r="S9" s="56" t="s">
        <v>59</v>
      </c>
      <c r="T9" s="56" t="s">
        <v>60</v>
      </c>
    </row>
    <row r="10" spans="1:20" x14ac:dyDescent="0.2">
      <c r="A10" s="164">
        <v>1</v>
      </c>
      <c r="B10" s="150" t="s">
        <v>84</v>
      </c>
      <c r="C10" s="269">
        <v>50068985.899999999</v>
      </c>
      <c r="D10" s="270">
        <f>+E10/C10</f>
        <v>0.93165562496443521</v>
      </c>
      <c r="E10" s="271">
        <v>46647052.349999994</v>
      </c>
      <c r="F10" s="150"/>
      <c r="G10" s="165">
        <v>50368669.118959703</v>
      </c>
      <c r="H10" s="166">
        <v>0.8748935422931523</v>
      </c>
      <c r="I10" s="167">
        <v>44067223.346078366</v>
      </c>
      <c r="M10" s="2" t="s">
        <v>896</v>
      </c>
      <c r="O10" s="56" t="s">
        <v>64</v>
      </c>
    </row>
    <row r="11" spans="1:20" x14ac:dyDescent="0.2">
      <c r="A11" s="164">
        <f>+A10+1</f>
        <v>2</v>
      </c>
      <c r="B11" s="150" t="s">
        <v>375</v>
      </c>
      <c r="C11" s="269">
        <v>21738479.899999999</v>
      </c>
      <c r="D11" s="270">
        <f t="shared" ref="D11:D13" si="0">+E11/C11</f>
        <v>0.83207226048956662</v>
      </c>
      <c r="E11" s="271">
        <v>18087986.110000007</v>
      </c>
      <c r="F11" s="150"/>
      <c r="G11" s="165">
        <v>21869677.459744882</v>
      </c>
      <c r="H11" s="166">
        <v>0.78588474777741135</v>
      </c>
      <c r="I11" s="167">
        <v>17187045.954424944</v>
      </c>
      <c r="M11" s="2" t="s">
        <v>895</v>
      </c>
    </row>
    <row r="12" spans="1:20" x14ac:dyDescent="0.2">
      <c r="A12" s="164">
        <f>+A11+1</f>
        <v>3</v>
      </c>
      <c r="B12" s="150" t="s">
        <v>376</v>
      </c>
      <c r="C12" s="269">
        <v>3052385.8</v>
      </c>
      <c r="D12" s="270">
        <f t="shared" si="0"/>
        <v>0.64440582510900168</v>
      </c>
      <c r="E12" s="271">
        <v>1966975.19</v>
      </c>
      <c r="F12" s="150"/>
      <c r="G12" s="165">
        <v>3064902.0999999992</v>
      </c>
      <c r="H12" s="166">
        <v>0.62388239034199122</v>
      </c>
      <c r="I12" s="167">
        <v>1912138.448312188</v>
      </c>
      <c r="P12" s="56" t="s">
        <v>505</v>
      </c>
    </row>
    <row r="13" spans="1:20" x14ac:dyDescent="0.2">
      <c r="A13" s="164">
        <f>+A12+1</f>
        <v>4</v>
      </c>
      <c r="B13" s="150" t="s">
        <v>98</v>
      </c>
      <c r="C13" s="272">
        <v>1319198</v>
      </c>
      <c r="D13" s="270">
        <f t="shared" si="0"/>
        <v>0.41212040952154266</v>
      </c>
      <c r="E13" s="273">
        <v>543668.42000000004</v>
      </c>
      <c r="F13" s="150"/>
      <c r="G13" s="168">
        <v>1319198</v>
      </c>
      <c r="H13" s="166">
        <v>0.42016431587319653</v>
      </c>
      <c r="I13" s="169">
        <v>554279.92517128913</v>
      </c>
      <c r="O13" s="56">
        <v>1</v>
      </c>
      <c r="P13" s="56" t="s">
        <v>84</v>
      </c>
      <c r="R13" s="56">
        <v>50368669.118959703</v>
      </c>
      <c r="S13" s="56">
        <v>0.8748935422931523</v>
      </c>
      <c r="T13" s="56">
        <v>44067223.346078366</v>
      </c>
    </row>
    <row r="14" spans="1:20" x14ac:dyDescent="0.2">
      <c r="A14" s="56"/>
      <c r="B14" s="171"/>
      <c r="C14" s="269"/>
      <c r="D14" s="274"/>
      <c r="E14" s="271"/>
      <c r="F14" s="171"/>
      <c r="G14" s="165"/>
      <c r="H14" s="172"/>
      <c r="I14" s="167"/>
      <c r="O14" s="56">
        <v>2</v>
      </c>
      <c r="P14" s="56" t="s">
        <v>375</v>
      </c>
      <c r="R14" s="56">
        <v>21869677.459744882</v>
      </c>
      <c r="S14" s="56">
        <v>0.78588474777741135</v>
      </c>
      <c r="T14" s="56">
        <v>17187045.954424944</v>
      </c>
    </row>
    <row r="15" spans="1:20" x14ac:dyDescent="0.2">
      <c r="A15" s="164">
        <f>+A13+1</f>
        <v>5</v>
      </c>
      <c r="B15" s="151" t="s">
        <v>506</v>
      </c>
      <c r="C15" s="275">
        <f>SUM(C10:C13)</f>
        <v>76179049.599999994</v>
      </c>
      <c r="D15" s="270"/>
      <c r="E15" s="276">
        <f>SUM(E10:E13)</f>
        <v>67245682.069999993</v>
      </c>
      <c r="F15" s="151"/>
      <c r="G15" s="173">
        <v>76622446.678704575</v>
      </c>
      <c r="H15" s="166"/>
      <c r="I15" s="174">
        <v>63720687.673986785</v>
      </c>
      <c r="K15" s="199">
        <f>+I15-E15</f>
        <v>-3524994.3960132077</v>
      </c>
      <c r="O15" s="56">
        <v>3</v>
      </c>
      <c r="P15" s="56" t="s">
        <v>376</v>
      </c>
      <c r="R15" s="56">
        <v>3064902.0999999992</v>
      </c>
      <c r="S15" s="56">
        <v>0.62388239034199122</v>
      </c>
      <c r="T15" s="56">
        <v>1912138.448312188</v>
      </c>
    </row>
    <row r="16" spans="1:20" x14ac:dyDescent="0.2">
      <c r="A16" s="56"/>
      <c r="B16" s="175"/>
      <c r="C16" s="173"/>
      <c r="D16" s="176"/>
      <c r="E16" s="177"/>
      <c r="F16" s="175"/>
      <c r="G16" s="173"/>
      <c r="H16" s="176"/>
      <c r="I16" s="177"/>
      <c r="K16" s="199"/>
      <c r="O16" s="56">
        <v>4</v>
      </c>
      <c r="P16" s="56" t="s">
        <v>98</v>
      </c>
      <c r="R16" s="56">
        <v>1319198</v>
      </c>
      <c r="S16" s="56">
        <v>0.42016431587319653</v>
      </c>
      <c r="T16" s="56">
        <v>554279.92517128913</v>
      </c>
    </row>
    <row r="17" spans="1:20" x14ac:dyDescent="0.2">
      <c r="A17" s="164">
        <f>+A15+1</f>
        <v>6</v>
      </c>
      <c r="B17" s="162" t="s">
        <v>363</v>
      </c>
      <c r="C17" s="203">
        <v>117158</v>
      </c>
      <c r="D17" s="56"/>
      <c r="E17" s="204">
        <v>68731</v>
      </c>
      <c r="F17" s="175"/>
      <c r="G17" s="173"/>
      <c r="H17" s="176"/>
      <c r="I17" s="177"/>
      <c r="K17" s="199">
        <f t="shared" ref="K17" si="1">+I17-E17</f>
        <v>-68731</v>
      </c>
      <c r="M17" s="56" t="s">
        <v>793</v>
      </c>
    </row>
    <row r="18" spans="1:20" x14ac:dyDescent="0.2">
      <c r="A18" s="164">
        <f>+A17+1</f>
        <v>7</v>
      </c>
      <c r="B18" s="162" t="s">
        <v>121</v>
      </c>
      <c r="C18" s="170">
        <v>228702</v>
      </c>
      <c r="D18" s="56"/>
      <c r="E18" s="163"/>
      <c r="F18" s="170"/>
      <c r="G18" s="173"/>
      <c r="H18" s="176"/>
      <c r="I18" s="177"/>
      <c r="O18" s="56">
        <v>5</v>
      </c>
      <c r="P18" s="56" t="s">
        <v>506</v>
      </c>
      <c r="R18" s="56">
        <v>76622446.678704575</v>
      </c>
      <c r="T18" s="56">
        <v>63720687.673986785</v>
      </c>
    </row>
    <row r="19" spans="1:20" x14ac:dyDescent="0.2">
      <c r="A19" s="56"/>
      <c r="B19" s="175"/>
      <c r="C19" s="173"/>
      <c r="D19" s="176"/>
      <c r="E19" s="177"/>
      <c r="F19" s="175"/>
      <c r="G19" s="173"/>
      <c r="H19" s="176"/>
      <c r="I19" s="177"/>
    </row>
    <row r="20" spans="1:20" x14ac:dyDescent="0.2">
      <c r="A20" s="56"/>
      <c r="B20" s="178" t="s">
        <v>507</v>
      </c>
      <c r="C20" s="148"/>
      <c r="D20" s="148"/>
      <c r="E20" s="179"/>
      <c r="F20" s="193"/>
      <c r="G20" s="148"/>
      <c r="H20" s="148"/>
      <c r="I20" s="179"/>
      <c r="O20" s="56">
        <v>6</v>
      </c>
      <c r="P20" s="56" t="s">
        <v>363</v>
      </c>
    </row>
    <row r="21" spans="1:20" x14ac:dyDescent="0.2">
      <c r="A21" s="164">
        <f>+A18+1</f>
        <v>8</v>
      </c>
      <c r="B21" s="150" t="s">
        <v>508</v>
      </c>
      <c r="C21" s="165">
        <v>7065720</v>
      </c>
      <c r="D21" s="270">
        <f>+E21/C21</f>
        <v>0.16810604297934251</v>
      </c>
      <c r="E21" s="180">
        <v>1187790.23</v>
      </c>
      <c r="F21" s="150"/>
      <c r="G21" s="165">
        <v>7065720</v>
      </c>
      <c r="H21" s="166">
        <v>0.16733650934511982</v>
      </c>
      <c r="I21" s="180">
        <v>1182352.92081</v>
      </c>
      <c r="O21" s="56">
        <v>7</v>
      </c>
      <c r="P21" s="56" t="s">
        <v>121</v>
      </c>
    </row>
    <row r="22" spans="1:20" x14ac:dyDescent="0.2">
      <c r="A22" s="164">
        <f>+A21+1</f>
        <v>9</v>
      </c>
      <c r="B22" s="150" t="s">
        <v>98</v>
      </c>
      <c r="C22" s="165">
        <v>10909907</v>
      </c>
      <c r="D22" s="270">
        <f t="shared" ref="D22:D23" si="2">+E22/C22</f>
        <v>8.6487368774087622E-2</v>
      </c>
      <c r="E22" s="180">
        <v>943569.15</v>
      </c>
      <c r="F22" s="150"/>
      <c r="G22" s="165">
        <v>10908382</v>
      </c>
      <c r="H22" s="166">
        <v>8.6091843912323565E-2</v>
      </c>
      <c r="I22" s="180">
        <v>939122.72048000002</v>
      </c>
    </row>
    <row r="23" spans="1:20" x14ac:dyDescent="0.2">
      <c r="A23" s="164">
        <f>+A22+1</f>
        <v>10</v>
      </c>
      <c r="B23" s="150" t="s">
        <v>509</v>
      </c>
      <c r="C23" s="165">
        <v>2813155</v>
      </c>
      <c r="D23" s="270">
        <f t="shared" si="2"/>
        <v>8.5178861456265284E-2</v>
      </c>
      <c r="E23" s="180">
        <v>239621.33999999997</v>
      </c>
      <c r="F23" s="150"/>
      <c r="G23" s="165">
        <v>2813155</v>
      </c>
      <c r="H23" s="166">
        <v>8.5181273477651864E-2</v>
      </c>
      <c r="I23" s="180">
        <v>239628.12539002372</v>
      </c>
      <c r="P23" s="56" t="s">
        <v>507</v>
      </c>
    </row>
    <row r="24" spans="1:20" x14ac:dyDescent="0.2">
      <c r="A24" s="56"/>
      <c r="B24" s="149"/>
      <c r="C24" s="181"/>
      <c r="D24" s="176"/>
      <c r="E24" s="182"/>
      <c r="F24" s="149"/>
      <c r="G24" s="181"/>
      <c r="H24" s="176"/>
      <c r="I24" s="182"/>
      <c r="O24" s="56">
        <v>6</v>
      </c>
      <c r="P24" s="56" t="s">
        <v>508</v>
      </c>
      <c r="R24" s="56">
        <v>7065720</v>
      </c>
      <c r="S24" s="56">
        <v>0.16733650934511982</v>
      </c>
      <c r="T24" s="56">
        <v>1182352.92081</v>
      </c>
    </row>
    <row r="25" spans="1:20" x14ac:dyDescent="0.2">
      <c r="A25" s="164">
        <f>+A23+1</f>
        <v>11</v>
      </c>
      <c r="B25" s="151" t="s">
        <v>510</v>
      </c>
      <c r="C25" s="168">
        <f>SUM(C21:C24)</f>
        <v>20788782</v>
      </c>
      <c r="D25" s="172"/>
      <c r="E25" s="169">
        <f>SUM(E21:E24)</f>
        <v>2370980.7199999997</v>
      </c>
      <c r="F25" s="151"/>
      <c r="G25" s="168">
        <v>20787257</v>
      </c>
      <c r="H25" s="172"/>
      <c r="I25" s="169">
        <v>2361103.7666800241</v>
      </c>
      <c r="K25" s="199">
        <f>+I25-E25</f>
        <v>-9876.9533199756406</v>
      </c>
      <c r="O25" s="56">
        <v>7</v>
      </c>
      <c r="P25" s="56" t="s">
        <v>98</v>
      </c>
      <c r="R25" s="56">
        <v>10908382</v>
      </c>
      <c r="S25" s="56">
        <v>8.6091843912323565E-2</v>
      </c>
      <c r="T25" s="56">
        <v>939122.72048000002</v>
      </c>
    </row>
    <row r="26" spans="1:20" x14ac:dyDescent="0.2">
      <c r="A26" s="56"/>
      <c r="B26" s="149"/>
      <c r="C26" s="165"/>
      <c r="D26" s="172"/>
      <c r="E26" s="165"/>
      <c r="F26" s="149"/>
      <c r="G26" s="165"/>
      <c r="H26" s="172"/>
      <c r="I26" s="165"/>
      <c r="O26" s="56">
        <v>8</v>
      </c>
      <c r="P26" s="56" t="s">
        <v>820</v>
      </c>
      <c r="R26" s="56">
        <v>2813155</v>
      </c>
      <c r="S26" s="56">
        <v>8.5181273477651864E-2</v>
      </c>
      <c r="T26" s="56">
        <v>239628.12539002372</v>
      </c>
    </row>
    <row r="27" spans="1:20" ht="15.75" thickBot="1" x14ac:dyDescent="0.25">
      <c r="A27" s="164">
        <f>+A25+1</f>
        <v>12</v>
      </c>
      <c r="B27" s="183" t="s">
        <v>511</v>
      </c>
      <c r="C27" s="184">
        <f>+C15+C17+C18+C25</f>
        <v>97313691.599999994</v>
      </c>
      <c r="D27" s="176"/>
      <c r="E27" s="185">
        <f>+E15+E25+E17</f>
        <v>69685393.789999992</v>
      </c>
      <c r="F27" s="183"/>
      <c r="G27" s="184">
        <v>97409703.678704575</v>
      </c>
      <c r="H27" s="176"/>
      <c r="I27" s="185">
        <v>66081791.44066681</v>
      </c>
      <c r="K27" s="199">
        <f>+I27-E27</f>
        <v>-3603602.349333182</v>
      </c>
    </row>
    <row r="28" spans="1:20" ht="15.75" thickTop="1" x14ac:dyDescent="0.2">
      <c r="A28" s="148"/>
      <c r="B28" s="148"/>
      <c r="C28" s="148"/>
      <c r="D28" s="148"/>
      <c r="E28" s="148"/>
      <c r="F28" s="148"/>
      <c r="G28" s="186"/>
      <c r="H28" s="186"/>
      <c r="I28" s="186"/>
      <c r="O28" s="56">
        <v>9</v>
      </c>
      <c r="P28" s="56" t="s">
        <v>510</v>
      </c>
      <c r="R28" s="56">
        <v>20787257</v>
      </c>
      <c r="T28" s="56">
        <v>2361103.7666800241</v>
      </c>
    </row>
    <row r="29" spans="1:20" x14ac:dyDescent="0.2">
      <c r="A29" s="155" t="s">
        <v>512</v>
      </c>
      <c r="B29" s="187"/>
      <c r="C29" s="171"/>
      <c r="D29" s="171"/>
      <c r="E29" s="171"/>
      <c r="F29" s="171"/>
      <c r="G29" s="188"/>
      <c r="H29" s="166"/>
      <c r="I29" s="165"/>
    </row>
    <row r="30" spans="1:20" x14ac:dyDescent="0.2">
      <c r="A30" s="189"/>
      <c r="B30" s="175"/>
      <c r="C30" s="175"/>
      <c r="D30" s="175"/>
      <c r="E30" s="175"/>
      <c r="F30" s="175"/>
      <c r="G30" s="148"/>
      <c r="H30" s="166"/>
      <c r="I30" s="165"/>
      <c r="O30" s="56">
        <v>10</v>
      </c>
      <c r="P30" s="56" t="s">
        <v>511</v>
      </c>
      <c r="R30" s="56">
        <v>97409703.678704575</v>
      </c>
      <c r="T30" s="56">
        <v>66081791.44066681</v>
      </c>
    </row>
    <row r="31" spans="1:20" x14ac:dyDescent="0.2">
      <c r="A31" s="164">
        <f>+A27+1</f>
        <v>13</v>
      </c>
      <c r="B31" s="189" t="s">
        <v>609</v>
      </c>
      <c r="C31" s="165"/>
      <c r="D31" s="205"/>
      <c r="E31" s="192">
        <f>+'WP - Other Rev &amp; Tax'!E45+'WP - Other Rev &amp; Tax'!E46</f>
        <v>8770697.0635999944</v>
      </c>
      <c r="F31" s="189"/>
      <c r="G31" s="190"/>
      <c r="H31" s="191"/>
      <c r="I31" s="192">
        <v>8063564</v>
      </c>
    </row>
    <row r="32" spans="1:20" x14ac:dyDescent="0.2">
      <c r="A32" s="164">
        <f>+A31+1</f>
        <v>14</v>
      </c>
      <c r="B32" s="150" t="s">
        <v>610</v>
      </c>
      <c r="C32" s="165"/>
      <c r="D32" s="205"/>
      <c r="E32" s="165">
        <f>+'WP - Other Rev &amp; Tax'!E43+'WP - Other Rev &amp; Tax'!E44</f>
        <v>19856050.746987022</v>
      </c>
      <c r="F32" s="198"/>
      <c r="G32" s="165"/>
      <c r="H32" s="172"/>
      <c r="I32" s="165">
        <v>16381114</v>
      </c>
    </row>
    <row r="33" spans="1:20" x14ac:dyDescent="0.2">
      <c r="A33" s="164">
        <f>+A32+1</f>
        <v>15</v>
      </c>
      <c r="B33" s="162" t="s">
        <v>499</v>
      </c>
      <c r="C33" s="56"/>
      <c r="D33" s="205"/>
      <c r="E33" s="168">
        <f>+'WP - Other Rev &amp; Tax'!E47</f>
        <v>-2854665.26</v>
      </c>
      <c r="F33" s="193"/>
      <c r="G33" s="165"/>
      <c r="H33" s="172"/>
      <c r="I33" s="168">
        <v>0</v>
      </c>
      <c r="O33" s="56" t="s">
        <v>512</v>
      </c>
    </row>
    <row r="34" spans="1:20" x14ac:dyDescent="0.2">
      <c r="A34" s="56"/>
      <c r="B34" s="56"/>
      <c r="C34" s="56"/>
      <c r="D34" s="56"/>
      <c r="E34" s="56"/>
      <c r="F34" s="152"/>
      <c r="G34" s="152"/>
      <c r="H34" s="152"/>
      <c r="I34" s="56"/>
    </row>
    <row r="35" spans="1:20" ht="15.75" thickBot="1" x14ac:dyDescent="0.25">
      <c r="A35" s="164">
        <f>+A33+1</f>
        <v>16</v>
      </c>
      <c r="B35" s="193" t="s">
        <v>513</v>
      </c>
      <c r="C35" s="206"/>
      <c r="D35" s="56"/>
      <c r="E35" s="185">
        <f>SUM(E31:E34)</f>
        <v>25772082.550587021</v>
      </c>
      <c r="F35" s="152"/>
      <c r="G35" s="152"/>
      <c r="H35" s="152"/>
      <c r="I35" s="185">
        <v>24444678</v>
      </c>
      <c r="K35" s="199">
        <f>+I35-E35</f>
        <v>-1327404.5505870208</v>
      </c>
      <c r="O35" s="56">
        <v>11</v>
      </c>
      <c r="P35" s="56" t="s">
        <v>821</v>
      </c>
      <c r="T35" s="56">
        <v>8063564</v>
      </c>
    </row>
    <row r="36" spans="1:20" ht="15.75" thickTop="1" x14ac:dyDescent="0.2">
      <c r="A36" s="56"/>
      <c r="B36" s="152"/>
      <c r="C36" s="195"/>
      <c r="D36" s="196"/>
      <c r="E36" s="152"/>
      <c r="F36" s="189"/>
      <c r="G36" s="152"/>
      <c r="H36" s="152"/>
      <c r="I36" s="152"/>
    </row>
    <row r="37" spans="1:20" ht="15.75" thickBot="1" x14ac:dyDescent="0.25">
      <c r="A37" s="164">
        <f>+A35+1</f>
        <v>17</v>
      </c>
      <c r="B37" s="189" t="s">
        <v>514</v>
      </c>
      <c r="C37" s="195"/>
      <c r="D37" s="196"/>
      <c r="E37" s="185">
        <f>+E27-E35</f>
        <v>43913311.239412971</v>
      </c>
      <c r="I37" s="185">
        <v>41637113.44066681</v>
      </c>
      <c r="O37" s="56">
        <v>12</v>
      </c>
      <c r="P37" s="56" t="s">
        <v>822</v>
      </c>
      <c r="T37" s="56">
        <v>16381114</v>
      </c>
    </row>
    <row r="38" spans="1:20" ht="15.75" thickTop="1" x14ac:dyDescent="0.2">
      <c r="A38" s="164"/>
      <c r="B38" s="56"/>
      <c r="C38" s="56"/>
      <c r="D38" s="56"/>
      <c r="E38" s="56"/>
      <c r="F38" s="56"/>
      <c r="G38" s="56"/>
      <c r="H38" s="56"/>
      <c r="I38" s="56"/>
    </row>
    <row r="39" spans="1:20" x14ac:dyDescent="0.2">
      <c r="O39" s="56">
        <v>13</v>
      </c>
      <c r="P39" s="56" t="s">
        <v>513</v>
      </c>
      <c r="T39" s="56">
        <v>24444678</v>
      </c>
    </row>
    <row r="42" spans="1:20" x14ac:dyDescent="0.2">
      <c r="O42" s="56">
        <v>14</v>
      </c>
      <c r="P42" s="56" t="s">
        <v>514</v>
      </c>
      <c r="T42" s="56">
        <v>41637113.44066681</v>
      </c>
    </row>
  </sheetData>
  <mergeCells count="2">
    <mergeCell ref="C5:E5"/>
    <mergeCell ref="G5:I5"/>
  </mergeCells>
  <phoneticPr fontId="6" type="noConversion"/>
  <printOptions horizontalCentered="1"/>
  <pageMargins left="0.5" right="0.5" top="0.5" bottom="0.5" header="0.25" footer="0.25"/>
  <pageSetup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  <pageSetUpPr fitToPage="1"/>
  </sheetPr>
  <dimension ref="A1:U250"/>
  <sheetViews>
    <sheetView workbookViewId="0">
      <selection activeCell="G15" sqref="G15"/>
    </sheetView>
  </sheetViews>
  <sheetFormatPr defaultColWidth="9.140625" defaultRowHeight="15" x14ac:dyDescent="0.2"/>
  <cols>
    <col min="1" max="1" width="7.140625" style="54" customWidth="1"/>
    <col min="2" max="2" width="49.42578125" style="54" customWidth="1"/>
    <col min="3" max="5" width="13.7109375" style="2" customWidth="1"/>
    <col min="6" max="6" width="10" style="2" customWidth="1"/>
    <col min="7" max="7" width="50" style="2" customWidth="1"/>
    <col min="8" max="10" width="12.7109375" style="2" customWidth="1"/>
    <col min="11" max="11" width="5.28515625" style="2" customWidth="1"/>
    <col min="12" max="12" width="12.7109375" style="2" customWidth="1"/>
    <col min="13" max="13" width="29.28515625" style="23" customWidth="1"/>
    <col min="14" max="14" width="9.140625" style="2"/>
    <col min="15" max="15" width="26.42578125" style="2" bestFit="1" customWidth="1"/>
    <col min="16" max="18" width="10.7109375" style="2" customWidth="1"/>
    <col min="19" max="19" width="5.85546875" style="2" customWidth="1"/>
    <col min="20" max="20" width="45.42578125" style="2" bestFit="1" customWidth="1"/>
    <col min="21" max="21" width="11" style="2" customWidth="1"/>
    <col min="22" max="16384" width="9.140625" style="2"/>
  </cols>
  <sheetData>
    <row r="1" spans="1:21" s="54" customFormat="1" x14ac:dyDescent="0.2">
      <c r="A1" s="54" t="str">
        <f>+'KSM-3 p1 - Test Year Results'!A1</f>
        <v>NW Natural</v>
      </c>
      <c r="C1" s="60"/>
      <c r="D1" s="60"/>
      <c r="E1" s="60" t="s">
        <v>345</v>
      </c>
      <c r="G1" s="2"/>
      <c r="H1" s="2"/>
      <c r="I1" s="41"/>
      <c r="J1" s="2"/>
      <c r="K1" s="2"/>
      <c r="M1" s="60"/>
    </row>
    <row r="2" spans="1:21" s="54" customFormat="1" x14ac:dyDescent="0.2">
      <c r="A2" s="54" t="str">
        <f>+'KSM-3 p1 - Test Year Results'!A2</f>
        <v>Washington Rate Case</v>
      </c>
      <c r="C2" s="60"/>
      <c r="D2" s="60"/>
      <c r="E2" s="60"/>
      <c r="F2" s="60"/>
      <c r="G2" s="2"/>
      <c r="H2" s="2"/>
      <c r="I2" s="41"/>
      <c r="J2" s="2"/>
      <c r="K2" s="2"/>
      <c r="M2" s="60"/>
    </row>
    <row r="3" spans="1:21" s="54" customFormat="1" x14ac:dyDescent="0.2">
      <c r="A3" s="54" t="str">
        <f>+'KSM-3 p1 - Test Year Results'!A3</f>
        <v>Test Year Based on Twelve Months Ended September 30, 2018</v>
      </c>
      <c r="C3" s="60"/>
      <c r="D3" s="60"/>
      <c r="E3" s="52"/>
      <c r="F3" s="52"/>
      <c r="G3" s="2"/>
      <c r="H3" s="2"/>
      <c r="I3" s="41"/>
      <c r="J3" s="2"/>
      <c r="K3" s="2"/>
      <c r="M3" s="60"/>
    </row>
    <row r="4" spans="1:21" s="54" customFormat="1" x14ac:dyDescent="0.2">
      <c r="A4" s="54" t="s">
        <v>339</v>
      </c>
      <c r="C4" s="60"/>
      <c r="D4" s="60"/>
      <c r="E4" s="114"/>
      <c r="F4" s="114"/>
      <c r="G4" s="2"/>
      <c r="H4" s="2"/>
      <c r="I4" s="41"/>
      <c r="J4" s="2"/>
      <c r="K4" s="2"/>
      <c r="M4" s="60"/>
    </row>
    <row r="5" spans="1:21" s="54" customFormat="1" x14ac:dyDescent="0.2">
      <c r="C5" s="60"/>
      <c r="D5" s="60"/>
      <c r="E5" s="60"/>
      <c r="F5" s="60"/>
      <c r="G5" s="2"/>
      <c r="H5" s="2"/>
      <c r="I5" s="41"/>
      <c r="J5" s="2"/>
      <c r="K5" s="2"/>
      <c r="M5" s="60"/>
    </row>
    <row r="6" spans="1:21" s="54" customFormat="1" x14ac:dyDescent="0.2">
      <c r="A6" s="60" t="s">
        <v>17</v>
      </c>
      <c r="C6" s="60"/>
      <c r="D6" s="60"/>
      <c r="E6" s="60"/>
      <c r="F6" s="60"/>
      <c r="G6" s="2"/>
      <c r="H6" s="2"/>
      <c r="I6" s="41"/>
      <c r="J6" s="2"/>
      <c r="K6" s="2"/>
      <c r="M6" s="60"/>
    </row>
    <row r="7" spans="1:21" s="54" customFormat="1" x14ac:dyDescent="0.2">
      <c r="A7" s="62" t="s">
        <v>340</v>
      </c>
      <c r="C7" s="62" t="s">
        <v>67</v>
      </c>
      <c r="D7" s="62" t="s">
        <v>50</v>
      </c>
      <c r="E7" s="62" t="s">
        <v>28</v>
      </c>
      <c r="F7" s="111"/>
      <c r="G7" s="2"/>
      <c r="H7" s="2"/>
      <c r="I7" s="2"/>
      <c r="J7" s="2"/>
      <c r="K7" s="2"/>
      <c r="M7" s="60"/>
    </row>
    <row r="8" spans="1:21" s="54" customFormat="1" x14ac:dyDescent="0.2">
      <c r="C8" s="60" t="s">
        <v>58</v>
      </c>
      <c r="D8" s="60" t="s">
        <v>59</v>
      </c>
      <c r="E8" s="60" t="s">
        <v>60</v>
      </c>
      <c r="F8" s="60"/>
      <c r="G8" s="2"/>
      <c r="H8" s="2"/>
      <c r="I8" s="2"/>
      <c r="J8" s="2"/>
      <c r="K8" s="2"/>
      <c r="M8" s="60"/>
    </row>
    <row r="9" spans="1:21" x14ac:dyDescent="0.2">
      <c r="B9" s="54" t="s">
        <v>341</v>
      </c>
      <c r="C9" s="23"/>
      <c r="D9" s="23"/>
      <c r="E9" s="23"/>
      <c r="F9" s="23"/>
    </row>
    <row r="10" spans="1:21" x14ac:dyDescent="0.2">
      <c r="A10" s="60">
        <v>1</v>
      </c>
      <c r="B10" s="115" t="s">
        <v>344</v>
      </c>
      <c r="C10" s="213">
        <v>-2032719.9499999995</v>
      </c>
      <c r="D10" s="214">
        <v>0</v>
      </c>
      <c r="E10" s="213">
        <f>+D10-C10</f>
        <v>2032719.9499999995</v>
      </c>
      <c r="F10" s="116"/>
    </row>
    <row r="11" spans="1:21" x14ac:dyDescent="0.2">
      <c r="A11" s="60">
        <f>+A10+1</f>
        <v>2</v>
      </c>
      <c r="B11" s="115" t="s">
        <v>494</v>
      </c>
      <c r="C11" s="215">
        <v>-304442.51</v>
      </c>
      <c r="D11" s="216">
        <v>0</v>
      </c>
      <c r="E11" s="215">
        <f>+D11-C11</f>
        <v>304442.51</v>
      </c>
      <c r="F11" s="123"/>
    </row>
    <row r="12" spans="1:21" x14ac:dyDescent="0.2">
      <c r="A12" s="60"/>
      <c r="B12" s="108" t="s">
        <v>134</v>
      </c>
      <c r="C12" s="64"/>
      <c r="D12" s="64"/>
      <c r="E12" s="64"/>
      <c r="F12" s="117"/>
    </row>
    <row r="13" spans="1:21" ht="15.75" thickBot="1" x14ac:dyDescent="0.25">
      <c r="A13" s="60">
        <f>+A11+1</f>
        <v>3</v>
      </c>
      <c r="B13" s="118" t="s">
        <v>342</v>
      </c>
      <c r="C13" s="217">
        <f>SUM(C10:C11)</f>
        <v>-2337162.4599999995</v>
      </c>
      <c r="D13" s="217">
        <f>SUM(D10:D11)</f>
        <v>0</v>
      </c>
      <c r="E13" s="217">
        <f>SUM(E10:E11)</f>
        <v>2337162.4599999995</v>
      </c>
      <c r="F13" s="119"/>
      <c r="G13" s="54" t="s">
        <v>837</v>
      </c>
    </row>
    <row r="14" spans="1:21" x14ac:dyDescent="0.2">
      <c r="A14" s="60"/>
      <c r="B14" s="118"/>
      <c r="C14" s="218"/>
      <c r="D14" s="218"/>
      <c r="E14" s="218"/>
      <c r="F14" s="119"/>
      <c r="G14" s="522" t="s">
        <v>886</v>
      </c>
      <c r="H14" s="380"/>
      <c r="I14" s="380"/>
      <c r="J14" s="380"/>
      <c r="K14" s="381"/>
      <c r="L14" s="381" t="s">
        <v>13</v>
      </c>
      <c r="M14" s="382"/>
      <c r="O14" s="390" t="s">
        <v>695</v>
      </c>
      <c r="P14" s="381"/>
      <c r="Q14" s="381"/>
      <c r="R14" s="381"/>
      <c r="S14" s="381"/>
      <c r="T14" s="391" t="s">
        <v>894</v>
      </c>
      <c r="U14" s="392"/>
    </row>
    <row r="15" spans="1:21" x14ac:dyDescent="0.2">
      <c r="A15" s="54" t="s">
        <v>343</v>
      </c>
      <c r="B15" s="120"/>
      <c r="C15" s="219"/>
      <c r="D15" s="219"/>
      <c r="E15" s="219"/>
      <c r="F15" s="121"/>
      <c r="G15" s="383"/>
      <c r="H15" s="132" t="s">
        <v>550</v>
      </c>
      <c r="I15" s="132" t="s">
        <v>551</v>
      </c>
      <c r="J15" s="132" t="s">
        <v>552</v>
      </c>
      <c r="K15" s="40"/>
      <c r="L15" s="40" t="s">
        <v>553</v>
      </c>
      <c r="M15" s="384" t="s">
        <v>554</v>
      </c>
      <c r="O15" s="383"/>
      <c r="P15" s="40"/>
      <c r="Q15" s="40"/>
      <c r="R15" s="40"/>
      <c r="S15" s="40"/>
      <c r="T15" s="40"/>
      <c r="U15" s="393"/>
    </row>
    <row r="16" spans="1:21" x14ac:dyDescent="0.2">
      <c r="A16" s="60"/>
      <c r="C16" s="219"/>
      <c r="D16" s="219"/>
      <c r="E16" s="219"/>
      <c r="F16" s="121"/>
      <c r="G16" s="383"/>
      <c r="H16" s="40"/>
      <c r="I16" s="40"/>
      <c r="J16" s="40"/>
      <c r="K16" s="122"/>
      <c r="L16" s="40"/>
      <c r="M16" s="384"/>
      <c r="O16" s="383" t="s">
        <v>618</v>
      </c>
      <c r="P16" s="98" t="s">
        <v>10</v>
      </c>
      <c r="Q16" s="98" t="s">
        <v>11</v>
      </c>
      <c r="R16" s="98" t="s">
        <v>9</v>
      </c>
      <c r="S16" s="40"/>
      <c r="T16" s="40" t="s">
        <v>555</v>
      </c>
      <c r="U16" s="393">
        <v>-2042197.79</v>
      </c>
    </row>
    <row r="17" spans="1:21" x14ac:dyDescent="0.25">
      <c r="A17" s="60">
        <f>+A13+1</f>
        <v>4</v>
      </c>
      <c r="B17" s="54" t="s">
        <v>555</v>
      </c>
      <c r="C17" s="224">
        <f t="shared" ref="C17:C31" si="0">-J17</f>
        <v>89244.34</v>
      </c>
      <c r="D17" s="219">
        <f t="shared" ref="D17:D31" si="1">-L17</f>
        <v>90177.136666666673</v>
      </c>
      <c r="E17" s="219">
        <f t="shared" ref="E17:E31" si="2">+D17-C17</f>
        <v>932.79666666667617</v>
      </c>
      <c r="F17" s="121"/>
      <c r="G17" s="383" t="s">
        <v>555</v>
      </c>
      <c r="H17" s="34">
        <v>-83220.390000000014</v>
      </c>
      <c r="I17" s="34">
        <v>-98066.68</v>
      </c>
      <c r="J17" s="34">
        <v>-89244.34</v>
      </c>
      <c r="K17" s="134"/>
      <c r="L17" s="34">
        <v>-90177.136666666673</v>
      </c>
      <c r="M17" s="384" t="s">
        <v>556</v>
      </c>
      <c r="O17" s="383"/>
      <c r="P17" s="40"/>
      <c r="Q17" s="40"/>
      <c r="R17" s="40"/>
      <c r="S17" s="40"/>
      <c r="T17" s="40" t="s">
        <v>684</v>
      </c>
      <c r="U17" s="393">
        <v>-20223.060000000001</v>
      </c>
    </row>
    <row r="18" spans="1:21" x14ac:dyDescent="0.25">
      <c r="A18" s="60">
        <f t="shared" ref="A18:A31" si="3">+A17+1</f>
        <v>5</v>
      </c>
      <c r="B18" s="54" t="s">
        <v>557</v>
      </c>
      <c r="C18" s="224">
        <f t="shared" si="0"/>
        <v>5722.5</v>
      </c>
      <c r="D18" s="219">
        <f t="shared" si="1"/>
        <v>5950.833333333333</v>
      </c>
      <c r="E18" s="219">
        <f t="shared" si="2"/>
        <v>228.33333333333303</v>
      </c>
      <c r="F18" s="121"/>
      <c r="G18" s="383" t="s">
        <v>557</v>
      </c>
      <c r="H18" s="34">
        <v>-5882.5</v>
      </c>
      <c r="I18" s="34">
        <v>-6247.5</v>
      </c>
      <c r="J18" s="34">
        <v>-5722.5</v>
      </c>
      <c r="K18" s="134"/>
      <c r="L18" s="34">
        <v>-5950.833333333333</v>
      </c>
      <c r="M18" s="384" t="s">
        <v>556</v>
      </c>
      <c r="O18" s="383" t="s">
        <v>306</v>
      </c>
      <c r="P18" s="40">
        <f>-J19-J22-J23-J24-J25-J27</f>
        <v>54150</v>
      </c>
      <c r="Q18" s="40">
        <f>+R18-P18</f>
        <v>555055.90999999992</v>
      </c>
      <c r="R18" s="40">
        <f>-U22-U23-U24-U25-U27-U26</f>
        <v>609205.90999999992</v>
      </c>
      <c r="S18" s="40"/>
      <c r="T18" s="40" t="s">
        <v>685</v>
      </c>
      <c r="U18" s="393">
        <v>-17095.740000000002</v>
      </c>
    </row>
    <row r="19" spans="1:21" x14ac:dyDescent="0.25">
      <c r="A19" s="60">
        <f t="shared" si="3"/>
        <v>6</v>
      </c>
      <c r="B19" s="54" t="s">
        <v>558</v>
      </c>
      <c r="C19" s="224">
        <f t="shared" si="0"/>
        <v>1500</v>
      </c>
      <c r="D19" s="219">
        <f t="shared" si="1"/>
        <v>1500</v>
      </c>
      <c r="E19" s="219">
        <f t="shared" si="2"/>
        <v>0</v>
      </c>
      <c r="F19" s="121"/>
      <c r="G19" s="383" t="s">
        <v>558</v>
      </c>
      <c r="H19" s="34">
        <v>-1850</v>
      </c>
      <c r="I19" s="34">
        <v>-1700</v>
      </c>
      <c r="J19" s="34">
        <v>-1500</v>
      </c>
      <c r="K19" s="134"/>
      <c r="L19" s="34">
        <v>-1500</v>
      </c>
      <c r="M19" s="384" t="s">
        <v>559</v>
      </c>
      <c r="O19" s="383" t="s">
        <v>307</v>
      </c>
      <c r="P19" s="40">
        <f>-J17</f>
        <v>89244.34</v>
      </c>
      <c r="Q19" s="40">
        <f t="shared" ref="Q19:Q24" si="4">+R19-P19</f>
        <v>1952953.45</v>
      </c>
      <c r="R19" s="40">
        <f>-U16</f>
        <v>2042197.79</v>
      </c>
      <c r="S19" s="40"/>
      <c r="T19" s="40" t="s">
        <v>557</v>
      </c>
      <c r="U19" s="393">
        <v>-40362.5</v>
      </c>
    </row>
    <row r="20" spans="1:21" x14ac:dyDescent="0.25">
      <c r="A20" s="60">
        <f t="shared" si="3"/>
        <v>7</v>
      </c>
      <c r="B20" s="54" t="s">
        <v>560</v>
      </c>
      <c r="C20" s="224">
        <f t="shared" si="0"/>
        <v>33220</v>
      </c>
      <c r="D20" s="219">
        <f t="shared" si="1"/>
        <v>33220</v>
      </c>
      <c r="E20" s="219">
        <f t="shared" si="2"/>
        <v>0</v>
      </c>
      <c r="F20" s="121"/>
      <c r="G20" s="383" t="s">
        <v>560</v>
      </c>
      <c r="H20" s="34">
        <v>-29520</v>
      </c>
      <c r="I20" s="34">
        <v>-32710</v>
      </c>
      <c r="J20" s="34">
        <v>-33220</v>
      </c>
      <c r="K20" s="134"/>
      <c r="L20" s="34">
        <v>-33220</v>
      </c>
      <c r="M20" s="384" t="s">
        <v>561</v>
      </c>
      <c r="O20" s="383" t="s">
        <v>308</v>
      </c>
      <c r="P20" s="40">
        <f>-J18</f>
        <v>5722.5</v>
      </c>
      <c r="Q20" s="40">
        <f t="shared" si="4"/>
        <v>34640</v>
      </c>
      <c r="R20" s="40">
        <f>-U19</f>
        <v>40362.5</v>
      </c>
      <c r="S20" s="40"/>
      <c r="T20" s="40" t="s">
        <v>560</v>
      </c>
      <c r="U20" s="393">
        <v>-379750</v>
      </c>
    </row>
    <row r="21" spans="1:21" x14ac:dyDescent="0.25">
      <c r="A21" s="60">
        <f t="shared" si="3"/>
        <v>8</v>
      </c>
      <c r="B21" s="54" t="s">
        <v>562</v>
      </c>
      <c r="C21" s="224">
        <f t="shared" si="0"/>
        <v>1383</v>
      </c>
      <c r="D21" s="219">
        <f t="shared" si="1"/>
        <v>1383</v>
      </c>
      <c r="E21" s="219">
        <f t="shared" si="2"/>
        <v>0</v>
      </c>
      <c r="F21" s="121"/>
      <c r="G21" s="383" t="s">
        <v>562</v>
      </c>
      <c r="H21" s="34">
        <v>-373.46</v>
      </c>
      <c r="I21" s="34">
        <v>0</v>
      </c>
      <c r="J21" s="34">
        <v>-1383</v>
      </c>
      <c r="K21" s="134"/>
      <c r="L21" s="34">
        <v>-1383</v>
      </c>
      <c r="M21" s="384" t="s">
        <v>561</v>
      </c>
      <c r="O21" s="383" t="s">
        <v>619</v>
      </c>
      <c r="P21" s="40">
        <f>-J26</f>
        <v>11657.5</v>
      </c>
      <c r="Q21" s="40">
        <f t="shared" si="4"/>
        <v>106545</v>
      </c>
      <c r="R21" s="40">
        <f>-U28</f>
        <v>118202.5</v>
      </c>
      <c r="S21" s="40"/>
      <c r="T21" s="40" t="s">
        <v>562</v>
      </c>
      <c r="U21" s="393">
        <v>-22224.82</v>
      </c>
    </row>
    <row r="22" spans="1:21" x14ac:dyDescent="0.25">
      <c r="A22" s="60">
        <f t="shared" si="3"/>
        <v>9</v>
      </c>
      <c r="B22" s="54" t="s">
        <v>563</v>
      </c>
      <c r="C22" s="224">
        <f t="shared" si="0"/>
        <v>34700</v>
      </c>
      <c r="D22" s="219">
        <f t="shared" si="1"/>
        <v>34433.333333333336</v>
      </c>
      <c r="E22" s="219">
        <f t="shared" si="2"/>
        <v>-266.66666666666424</v>
      </c>
      <c r="F22" s="121"/>
      <c r="G22" s="383" t="s">
        <v>563</v>
      </c>
      <c r="H22" s="34">
        <v>-31550</v>
      </c>
      <c r="I22" s="34">
        <v>-37050</v>
      </c>
      <c r="J22" s="34">
        <v>-34700</v>
      </c>
      <c r="K22" s="134"/>
      <c r="L22" s="34">
        <v>-34433.333333333336</v>
      </c>
      <c r="M22" s="384" t="s">
        <v>556</v>
      </c>
      <c r="O22" s="383" t="s">
        <v>310</v>
      </c>
      <c r="P22" s="40">
        <f>-J20</f>
        <v>33220</v>
      </c>
      <c r="Q22" s="40">
        <f t="shared" si="4"/>
        <v>346530</v>
      </c>
      <c r="R22" s="40">
        <f>-U20</f>
        <v>379750</v>
      </c>
      <c r="S22" s="40"/>
      <c r="T22" s="40" t="s">
        <v>563</v>
      </c>
      <c r="U22" s="393">
        <v>-37570</v>
      </c>
    </row>
    <row r="23" spans="1:21" x14ac:dyDescent="0.25">
      <c r="A23" s="60">
        <f t="shared" si="3"/>
        <v>10</v>
      </c>
      <c r="B23" s="54" t="s">
        <v>564</v>
      </c>
      <c r="C23" s="224">
        <f t="shared" si="0"/>
        <v>15900</v>
      </c>
      <c r="D23" s="219">
        <f t="shared" si="1"/>
        <v>15900</v>
      </c>
      <c r="E23" s="219">
        <f t="shared" si="2"/>
        <v>0</v>
      </c>
      <c r="F23" s="121"/>
      <c r="G23" s="383" t="s">
        <v>564</v>
      </c>
      <c r="H23" s="34">
        <v>-11780</v>
      </c>
      <c r="I23" s="34">
        <v>-13705</v>
      </c>
      <c r="J23" s="34">
        <v>-15900</v>
      </c>
      <c r="K23" s="134"/>
      <c r="L23" s="34">
        <v>-15900</v>
      </c>
      <c r="M23" s="384" t="s">
        <v>561</v>
      </c>
      <c r="O23" s="383" t="s">
        <v>311</v>
      </c>
      <c r="P23" s="40">
        <f>-J29</f>
        <v>18356.309999999998</v>
      </c>
      <c r="Q23" s="40">
        <f t="shared" si="4"/>
        <v>169005.28</v>
      </c>
      <c r="R23" s="40">
        <f>-U32</f>
        <v>187361.59</v>
      </c>
      <c r="S23" s="40"/>
      <c r="T23" s="40" t="s">
        <v>564</v>
      </c>
      <c r="U23" s="393">
        <v>-273675.90999999997</v>
      </c>
    </row>
    <row r="24" spans="1:21" x14ac:dyDescent="0.25">
      <c r="A24" s="60">
        <f t="shared" si="3"/>
        <v>11</v>
      </c>
      <c r="B24" s="54" t="s">
        <v>565</v>
      </c>
      <c r="C24" s="224">
        <f t="shared" si="0"/>
        <v>1200</v>
      </c>
      <c r="D24" s="219">
        <f t="shared" si="1"/>
        <v>1716.6666666666667</v>
      </c>
      <c r="E24" s="219">
        <f t="shared" si="2"/>
        <v>516.66666666666674</v>
      </c>
      <c r="F24" s="121"/>
      <c r="G24" s="383" t="s">
        <v>565</v>
      </c>
      <c r="H24" s="34">
        <v>-1700</v>
      </c>
      <c r="I24" s="34">
        <v>-2250</v>
      </c>
      <c r="J24" s="34">
        <v>-1200</v>
      </c>
      <c r="K24" s="134"/>
      <c r="L24" s="34">
        <v>-1716.6666666666667</v>
      </c>
      <c r="M24" s="384" t="s">
        <v>556</v>
      </c>
      <c r="O24" s="383" t="s">
        <v>312</v>
      </c>
      <c r="P24" s="40">
        <f>-J31</f>
        <v>74464.737622999979</v>
      </c>
      <c r="Q24" s="40">
        <f t="shared" si="4"/>
        <v>715230.08237700001</v>
      </c>
      <c r="R24" s="40">
        <f>-U31</f>
        <v>789694.82</v>
      </c>
      <c r="S24" s="40"/>
      <c r="T24" s="40" t="s">
        <v>565</v>
      </c>
      <c r="U24" s="393">
        <v>-1360</v>
      </c>
    </row>
    <row r="25" spans="1:21" x14ac:dyDescent="0.25">
      <c r="A25" s="60">
        <f t="shared" si="3"/>
        <v>12</v>
      </c>
      <c r="B25" s="54" t="s">
        <v>566</v>
      </c>
      <c r="C25" s="224">
        <f t="shared" si="0"/>
        <v>550</v>
      </c>
      <c r="D25" s="219">
        <f t="shared" si="1"/>
        <v>550</v>
      </c>
      <c r="E25" s="219">
        <f t="shared" si="2"/>
        <v>0</v>
      </c>
      <c r="F25" s="121"/>
      <c r="G25" s="383" t="s">
        <v>566</v>
      </c>
      <c r="H25" s="34">
        <v>-1070</v>
      </c>
      <c r="I25" s="34">
        <v>-795</v>
      </c>
      <c r="J25" s="34">
        <v>-550</v>
      </c>
      <c r="K25" s="34"/>
      <c r="L25" s="34">
        <v>-550</v>
      </c>
      <c r="M25" s="384" t="s">
        <v>559</v>
      </c>
      <c r="O25" s="383" t="s">
        <v>620</v>
      </c>
      <c r="P25" s="75">
        <f>-J21-J30</f>
        <v>1983</v>
      </c>
      <c r="Q25" s="75">
        <f>+R25-P25</f>
        <v>377811.82</v>
      </c>
      <c r="R25" s="75">
        <f>-U29-U30-U33-U34-U35-U38-U39-U21-U17-U18</f>
        <v>379794.82</v>
      </c>
      <c r="S25" s="40"/>
      <c r="T25" s="40" t="s">
        <v>566</v>
      </c>
      <c r="U25" s="393">
        <v>-9460</v>
      </c>
    </row>
    <row r="26" spans="1:21" x14ac:dyDescent="0.25">
      <c r="A26" s="60">
        <f t="shared" si="3"/>
        <v>13</v>
      </c>
      <c r="B26" s="54" t="s">
        <v>567</v>
      </c>
      <c r="C26" s="224">
        <f t="shared" si="0"/>
        <v>11657.5</v>
      </c>
      <c r="D26" s="219">
        <f t="shared" si="1"/>
        <v>11657.5</v>
      </c>
      <c r="E26" s="219">
        <f t="shared" si="2"/>
        <v>0</v>
      </c>
      <c r="F26" s="121"/>
      <c r="G26" s="385" t="s">
        <v>567</v>
      </c>
      <c r="H26" s="135">
        <v>-9900</v>
      </c>
      <c r="I26" s="135">
        <v>-10740</v>
      </c>
      <c r="J26" s="135">
        <v>-11657.5</v>
      </c>
      <c r="K26" s="34"/>
      <c r="L26" s="34">
        <v>-11657.5</v>
      </c>
      <c r="M26" s="384" t="s">
        <v>561</v>
      </c>
      <c r="O26" s="383"/>
      <c r="P26" s="40">
        <f>SUM(P18:P25)</f>
        <v>288798.38762299996</v>
      </c>
      <c r="Q26" s="40">
        <f>SUM(Q18:Q25)</f>
        <v>4257771.5423769997</v>
      </c>
      <c r="R26" s="40">
        <f>SUM(R18:R25)</f>
        <v>4546569.93</v>
      </c>
      <c r="S26" s="40"/>
      <c r="T26" s="40" t="s">
        <v>558</v>
      </c>
      <c r="U26" s="393">
        <v>-273340</v>
      </c>
    </row>
    <row r="27" spans="1:21" x14ac:dyDescent="0.25">
      <c r="A27" s="60">
        <f t="shared" si="3"/>
        <v>14</v>
      </c>
      <c r="B27" s="54" t="s">
        <v>568</v>
      </c>
      <c r="C27" s="224">
        <f t="shared" si="0"/>
        <v>300</v>
      </c>
      <c r="D27" s="219">
        <f t="shared" si="1"/>
        <v>300</v>
      </c>
      <c r="E27" s="219">
        <f t="shared" si="2"/>
        <v>0</v>
      </c>
      <c r="F27" s="121"/>
      <c r="G27" s="383" t="s">
        <v>568</v>
      </c>
      <c r="H27" s="34">
        <v>-100</v>
      </c>
      <c r="I27" s="34">
        <v>-500</v>
      </c>
      <c r="J27" s="34">
        <v>-300</v>
      </c>
      <c r="K27" s="34"/>
      <c r="L27" s="34">
        <v>-300</v>
      </c>
      <c r="M27" s="384" t="s">
        <v>556</v>
      </c>
      <c r="O27" s="383"/>
      <c r="P27" s="40"/>
      <c r="Q27" s="40"/>
      <c r="R27" s="40"/>
      <c r="S27" s="40"/>
      <c r="T27" s="40" t="s">
        <v>568</v>
      </c>
      <c r="U27" s="393">
        <v>-13800</v>
      </c>
    </row>
    <row r="28" spans="1:21" x14ac:dyDescent="0.25">
      <c r="A28" s="60">
        <f t="shared" si="3"/>
        <v>15</v>
      </c>
      <c r="B28" s="54" t="s">
        <v>569</v>
      </c>
      <c r="C28" s="224">
        <f t="shared" si="0"/>
        <v>0</v>
      </c>
      <c r="D28" s="219">
        <f t="shared" si="1"/>
        <v>-7.666666666666667</v>
      </c>
      <c r="E28" s="219">
        <f t="shared" si="2"/>
        <v>-7.666666666666667</v>
      </c>
      <c r="F28" s="121"/>
      <c r="G28" s="383" t="s">
        <v>569</v>
      </c>
      <c r="H28" s="34">
        <v>30</v>
      </c>
      <c r="I28" s="34">
        <v>-7</v>
      </c>
      <c r="J28" s="34">
        <v>0</v>
      </c>
      <c r="K28" s="34"/>
      <c r="L28" s="34">
        <v>7.666666666666667</v>
      </c>
      <c r="M28" s="384" t="s">
        <v>556</v>
      </c>
      <c r="O28" s="383"/>
      <c r="P28" s="40"/>
      <c r="Q28" s="40"/>
      <c r="R28" s="40"/>
      <c r="S28" s="40"/>
      <c r="T28" s="40" t="s">
        <v>567</v>
      </c>
      <c r="U28" s="393">
        <v>-118202.5</v>
      </c>
    </row>
    <row r="29" spans="1:21" x14ac:dyDescent="0.25">
      <c r="A29" s="60">
        <f t="shared" si="3"/>
        <v>16</v>
      </c>
      <c r="B29" s="54" t="s">
        <v>570</v>
      </c>
      <c r="C29" s="224">
        <f t="shared" si="0"/>
        <v>18356.309999999998</v>
      </c>
      <c r="D29" s="219">
        <f t="shared" si="1"/>
        <v>19364.513333333332</v>
      </c>
      <c r="E29" s="219">
        <f t="shared" si="2"/>
        <v>1008.2033333333347</v>
      </c>
      <c r="F29" s="121"/>
      <c r="G29" s="383" t="s">
        <v>570</v>
      </c>
      <c r="H29" s="34">
        <v>-19525.349999999999</v>
      </c>
      <c r="I29" s="34">
        <v>-20211.88</v>
      </c>
      <c r="J29" s="34">
        <v>-18356.309999999998</v>
      </c>
      <c r="K29" s="34"/>
      <c r="L29" s="34">
        <v>-19364.513333333332</v>
      </c>
      <c r="M29" s="384" t="s">
        <v>556</v>
      </c>
      <c r="O29" s="383"/>
      <c r="P29" s="40"/>
      <c r="Q29" s="40"/>
      <c r="R29" s="40"/>
      <c r="S29" s="40"/>
      <c r="T29" s="40" t="s">
        <v>569</v>
      </c>
      <c r="U29" s="393">
        <v>-12080</v>
      </c>
    </row>
    <row r="30" spans="1:21" x14ac:dyDescent="0.25">
      <c r="A30" s="60">
        <f t="shared" si="3"/>
        <v>17</v>
      </c>
      <c r="B30" s="54" t="s">
        <v>571</v>
      </c>
      <c r="C30" s="220">
        <f t="shared" si="0"/>
        <v>600</v>
      </c>
      <c r="D30" s="219">
        <f t="shared" si="1"/>
        <v>1369.88</v>
      </c>
      <c r="E30" s="219">
        <f t="shared" si="2"/>
        <v>769.88000000000011</v>
      </c>
      <c r="F30" s="121"/>
      <c r="G30" s="383" t="s">
        <v>571</v>
      </c>
      <c r="H30" s="34">
        <v>-1595.92</v>
      </c>
      <c r="I30" s="34">
        <v>-1913.72</v>
      </c>
      <c r="J30" s="34">
        <v>-600</v>
      </c>
      <c r="K30" s="34"/>
      <c r="L30" s="34">
        <v>-1369.88</v>
      </c>
      <c r="M30" s="384" t="s">
        <v>556</v>
      </c>
      <c r="O30" s="383"/>
      <c r="P30" s="40"/>
      <c r="Q30" s="40"/>
      <c r="R30" s="40"/>
      <c r="S30" s="40"/>
      <c r="T30" s="40" t="s">
        <v>686</v>
      </c>
      <c r="U30" s="393">
        <v>-184961.34</v>
      </c>
    </row>
    <row r="31" spans="1:21" x14ac:dyDescent="0.25">
      <c r="A31" s="60">
        <f t="shared" si="3"/>
        <v>18</v>
      </c>
      <c r="B31" s="54" t="s">
        <v>572</v>
      </c>
      <c r="C31" s="221">
        <f t="shared" si="0"/>
        <v>74464.737622999979</v>
      </c>
      <c r="D31" s="217">
        <f t="shared" si="1"/>
        <v>21689.164049999996</v>
      </c>
      <c r="E31" s="217">
        <f t="shared" si="2"/>
        <v>-52775.573572999987</v>
      </c>
      <c r="F31" s="119"/>
      <c r="G31" s="383" t="s">
        <v>572</v>
      </c>
      <c r="H31" s="66">
        <v>-42609.246992999993</v>
      </c>
      <c r="I31" s="66">
        <v>-31855.490629999993</v>
      </c>
      <c r="J31" s="66">
        <v>-74464.737622999979</v>
      </c>
      <c r="K31" s="34"/>
      <c r="L31" s="66">
        <v>-21689.164049999996</v>
      </c>
      <c r="M31" s="384" t="s">
        <v>573</v>
      </c>
      <c r="O31" s="383"/>
      <c r="P31" s="40"/>
      <c r="Q31" s="40"/>
      <c r="R31" s="40"/>
      <c r="S31" s="40"/>
      <c r="T31" s="40" t="s">
        <v>572</v>
      </c>
      <c r="U31" s="393">
        <v>-789694.82</v>
      </c>
    </row>
    <row r="32" spans="1:21" x14ac:dyDescent="0.2">
      <c r="C32" s="64"/>
      <c r="D32" s="64"/>
      <c r="E32" s="64"/>
      <c r="G32" s="383" t="s">
        <v>574</v>
      </c>
      <c r="H32" s="34">
        <v>-240646.86699300003</v>
      </c>
      <c r="I32" s="34">
        <v>-257752.27062999998</v>
      </c>
      <c r="J32" s="34">
        <v>-288798.38762299996</v>
      </c>
      <c r="K32" s="34"/>
      <c r="L32" s="34">
        <v>-239204.36071666668</v>
      </c>
      <c r="M32" s="384"/>
      <c r="O32" s="383"/>
      <c r="P32" s="40"/>
      <c r="Q32" s="40"/>
      <c r="R32" s="40"/>
      <c r="S32" s="40"/>
      <c r="T32" s="40" t="s">
        <v>570</v>
      </c>
      <c r="U32" s="393">
        <v>-187361.59</v>
      </c>
    </row>
    <row r="33" spans="1:21" x14ac:dyDescent="0.2">
      <c r="A33" s="60">
        <f>+A25+1</f>
        <v>13</v>
      </c>
      <c r="B33" s="118" t="s">
        <v>342</v>
      </c>
      <c r="C33" s="217">
        <f>SUM(C17:C32)</f>
        <v>288798.38762299996</v>
      </c>
      <c r="D33" s="217">
        <f>SUM(D17:D32)</f>
        <v>239204.36071666668</v>
      </c>
      <c r="E33" s="217">
        <f>SUM(E17:E32)</f>
        <v>-49594.026906333311</v>
      </c>
      <c r="F33" s="119"/>
      <c r="G33" s="383"/>
      <c r="H33" s="34"/>
      <c r="I33" s="34"/>
      <c r="J33" s="34"/>
      <c r="K33" s="34"/>
      <c r="L33" s="34"/>
      <c r="M33" s="384"/>
      <c r="O33" s="383"/>
      <c r="P33" s="40"/>
      <c r="Q33" s="40"/>
      <c r="R33" s="40"/>
      <c r="S33" s="40"/>
      <c r="T33" s="40" t="s">
        <v>687</v>
      </c>
      <c r="U33" s="393">
        <v>-229.76</v>
      </c>
    </row>
    <row r="34" spans="1:21" x14ac:dyDescent="0.2">
      <c r="A34" s="60"/>
      <c r="C34" s="219"/>
      <c r="D34" s="219"/>
      <c r="E34" s="219"/>
      <c r="F34" s="121"/>
      <c r="G34" s="383"/>
      <c r="H34" s="34"/>
      <c r="I34" s="34"/>
      <c r="J34" s="34"/>
      <c r="K34" s="34"/>
      <c r="L34" s="34"/>
      <c r="M34" s="384"/>
      <c r="O34" s="383"/>
      <c r="P34" s="40"/>
      <c r="Q34" s="40"/>
      <c r="R34" s="40"/>
      <c r="S34" s="40"/>
      <c r="T34" s="40" t="s">
        <v>571</v>
      </c>
      <c r="U34" s="393">
        <v>-59926.400000000001</v>
      </c>
    </row>
    <row r="35" spans="1:21" ht="15.75" thickBot="1" x14ac:dyDescent="0.25">
      <c r="A35" s="60">
        <f>+A33+1</f>
        <v>14</v>
      </c>
      <c r="B35" s="118" t="s">
        <v>66</v>
      </c>
      <c r="C35" s="222">
        <f>C33+C13</f>
        <v>-2048364.0723769995</v>
      </c>
      <c r="D35" s="222">
        <f>D33+D13</f>
        <v>239204.36071666668</v>
      </c>
      <c r="E35" s="222">
        <f>E33+E13</f>
        <v>2287568.4330936661</v>
      </c>
      <c r="F35" s="124"/>
      <c r="G35" s="383"/>
      <c r="H35" s="34"/>
      <c r="I35" s="34"/>
      <c r="J35" s="34"/>
      <c r="K35" s="34"/>
      <c r="L35" s="34"/>
      <c r="M35" s="384"/>
      <c r="O35" s="383"/>
      <c r="P35" s="40"/>
      <c r="Q35" s="40"/>
      <c r="R35" s="40"/>
      <c r="S35" s="40"/>
      <c r="T35" s="40" t="s">
        <v>688</v>
      </c>
      <c r="U35" s="393">
        <v>-58651</v>
      </c>
    </row>
    <row r="36" spans="1:21" ht="15.75" thickTop="1" x14ac:dyDescent="0.2">
      <c r="C36" s="33"/>
      <c r="D36" s="33"/>
      <c r="E36" s="33"/>
      <c r="F36" s="33"/>
      <c r="G36" s="383" t="s">
        <v>572</v>
      </c>
      <c r="H36" s="34">
        <v>-248845.84</v>
      </c>
      <c r="I36" s="34">
        <v>-178952.27</v>
      </c>
      <c r="J36" s="34">
        <v>-78180.579999999987</v>
      </c>
      <c r="K36" s="34"/>
      <c r="L36" s="34">
        <v>-78180.579999999987</v>
      </c>
      <c r="M36" s="384" t="s">
        <v>559</v>
      </c>
      <c r="O36" s="383"/>
      <c r="P36" s="40"/>
      <c r="Q36" s="40"/>
      <c r="R36" s="40"/>
      <c r="S36" s="40"/>
      <c r="T36" s="40" t="s">
        <v>689</v>
      </c>
      <c r="U36" s="393"/>
    </row>
    <row r="37" spans="1:21" x14ac:dyDescent="0.2">
      <c r="C37" s="33"/>
      <c r="D37" s="33"/>
      <c r="E37" s="33"/>
      <c r="F37" s="33"/>
      <c r="G37" s="383" t="s">
        <v>572</v>
      </c>
      <c r="H37" s="34">
        <v>-81529.490000000005</v>
      </c>
      <c r="I37" s="34">
        <v>-55493.030000000013</v>
      </c>
      <c r="J37" s="34">
        <v>-59702.240000000013</v>
      </c>
      <c r="K37" s="34"/>
      <c r="L37" s="34">
        <v>-65574.920000000013</v>
      </c>
      <c r="M37" s="384" t="s">
        <v>556</v>
      </c>
      <c r="O37" s="383"/>
      <c r="P37" s="40"/>
      <c r="Q37" s="40"/>
      <c r="R37" s="40"/>
      <c r="S37" s="40"/>
      <c r="T37" s="40" t="s">
        <v>690</v>
      </c>
      <c r="U37" s="393"/>
    </row>
    <row r="38" spans="1:21" x14ac:dyDescent="0.2">
      <c r="G38" s="383" t="s">
        <v>572</v>
      </c>
      <c r="H38" s="34">
        <v>-1931.25</v>
      </c>
      <c r="I38" s="34">
        <v>0</v>
      </c>
      <c r="J38" s="34">
        <v>0</v>
      </c>
      <c r="K38" s="34"/>
      <c r="L38" s="34">
        <v>0</v>
      </c>
      <c r="M38" s="384" t="s">
        <v>559</v>
      </c>
      <c r="O38" s="383"/>
      <c r="P38" s="40"/>
      <c r="Q38" s="40"/>
      <c r="R38" s="40"/>
      <c r="S38" s="40"/>
      <c r="T38" s="40" t="s">
        <v>691</v>
      </c>
      <c r="U38" s="393">
        <v>-1376</v>
      </c>
    </row>
    <row r="39" spans="1:21" x14ac:dyDescent="0.2">
      <c r="A39" s="54" t="s">
        <v>859</v>
      </c>
      <c r="C39" s="223"/>
      <c r="G39" s="383" t="s">
        <v>572</v>
      </c>
      <c r="H39" s="34">
        <v>-42000</v>
      </c>
      <c r="I39" s="34">
        <v>-42000</v>
      </c>
      <c r="J39" s="34">
        <v>-42000</v>
      </c>
      <c r="K39" s="34"/>
      <c r="L39" s="34">
        <v>-42000</v>
      </c>
      <c r="M39" s="384" t="s">
        <v>575</v>
      </c>
      <c r="O39" s="383"/>
      <c r="P39" s="40"/>
      <c r="Q39" s="40"/>
      <c r="R39" s="40"/>
      <c r="S39" s="40"/>
      <c r="T39" s="40" t="s">
        <v>692</v>
      </c>
      <c r="U39" s="396">
        <v>-3026.7</v>
      </c>
    </row>
    <row r="40" spans="1:21" ht="15.75" thickBot="1" x14ac:dyDescent="0.25">
      <c r="G40" s="383" t="s">
        <v>572</v>
      </c>
      <c r="H40" s="34">
        <v>-5793.75</v>
      </c>
      <c r="I40" s="34">
        <v>-7725</v>
      </c>
      <c r="J40" s="34">
        <v>-7725</v>
      </c>
      <c r="K40" s="34"/>
      <c r="L40" s="34">
        <v>-7725</v>
      </c>
      <c r="M40" s="384" t="s">
        <v>561</v>
      </c>
      <c r="O40" s="387"/>
      <c r="P40" s="394"/>
      <c r="Q40" s="394"/>
      <c r="R40" s="394"/>
      <c r="S40" s="394"/>
      <c r="T40" s="394" t="s">
        <v>693</v>
      </c>
      <c r="U40" s="395">
        <v>-4546569.93</v>
      </c>
    </row>
    <row r="41" spans="1:21" x14ac:dyDescent="0.2">
      <c r="G41" s="383" t="s">
        <v>572</v>
      </c>
      <c r="H41" s="66">
        <v>0</v>
      </c>
      <c r="I41" s="66">
        <v>0</v>
      </c>
      <c r="J41" s="66">
        <v>-600000</v>
      </c>
      <c r="K41" s="34"/>
      <c r="L41" s="66">
        <v>0</v>
      </c>
      <c r="M41" s="384" t="s">
        <v>576</v>
      </c>
    </row>
    <row r="42" spans="1:21" x14ac:dyDescent="0.2">
      <c r="C42" s="33"/>
      <c r="D42" s="33"/>
      <c r="E42" s="33"/>
      <c r="F42" s="33"/>
      <c r="G42" s="383"/>
      <c r="H42" s="34">
        <v>-380100.33</v>
      </c>
      <c r="I42" s="34">
        <v>-284170.3</v>
      </c>
      <c r="J42" s="34">
        <v>-664270.63</v>
      </c>
      <c r="K42" s="34"/>
      <c r="L42" s="34">
        <v>-193480.5</v>
      </c>
      <c r="M42" s="384"/>
    </row>
    <row r="43" spans="1:21" x14ac:dyDescent="0.2">
      <c r="C43" s="33"/>
      <c r="D43" s="33"/>
      <c r="E43" s="33"/>
      <c r="F43" s="33"/>
      <c r="G43" s="383"/>
      <c r="H43" s="34"/>
      <c r="I43" s="34"/>
      <c r="J43" s="34"/>
      <c r="K43" s="34"/>
      <c r="L43" s="34"/>
      <c r="M43" s="384"/>
    </row>
    <row r="44" spans="1:21" x14ac:dyDescent="0.2">
      <c r="C44" s="33"/>
      <c r="D44" s="33"/>
      <c r="E44" s="33"/>
      <c r="F44" s="33"/>
      <c r="G44" s="383"/>
      <c r="H44" s="386">
        <v>0.11209999999999998</v>
      </c>
      <c r="I44" s="386">
        <v>0.11209999999999998</v>
      </c>
      <c r="J44" s="386">
        <v>0.11209999999999998</v>
      </c>
      <c r="K44" s="386"/>
      <c r="L44" s="386">
        <v>0.11209999999999998</v>
      </c>
      <c r="M44" s="384" t="s">
        <v>577</v>
      </c>
    </row>
    <row r="45" spans="1:21" ht="15.75" thickBot="1" x14ac:dyDescent="0.25">
      <c r="C45" s="33"/>
      <c r="D45" s="33"/>
      <c r="E45" s="33"/>
      <c r="F45" s="33"/>
      <c r="G45" s="387"/>
      <c r="H45" s="388">
        <v>-42609.246992999993</v>
      </c>
      <c r="I45" s="388">
        <v>-31855.490629999993</v>
      </c>
      <c r="J45" s="388">
        <v>-74464.737622999979</v>
      </c>
      <c r="K45" s="388"/>
      <c r="L45" s="388">
        <v>-21689.164049999996</v>
      </c>
      <c r="M45" s="389"/>
    </row>
    <row r="46" spans="1:21" x14ac:dyDescent="0.2">
      <c r="C46" s="33"/>
      <c r="D46" s="33"/>
      <c r="E46" s="33"/>
      <c r="F46" s="33"/>
    </row>
    <row r="47" spans="1:21" x14ac:dyDescent="0.2">
      <c r="C47" s="33"/>
      <c r="D47" s="33"/>
      <c r="E47" s="33"/>
      <c r="F47" s="33"/>
    </row>
    <row r="48" spans="1:21" x14ac:dyDescent="0.2">
      <c r="C48" s="33"/>
      <c r="D48" s="33"/>
      <c r="E48" s="33"/>
      <c r="F48" s="33"/>
    </row>
    <row r="49" spans="3:6" x14ac:dyDescent="0.2">
      <c r="C49" s="33"/>
      <c r="D49" s="33"/>
      <c r="E49" s="33"/>
      <c r="F49" s="33"/>
    </row>
    <row r="50" spans="3:6" x14ac:dyDescent="0.2">
      <c r="C50" s="33"/>
      <c r="D50" s="33"/>
      <c r="E50" s="33"/>
      <c r="F50" s="33"/>
    </row>
    <row r="51" spans="3:6" x14ac:dyDescent="0.2">
      <c r="C51" s="33"/>
      <c r="D51" s="33"/>
      <c r="E51" s="33"/>
      <c r="F51" s="33"/>
    </row>
    <row r="52" spans="3:6" x14ac:dyDescent="0.2">
      <c r="C52" s="33"/>
      <c r="D52" s="33"/>
      <c r="E52" s="33"/>
      <c r="F52" s="33"/>
    </row>
    <row r="53" spans="3:6" x14ac:dyDescent="0.2">
      <c r="C53" s="33"/>
      <c r="D53" s="33"/>
      <c r="E53" s="33"/>
      <c r="F53" s="33"/>
    </row>
    <row r="54" spans="3:6" x14ac:dyDescent="0.2">
      <c r="C54" s="33"/>
      <c r="D54" s="33"/>
      <c r="E54" s="33"/>
      <c r="F54" s="33"/>
    </row>
    <row r="55" spans="3:6" x14ac:dyDescent="0.2">
      <c r="C55" s="33"/>
      <c r="D55" s="33"/>
      <c r="E55" s="33"/>
      <c r="F55" s="33"/>
    </row>
    <row r="56" spans="3:6" x14ac:dyDescent="0.2">
      <c r="C56" s="33"/>
      <c r="D56" s="33"/>
      <c r="E56" s="33"/>
      <c r="F56" s="33"/>
    </row>
    <row r="57" spans="3:6" x14ac:dyDescent="0.2">
      <c r="C57" s="33"/>
      <c r="D57" s="33"/>
      <c r="E57" s="33"/>
      <c r="F57" s="33"/>
    </row>
    <row r="58" spans="3:6" x14ac:dyDescent="0.2">
      <c r="C58" s="33"/>
      <c r="D58" s="33"/>
      <c r="E58" s="33"/>
      <c r="F58" s="33"/>
    </row>
    <row r="59" spans="3:6" x14ac:dyDescent="0.2">
      <c r="C59" s="33"/>
      <c r="D59" s="33"/>
      <c r="E59" s="33"/>
      <c r="F59" s="33"/>
    </row>
    <row r="60" spans="3:6" x14ac:dyDescent="0.2">
      <c r="C60" s="33"/>
      <c r="D60" s="33"/>
      <c r="E60" s="33"/>
      <c r="F60" s="33"/>
    </row>
    <row r="61" spans="3:6" x14ac:dyDescent="0.2">
      <c r="C61" s="33"/>
      <c r="D61" s="33"/>
      <c r="E61" s="33"/>
      <c r="F61" s="33"/>
    </row>
    <row r="62" spans="3:6" x14ac:dyDescent="0.2">
      <c r="C62" s="33"/>
      <c r="D62" s="33"/>
      <c r="E62" s="33"/>
      <c r="F62" s="33"/>
    </row>
    <row r="63" spans="3:6" x14ac:dyDescent="0.2">
      <c r="C63" s="33"/>
      <c r="D63" s="33"/>
      <c r="E63" s="33"/>
      <c r="F63" s="33"/>
    </row>
    <row r="64" spans="3:6" x14ac:dyDescent="0.2">
      <c r="C64" s="33"/>
      <c r="D64" s="33"/>
      <c r="E64" s="33"/>
      <c r="F64" s="33"/>
    </row>
    <row r="65" spans="3:6" x14ac:dyDescent="0.2">
      <c r="C65" s="33"/>
      <c r="D65" s="33"/>
      <c r="E65" s="33"/>
      <c r="F65" s="33"/>
    </row>
    <row r="66" spans="3:6" x14ac:dyDescent="0.2">
      <c r="C66" s="33"/>
      <c r="D66" s="33"/>
      <c r="E66" s="33"/>
      <c r="F66" s="33"/>
    </row>
    <row r="67" spans="3:6" x14ac:dyDescent="0.2">
      <c r="C67" s="33"/>
      <c r="D67" s="33"/>
      <c r="E67" s="33"/>
      <c r="F67" s="33"/>
    </row>
    <row r="68" spans="3:6" x14ac:dyDescent="0.2">
      <c r="C68" s="33"/>
      <c r="D68" s="33"/>
      <c r="E68" s="33"/>
      <c r="F68" s="33"/>
    </row>
    <row r="69" spans="3:6" x14ac:dyDescent="0.2">
      <c r="C69" s="33"/>
      <c r="D69" s="33"/>
      <c r="E69" s="33"/>
      <c r="F69" s="33"/>
    </row>
    <row r="70" spans="3:6" x14ac:dyDescent="0.2">
      <c r="C70" s="33"/>
      <c r="D70" s="33"/>
      <c r="E70" s="33"/>
      <c r="F70" s="33"/>
    </row>
    <row r="71" spans="3:6" x14ac:dyDescent="0.2">
      <c r="C71" s="33"/>
      <c r="D71" s="33"/>
      <c r="E71" s="33"/>
      <c r="F71" s="33"/>
    </row>
    <row r="72" spans="3:6" x14ac:dyDescent="0.2">
      <c r="C72" s="33"/>
      <c r="D72" s="33"/>
      <c r="E72" s="33"/>
      <c r="F72" s="33"/>
    </row>
    <row r="73" spans="3:6" x14ac:dyDescent="0.2">
      <c r="C73" s="33"/>
      <c r="D73" s="33"/>
      <c r="E73" s="33"/>
      <c r="F73" s="33"/>
    </row>
    <row r="74" spans="3:6" x14ac:dyDescent="0.2">
      <c r="C74" s="33"/>
      <c r="D74" s="33"/>
      <c r="E74" s="33"/>
      <c r="F74" s="33"/>
    </row>
    <row r="75" spans="3:6" x14ac:dyDescent="0.2">
      <c r="C75" s="33"/>
      <c r="D75" s="33"/>
      <c r="E75" s="33"/>
      <c r="F75" s="33"/>
    </row>
    <row r="76" spans="3:6" x14ac:dyDescent="0.2">
      <c r="C76" s="33"/>
      <c r="D76" s="33"/>
      <c r="E76" s="33"/>
      <c r="F76" s="33"/>
    </row>
    <row r="77" spans="3:6" x14ac:dyDescent="0.2">
      <c r="C77" s="33"/>
      <c r="D77" s="33"/>
      <c r="E77" s="33"/>
      <c r="F77" s="33"/>
    </row>
    <row r="78" spans="3:6" x14ac:dyDescent="0.2">
      <c r="C78" s="33"/>
      <c r="D78" s="33"/>
      <c r="E78" s="33"/>
      <c r="F78" s="33"/>
    </row>
    <row r="79" spans="3:6" x14ac:dyDescent="0.2">
      <c r="C79" s="33"/>
      <c r="D79" s="33"/>
      <c r="E79" s="33"/>
      <c r="F79" s="33"/>
    </row>
    <row r="80" spans="3:6" x14ac:dyDescent="0.2">
      <c r="C80" s="33"/>
      <c r="D80" s="33"/>
      <c r="E80" s="33"/>
      <c r="F80" s="33"/>
    </row>
    <row r="81" spans="3:6" x14ac:dyDescent="0.2">
      <c r="C81" s="33"/>
      <c r="D81" s="33"/>
      <c r="E81" s="33"/>
      <c r="F81" s="33"/>
    </row>
    <row r="82" spans="3:6" x14ac:dyDescent="0.2">
      <c r="C82" s="33"/>
      <c r="D82" s="33"/>
      <c r="E82" s="33"/>
      <c r="F82" s="33"/>
    </row>
    <row r="83" spans="3:6" x14ac:dyDescent="0.2">
      <c r="C83" s="33"/>
      <c r="D83" s="33"/>
      <c r="E83" s="33"/>
      <c r="F83" s="33"/>
    </row>
    <row r="84" spans="3:6" x14ac:dyDescent="0.2">
      <c r="C84" s="33"/>
      <c r="D84" s="33"/>
      <c r="E84" s="33"/>
      <c r="F84" s="33"/>
    </row>
    <row r="85" spans="3:6" x14ac:dyDescent="0.2">
      <c r="C85" s="33"/>
      <c r="D85" s="33"/>
      <c r="E85" s="33"/>
      <c r="F85" s="33"/>
    </row>
    <row r="86" spans="3:6" x14ac:dyDescent="0.2">
      <c r="C86" s="33"/>
      <c r="D86" s="33"/>
      <c r="E86" s="33"/>
      <c r="F86" s="33"/>
    </row>
    <row r="87" spans="3:6" x14ac:dyDescent="0.2">
      <c r="C87" s="33"/>
      <c r="D87" s="33"/>
      <c r="E87" s="33"/>
      <c r="F87" s="33"/>
    </row>
    <row r="88" spans="3:6" x14ac:dyDescent="0.2">
      <c r="C88" s="33"/>
      <c r="D88" s="33"/>
      <c r="E88" s="33"/>
      <c r="F88" s="33"/>
    </row>
    <row r="89" spans="3:6" x14ac:dyDescent="0.2">
      <c r="C89" s="33"/>
      <c r="D89" s="33"/>
      <c r="E89" s="33"/>
      <c r="F89" s="33"/>
    </row>
    <row r="90" spans="3:6" x14ac:dyDescent="0.2">
      <c r="C90" s="33"/>
      <c r="D90" s="33"/>
      <c r="E90" s="33"/>
      <c r="F90" s="33"/>
    </row>
    <row r="91" spans="3:6" x14ac:dyDescent="0.2">
      <c r="C91" s="33"/>
      <c r="D91" s="33"/>
      <c r="E91" s="33"/>
      <c r="F91" s="33"/>
    </row>
    <row r="92" spans="3:6" x14ac:dyDescent="0.2">
      <c r="C92" s="33"/>
      <c r="D92" s="33"/>
      <c r="E92" s="33"/>
      <c r="F92" s="33"/>
    </row>
    <row r="93" spans="3:6" x14ac:dyDescent="0.2">
      <c r="C93" s="33"/>
      <c r="D93" s="33"/>
      <c r="E93" s="33"/>
      <c r="F93" s="33"/>
    </row>
    <row r="94" spans="3:6" x14ac:dyDescent="0.2">
      <c r="C94" s="33"/>
      <c r="D94" s="33"/>
      <c r="E94" s="33"/>
      <c r="F94" s="33"/>
    </row>
    <row r="95" spans="3:6" x14ac:dyDescent="0.2">
      <c r="C95" s="33"/>
      <c r="D95" s="33"/>
      <c r="E95" s="33"/>
      <c r="F95" s="33"/>
    </row>
    <row r="96" spans="3:6" x14ac:dyDescent="0.2">
      <c r="C96" s="33"/>
      <c r="D96" s="33"/>
      <c r="E96" s="33"/>
      <c r="F96" s="33"/>
    </row>
    <row r="97" spans="3:6" x14ac:dyDescent="0.2">
      <c r="C97" s="33"/>
      <c r="D97" s="33"/>
      <c r="E97" s="33"/>
      <c r="F97" s="33"/>
    </row>
    <row r="98" spans="3:6" x14ac:dyDescent="0.2">
      <c r="C98" s="33"/>
      <c r="D98" s="33"/>
      <c r="E98" s="33"/>
      <c r="F98" s="33"/>
    </row>
    <row r="99" spans="3:6" x14ac:dyDescent="0.2">
      <c r="C99" s="33"/>
      <c r="D99" s="33"/>
      <c r="E99" s="33"/>
      <c r="F99" s="33"/>
    </row>
    <row r="100" spans="3:6" x14ac:dyDescent="0.2">
      <c r="C100" s="33"/>
      <c r="D100" s="33"/>
      <c r="E100" s="33"/>
      <c r="F100" s="33"/>
    </row>
    <row r="101" spans="3:6" x14ac:dyDescent="0.2">
      <c r="C101" s="33"/>
      <c r="D101" s="33"/>
      <c r="E101" s="33"/>
      <c r="F101" s="33"/>
    </row>
    <row r="102" spans="3:6" x14ac:dyDescent="0.2">
      <c r="C102" s="33"/>
      <c r="D102" s="33"/>
      <c r="E102" s="33"/>
      <c r="F102" s="33"/>
    </row>
    <row r="103" spans="3:6" x14ac:dyDescent="0.2">
      <c r="C103" s="33"/>
      <c r="D103" s="33"/>
      <c r="E103" s="33"/>
      <c r="F103" s="33"/>
    </row>
    <row r="104" spans="3:6" x14ac:dyDescent="0.2">
      <c r="C104" s="33"/>
      <c r="D104" s="33"/>
      <c r="E104" s="33"/>
      <c r="F104" s="33"/>
    </row>
    <row r="105" spans="3:6" x14ac:dyDescent="0.2">
      <c r="C105" s="33"/>
      <c r="D105" s="33"/>
      <c r="E105" s="33"/>
      <c r="F105" s="33"/>
    </row>
    <row r="106" spans="3:6" x14ac:dyDescent="0.2">
      <c r="C106" s="33"/>
      <c r="D106" s="33"/>
      <c r="E106" s="33"/>
      <c r="F106" s="33"/>
    </row>
    <row r="107" spans="3:6" x14ac:dyDescent="0.2">
      <c r="C107" s="33"/>
      <c r="D107" s="33"/>
      <c r="E107" s="33"/>
      <c r="F107" s="33"/>
    </row>
    <row r="108" spans="3:6" x14ac:dyDescent="0.2">
      <c r="C108" s="33"/>
      <c r="D108" s="33"/>
      <c r="E108" s="33"/>
      <c r="F108" s="33"/>
    </row>
    <row r="109" spans="3:6" x14ac:dyDescent="0.2">
      <c r="C109" s="33"/>
      <c r="D109" s="33"/>
      <c r="E109" s="33"/>
      <c r="F109" s="33"/>
    </row>
    <row r="110" spans="3:6" x14ac:dyDescent="0.2">
      <c r="C110" s="33"/>
      <c r="D110" s="33"/>
      <c r="E110" s="33"/>
      <c r="F110" s="33"/>
    </row>
    <row r="111" spans="3:6" x14ac:dyDescent="0.2">
      <c r="C111" s="33"/>
      <c r="D111" s="33"/>
      <c r="E111" s="33"/>
      <c r="F111" s="33"/>
    </row>
    <row r="112" spans="3:6" x14ac:dyDescent="0.2">
      <c r="C112" s="33"/>
      <c r="D112" s="33"/>
      <c r="E112" s="33"/>
      <c r="F112" s="33"/>
    </row>
    <row r="113" spans="3:6" x14ac:dyDescent="0.2">
      <c r="C113" s="33"/>
      <c r="D113" s="33"/>
      <c r="E113" s="33"/>
      <c r="F113" s="33"/>
    </row>
    <row r="114" spans="3:6" x14ac:dyDescent="0.2">
      <c r="C114" s="33"/>
      <c r="D114" s="33"/>
      <c r="E114" s="33"/>
      <c r="F114" s="33"/>
    </row>
    <row r="115" spans="3:6" x14ac:dyDescent="0.2">
      <c r="C115" s="33"/>
      <c r="D115" s="33"/>
      <c r="E115" s="33"/>
      <c r="F115" s="33"/>
    </row>
    <row r="116" spans="3:6" x14ac:dyDescent="0.2">
      <c r="C116" s="33"/>
      <c r="D116" s="33"/>
      <c r="E116" s="33"/>
      <c r="F116" s="33"/>
    </row>
    <row r="117" spans="3:6" x14ac:dyDescent="0.2">
      <c r="C117" s="33"/>
      <c r="D117" s="33"/>
      <c r="E117" s="33"/>
      <c r="F117" s="33"/>
    </row>
    <row r="118" spans="3:6" x14ac:dyDescent="0.2">
      <c r="C118" s="33"/>
      <c r="D118" s="33"/>
      <c r="E118" s="33"/>
      <c r="F118" s="33"/>
    </row>
    <row r="119" spans="3:6" x14ac:dyDescent="0.2">
      <c r="C119" s="33"/>
      <c r="D119" s="33"/>
      <c r="E119" s="33"/>
      <c r="F119" s="33"/>
    </row>
    <row r="120" spans="3:6" x14ac:dyDescent="0.2">
      <c r="C120" s="33"/>
      <c r="D120" s="33"/>
      <c r="E120" s="33"/>
      <c r="F120" s="33"/>
    </row>
    <row r="121" spans="3:6" x14ac:dyDescent="0.2">
      <c r="C121" s="33"/>
      <c r="D121" s="33"/>
      <c r="E121" s="33"/>
      <c r="F121" s="33"/>
    </row>
    <row r="122" spans="3:6" x14ac:dyDescent="0.2">
      <c r="C122" s="33"/>
      <c r="D122" s="33"/>
      <c r="E122" s="33"/>
      <c r="F122" s="33"/>
    </row>
    <row r="123" spans="3:6" x14ac:dyDescent="0.2">
      <c r="C123" s="33"/>
      <c r="D123" s="33"/>
      <c r="E123" s="33"/>
      <c r="F123" s="33"/>
    </row>
    <row r="124" spans="3:6" x14ac:dyDescent="0.2">
      <c r="C124" s="33"/>
      <c r="D124" s="33"/>
      <c r="E124" s="33"/>
      <c r="F124" s="33"/>
    </row>
    <row r="125" spans="3:6" x14ac:dyDescent="0.2">
      <c r="C125" s="33"/>
      <c r="D125" s="33"/>
      <c r="E125" s="33"/>
      <c r="F125" s="33"/>
    </row>
    <row r="126" spans="3:6" x14ac:dyDescent="0.2">
      <c r="C126" s="33"/>
      <c r="D126" s="33"/>
      <c r="E126" s="33"/>
      <c r="F126" s="33"/>
    </row>
    <row r="127" spans="3:6" x14ac:dyDescent="0.2">
      <c r="C127" s="33"/>
      <c r="D127" s="33"/>
      <c r="E127" s="33"/>
      <c r="F127" s="33"/>
    </row>
    <row r="128" spans="3:6" x14ac:dyDescent="0.2">
      <c r="C128" s="33"/>
      <c r="D128" s="33"/>
      <c r="E128" s="33"/>
      <c r="F128" s="33"/>
    </row>
    <row r="129" spans="3:6" x14ac:dyDescent="0.2">
      <c r="C129" s="33"/>
      <c r="D129" s="33"/>
      <c r="E129" s="33"/>
      <c r="F129" s="33"/>
    </row>
    <row r="130" spans="3:6" x14ac:dyDescent="0.2">
      <c r="C130" s="33"/>
      <c r="D130" s="33"/>
      <c r="E130" s="33"/>
      <c r="F130" s="33"/>
    </row>
    <row r="131" spans="3:6" x14ac:dyDescent="0.2">
      <c r="C131" s="33"/>
      <c r="D131" s="33"/>
      <c r="E131" s="33"/>
      <c r="F131" s="33"/>
    </row>
    <row r="132" spans="3:6" x14ac:dyDescent="0.2">
      <c r="C132" s="33"/>
      <c r="D132" s="33"/>
      <c r="E132" s="33"/>
      <c r="F132" s="33"/>
    </row>
    <row r="133" spans="3:6" x14ac:dyDescent="0.2">
      <c r="C133" s="33"/>
      <c r="D133" s="33"/>
      <c r="E133" s="33"/>
      <c r="F133" s="33"/>
    </row>
    <row r="134" spans="3:6" x14ac:dyDescent="0.2">
      <c r="C134" s="33"/>
      <c r="D134" s="33"/>
      <c r="E134" s="33"/>
      <c r="F134" s="33"/>
    </row>
    <row r="135" spans="3:6" x14ac:dyDescent="0.2">
      <c r="C135" s="33"/>
      <c r="D135" s="33"/>
      <c r="E135" s="33"/>
      <c r="F135" s="33"/>
    </row>
    <row r="136" spans="3:6" x14ac:dyDescent="0.2">
      <c r="C136" s="33"/>
      <c r="D136" s="33"/>
      <c r="E136" s="33"/>
      <c r="F136" s="33"/>
    </row>
    <row r="137" spans="3:6" x14ac:dyDescent="0.2">
      <c r="C137" s="33"/>
      <c r="D137" s="33"/>
      <c r="E137" s="33"/>
      <c r="F137" s="33"/>
    </row>
    <row r="138" spans="3:6" x14ac:dyDescent="0.2">
      <c r="C138" s="33"/>
      <c r="D138" s="33"/>
      <c r="E138" s="33"/>
      <c r="F138" s="33"/>
    </row>
    <row r="139" spans="3:6" x14ac:dyDescent="0.2">
      <c r="C139" s="33"/>
      <c r="D139" s="33"/>
      <c r="E139" s="33"/>
      <c r="F139" s="33"/>
    </row>
    <row r="140" spans="3:6" x14ac:dyDescent="0.2">
      <c r="C140" s="33"/>
      <c r="D140" s="33"/>
      <c r="E140" s="33"/>
      <c r="F140" s="33"/>
    </row>
    <row r="141" spans="3:6" x14ac:dyDescent="0.2">
      <c r="C141" s="33"/>
      <c r="D141" s="33"/>
      <c r="E141" s="33"/>
      <c r="F141" s="33"/>
    </row>
    <row r="142" spans="3:6" x14ac:dyDescent="0.2">
      <c r="C142" s="33"/>
      <c r="D142" s="33"/>
      <c r="E142" s="33"/>
      <c r="F142" s="33"/>
    </row>
    <row r="143" spans="3:6" x14ac:dyDescent="0.2">
      <c r="C143" s="33"/>
      <c r="D143" s="33"/>
      <c r="E143" s="33"/>
      <c r="F143" s="33"/>
    </row>
    <row r="144" spans="3:6" x14ac:dyDescent="0.2">
      <c r="C144" s="33"/>
      <c r="D144" s="33"/>
      <c r="E144" s="33"/>
      <c r="F144" s="33"/>
    </row>
    <row r="145" spans="3:6" x14ac:dyDescent="0.2">
      <c r="C145" s="33"/>
      <c r="D145" s="33"/>
      <c r="E145" s="33"/>
      <c r="F145" s="33"/>
    </row>
    <row r="146" spans="3:6" x14ac:dyDescent="0.2">
      <c r="C146" s="33"/>
      <c r="D146" s="33"/>
      <c r="E146" s="33"/>
      <c r="F146" s="33"/>
    </row>
    <row r="147" spans="3:6" x14ac:dyDescent="0.2">
      <c r="C147" s="33"/>
      <c r="D147" s="33"/>
      <c r="E147" s="33"/>
      <c r="F147" s="33"/>
    </row>
    <row r="148" spans="3:6" x14ac:dyDescent="0.2">
      <c r="C148" s="33"/>
      <c r="D148" s="33"/>
      <c r="E148" s="33"/>
      <c r="F148" s="33"/>
    </row>
    <row r="149" spans="3:6" x14ac:dyDescent="0.2">
      <c r="C149" s="33"/>
      <c r="D149" s="33"/>
      <c r="E149" s="33"/>
      <c r="F149" s="33"/>
    </row>
    <row r="150" spans="3:6" x14ac:dyDescent="0.2">
      <c r="C150" s="33"/>
      <c r="D150" s="33"/>
      <c r="E150" s="33"/>
      <c r="F150" s="33"/>
    </row>
    <row r="151" spans="3:6" x14ac:dyDescent="0.2">
      <c r="C151" s="33"/>
      <c r="D151" s="33"/>
      <c r="E151" s="33"/>
      <c r="F151" s="33"/>
    </row>
    <row r="152" spans="3:6" x14ac:dyDescent="0.2">
      <c r="C152" s="33"/>
      <c r="D152" s="33"/>
      <c r="E152" s="33"/>
      <c r="F152" s="33"/>
    </row>
    <row r="153" spans="3:6" x14ac:dyDescent="0.2">
      <c r="C153" s="33"/>
      <c r="D153" s="33"/>
      <c r="E153" s="33"/>
      <c r="F153" s="33"/>
    </row>
    <row r="154" spans="3:6" x14ac:dyDescent="0.2">
      <c r="C154" s="33"/>
      <c r="D154" s="33"/>
      <c r="E154" s="33"/>
      <c r="F154" s="33"/>
    </row>
    <row r="155" spans="3:6" x14ac:dyDescent="0.2">
      <c r="C155" s="33"/>
      <c r="D155" s="33"/>
      <c r="E155" s="33"/>
      <c r="F155" s="33"/>
    </row>
    <row r="156" spans="3:6" x14ac:dyDescent="0.2">
      <c r="C156" s="33"/>
      <c r="D156" s="33"/>
      <c r="E156" s="33"/>
      <c r="F156" s="33"/>
    </row>
    <row r="157" spans="3:6" x14ac:dyDescent="0.2">
      <c r="C157" s="33"/>
      <c r="D157" s="33"/>
      <c r="E157" s="33"/>
      <c r="F157" s="33"/>
    </row>
    <row r="158" spans="3:6" x14ac:dyDescent="0.2">
      <c r="C158" s="33"/>
      <c r="D158" s="33"/>
      <c r="E158" s="33"/>
      <c r="F158" s="33"/>
    </row>
    <row r="159" spans="3:6" x14ac:dyDescent="0.2">
      <c r="C159" s="33"/>
      <c r="D159" s="33"/>
      <c r="E159" s="33"/>
      <c r="F159" s="33"/>
    </row>
    <row r="160" spans="3:6" x14ac:dyDescent="0.2">
      <c r="C160" s="33"/>
      <c r="D160" s="33"/>
      <c r="E160" s="33"/>
      <c r="F160" s="33"/>
    </row>
    <row r="161" spans="3:6" x14ac:dyDescent="0.2">
      <c r="C161" s="33"/>
      <c r="D161" s="33"/>
      <c r="E161" s="33"/>
      <c r="F161" s="33"/>
    </row>
    <row r="162" spans="3:6" x14ac:dyDescent="0.2">
      <c r="C162" s="33"/>
      <c r="D162" s="33"/>
      <c r="E162" s="33"/>
      <c r="F162" s="33"/>
    </row>
    <row r="163" spans="3:6" x14ac:dyDescent="0.2">
      <c r="C163" s="33"/>
      <c r="D163" s="33"/>
      <c r="E163" s="33"/>
      <c r="F163" s="33"/>
    </row>
    <row r="164" spans="3:6" x14ac:dyDescent="0.2">
      <c r="C164" s="33"/>
      <c r="D164" s="33"/>
      <c r="E164" s="33"/>
      <c r="F164" s="33"/>
    </row>
    <row r="165" spans="3:6" x14ac:dyDescent="0.2">
      <c r="C165" s="33"/>
      <c r="D165" s="33"/>
      <c r="E165" s="33"/>
      <c r="F165" s="33"/>
    </row>
    <row r="166" spans="3:6" x14ac:dyDescent="0.2">
      <c r="C166" s="33"/>
      <c r="D166" s="33"/>
      <c r="E166" s="33"/>
      <c r="F166" s="33"/>
    </row>
    <row r="167" spans="3:6" x14ac:dyDescent="0.2">
      <c r="C167" s="33"/>
      <c r="D167" s="33"/>
      <c r="E167" s="33"/>
      <c r="F167" s="33"/>
    </row>
    <row r="168" spans="3:6" x14ac:dyDescent="0.2">
      <c r="C168" s="33"/>
      <c r="D168" s="33"/>
      <c r="E168" s="33"/>
      <c r="F168" s="33"/>
    </row>
    <row r="169" spans="3:6" x14ac:dyDescent="0.2">
      <c r="C169" s="33"/>
      <c r="D169" s="33"/>
      <c r="E169" s="33"/>
      <c r="F169" s="33"/>
    </row>
    <row r="170" spans="3:6" x14ac:dyDescent="0.2">
      <c r="C170" s="33"/>
      <c r="D170" s="33"/>
      <c r="E170" s="33"/>
      <c r="F170" s="33"/>
    </row>
    <row r="171" spans="3:6" x14ac:dyDescent="0.2">
      <c r="C171" s="33"/>
      <c r="D171" s="33"/>
      <c r="E171" s="33"/>
      <c r="F171" s="33"/>
    </row>
    <row r="172" spans="3:6" x14ac:dyDescent="0.2">
      <c r="C172" s="33"/>
      <c r="D172" s="33"/>
      <c r="E172" s="33"/>
      <c r="F172" s="33"/>
    </row>
    <row r="173" spans="3:6" x14ac:dyDescent="0.2">
      <c r="C173" s="33"/>
      <c r="D173" s="33"/>
      <c r="E173" s="33"/>
      <c r="F173" s="33"/>
    </row>
    <row r="174" spans="3:6" x14ac:dyDescent="0.2">
      <c r="C174" s="33"/>
      <c r="D174" s="33"/>
      <c r="E174" s="33"/>
      <c r="F174" s="33"/>
    </row>
    <row r="175" spans="3:6" x14ac:dyDescent="0.2">
      <c r="C175" s="33"/>
      <c r="D175" s="33"/>
      <c r="E175" s="33"/>
      <c r="F175" s="33"/>
    </row>
    <row r="176" spans="3:6" x14ac:dyDescent="0.2">
      <c r="C176" s="33"/>
      <c r="D176" s="33"/>
      <c r="E176" s="33"/>
      <c r="F176" s="33"/>
    </row>
    <row r="177" spans="3:6" x14ac:dyDescent="0.2">
      <c r="C177" s="33"/>
      <c r="D177" s="33"/>
      <c r="E177" s="33"/>
      <c r="F177" s="33"/>
    </row>
    <row r="178" spans="3:6" x14ac:dyDescent="0.2">
      <c r="C178" s="33"/>
      <c r="D178" s="33"/>
      <c r="E178" s="33"/>
      <c r="F178" s="33"/>
    </row>
    <row r="179" spans="3:6" x14ac:dyDescent="0.2">
      <c r="C179" s="33"/>
      <c r="D179" s="33"/>
      <c r="E179" s="33"/>
      <c r="F179" s="33"/>
    </row>
    <row r="180" spans="3:6" x14ac:dyDescent="0.2">
      <c r="C180" s="33"/>
      <c r="D180" s="33"/>
      <c r="E180" s="33"/>
      <c r="F180" s="33"/>
    </row>
    <row r="181" spans="3:6" x14ac:dyDescent="0.2">
      <c r="C181" s="33"/>
      <c r="D181" s="33"/>
      <c r="E181" s="33"/>
      <c r="F181" s="33"/>
    </row>
    <row r="182" spans="3:6" x14ac:dyDescent="0.2">
      <c r="C182" s="33"/>
      <c r="D182" s="33"/>
      <c r="E182" s="33"/>
      <c r="F182" s="33"/>
    </row>
    <row r="183" spans="3:6" x14ac:dyDescent="0.2">
      <c r="C183" s="33"/>
      <c r="D183" s="33"/>
      <c r="E183" s="33"/>
      <c r="F183" s="33"/>
    </row>
    <row r="184" spans="3:6" x14ac:dyDescent="0.2">
      <c r="C184" s="33"/>
      <c r="D184" s="33"/>
      <c r="E184" s="33"/>
      <c r="F184" s="33"/>
    </row>
    <row r="185" spans="3:6" x14ac:dyDescent="0.2">
      <c r="C185" s="33"/>
      <c r="D185" s="33"/>
      <c r="E185" s="33"/>
      <c r="F185" s="33"/>
    </row>
    <row r="186" spans="3:6" x14ac:dyDescent="0.2">
      <c r="C186" s="33"/>
      <c r="D186" s="33"/>
      <c r="E186" s="33"/>
      <c r="F186" s="33"/>
    </row>
    <row r="187" spans="3:6" x14ac:dyDescent="0.2">
      <c r="C187" s="33"/>
      <c r="D187" s="33"/>
      <c r="E187" s="33"/>
      <c r="F187" s="33"/>
    </row>
    <row r="188" spans="3:6" x14ac:dyDescent="0.2">
      <c r="C188" s="33"/>
      <c r="D188" s="33"/>
      <c r="E188" s="33"/>
      <c r="F188" s="33"/>
    </row>
    <row r="189" spans="3:6" x14ac:dyDescent="0.2">
      <c r="C189" s="33"/>
      <c r="D189" s="33"/>
      <c r="E189" s="33"/>
      <c r="F189" s="33"/>
    </row>
    <row r="190" spans="3:6" x14ac:dyDescent="0.2">
      <c r="C190" s="33"/>
      <c r="D190" s="33"/>
      <c r="E190" s="33"/>
      <c r="F190" s="33"/>
    </row>
    <row r="191" spans="3:6" x14ac:dyDescent="0.2">
      <c r="C191" s="33"/>
      <c r="D191" s="33"/>
      <c r="E191" s="33"/>
      <c r="F191" s="33"/>
    </row>
    <row r="192" spans="3:6" x14ac:dyDescent="0.2">
      <c r="C192" s="33"/>
      <c r="D192" s="33"/>
      <c r="E192" s="33"/>
      <c r="F192" s="33"/>
    </row>
    <row r="193" spans="3:6" x14ac:dyDescent="0.2">
      <c r="C193" s="33"/>
      <c r="D193" s="33"/>
      <c r="E193" s="33"/>
      <c r="F193" s="33"/>
    </row>
    <row r="194" spans="3:6" x14ac:dyDescent="0.2">
      <c r="C194" s="33"/>
      <c r="D194" s="33"/>
      <c r="E194" s="33"/>
      <c r="F194" s="33"/>
    </row>
    <row r="195" spans="3:6" x14ac:dyDescent="0.2">
      <c r="C195" s="33"/>
      <c r="D195" s="33"/>
      <c r="E195" s="33"/>
      <c r="F195" s="33"/>
    </row>
    <row r="196" spans="3:6" x14ac:dyDescent="0.2">
      <c r="C196" s="33"/>
      <c r="D196" s="33"/>
      <c r="E196" s="33"/>
      <c r="F196" s="33"/>
    </row>
    <row r="197" spans="3:6" x14ac:dyDescent="0.2">
      <c r="C197" s="33"/>
      <c r="D197" s="33"/>
      <c r="E197" s="33"/>
      <c r="F197" s="33"/>
    </row>
    <row r="198" spans="3:6" x14ac:dyDescent="0.2">
      <c r="C198" s="33"/>
      <c r="D198" s="33"/>
      <c r="E198" s="33"/>
      <c r="F198" s="33"/>
    </row>
    <row r="199" spans="3:6" x14ac:dyDescent="0.2">
      <c r="C199" s="33"/>
      <c r="D199" s="33"/>
      <c r="E199" s="33"/>
      <c r="F199" s="33"/>
    </row>
    <row r="200" spans="3:6" x14ac:dyDescent="0.2">
      <c r="C200" s="33"/>
      <c r="D200" s="33"/>
      <c r="E200" s="33"/>
      <c r="F200" s="33"/>
    </row>
    <row r="201" spans="3:6" x14ac:dyDescent="0.2">
      <c r="C201" s="33"/>
      <c r="D201" s="33"/>
      <c r="E201" s="33"/>
      <c r="F201" s="33"/>
    </row>
    <row r="202" spans="3:6" x14ac:dyDescent="0.2">
      <c r="C202" s="33"/>
      <c r="D202" s="33"/>
      <c r="E202" s="33"/>
      <c r="F202" s="33"/>
    </row>
    <row r="203" spans="3:6" x14ac:dyDescent="0.2">
      <c r="C203" s="33"/>
      <c r="D203" s="33"/>
      <c r="E203" s="33"/>
      <c r="F203" s="33"/>
    </row>
    <row r="204" spans="3:6" x14ac:dyDescent="0.2">
      <c r="C204" s="33"/>
      <c r="D204" s="33"/>
      <c r="E204" s="33"/>
      <c r="F204" s="33"/>
    </row>
    <row r="205" spans="3:6" x14ac:dyDescent="0.2">
      <c r="C205" s="33"/>
      <c r="D205" s="33"/>
      <c r="E205" s="33"/>
      <c r="F205" s="33"/>
    </row>
    <row r="206" spans="3:6" x14ac:dyDescent="0.2">
      <c r="C206" s="33"/>
      <c r="D206" s="33"/>
      <c r="E206" s="33"/>
      <c r="F206" s="33"/>
    </row>
    <row r="207" spans="3:6" x14ac:dyDescent="0.2">
      <c r="C207" s="33"/>
      <c r="D207" s="33"/>
      <c r="E207" s="33"/>
      <c r="F207" s="33"/>
    </row>
    <row r="208" spans="3:6" x14ac:dyDescent="0.2">
      <c r="C208" s="33"/>
      <c r="D208" s="33"/>
      <c r="E208" s="33"/>
      <c r="F208" s="33"/>
    </row>
    <row r="209" spans="3:6" x14ac:dyDescent="0.2">
      <c r="C209" s="33"/>
      <c r="D209" s="33"/>
      <c r="E209" s="33"/>
      <c r="F209" s="33"/>
    </row>
    <row r="210" spans="3:6" x14ac:dyDescent="0.2">
      <c r="C210" s="33"/>
      <c r="D210" s="33"/>
      <c r="E210" s="33"/>
      <c r="F210" s="33"/>
    </row>
    <row r="211" spans="3:6" x14ac:dyDescent="0.2">
      <c r="C211" s="33"/>
      <c r="D211" s="33"/>
      <c r="E211" s="33"/>
      <c r="F211" s="33"/>
    </row>
    <row r="212" spans="3:6" x14ac:dyDescent="0.2">
      <c r="C212" s="33"/>
      <c r="D212" s="33"/>
      <c r="E212" s="33"/>
      <c r="F212" s="33"/>
    </row>
    <row r="213" spans="3:6" x14ac:dyDescent="0.2">
      <c r="C213" s="33"/>
      <c r="D213" s="33"/>
      <c r="E213" s="33"/>
      <c r="F213" s="33"/>
    </row>
    <row r="214" spans="3:6" x14ac:dyDescent="0.2">
      <c r="C214" s="33"/>
      <c r="D214" s="33"/>
      <c r="E214" s="33"/>
      <c r="F214" s="33"/>
    </row>
    <row r="215" spans="3:6" x14ac:dyDescent="0.2">
      <c r="C215" s="33"/>
      <c r="D215" s="33"/>
      <c r="E215" s="33"/>
      <c r="F215" s="33"/>
    </row>
    <row r="216" spans="3:6" x14ac:dyDescent="0.2">
      <c r="C216" s="33"/>
      <c r="D216" s="33"/>
      <c r="E216" s="33"/>
      <c r="F216" s="33"/>
    </row>
    <row r="217" spans="3:6" x14ac:dyDescent="0.2">
      <c r="C217" s="33"/>
      <c r="D217" s="33"/>
      <c r="E217" s="33"/>
      <c r="F217" s="33"/>
    </row>
    <row r="218" spans="3:6" x14ac:dyDescent="0.2">
      <c r="C218" s="33"/>
      <c r="D218" s="33"/>
      <c r="E218" s="33"/>
      <c r="F218" s="33"/>
    </row>
    <row r="219" spans="3:6" x14ac:dyDescent="0.2">
      <c r="C219" s="33"/>
      <c r="D219" s="33"/>
      <c r="E219" s="33"/>
      <c r="F219" s="33"/>
    </row>
    <row r="220" spans="3:6" x14ac:dyDescent="0.2">
      <c r="C220" s="33"/>
      <c r="D220" s="33"/>
      <c r="E220" s="33"/>
      <c r="F220" s="33"/>
    </row>
    <row r="221" spans="3:6" x14ac:dyDescent="0.2">
      <c r="C221" s="33"/>
      <c r="D221" s="33"/>
      <c r="E221" s="33"/>
      <c r="F221" s="33"/>
    </row>
    <row r="222" spans="3:6" x14ac:dyDescent="0.2">
      <c r="C222" s="33"/>
      <c r="D222" s="33"/>
      <c r="E222" s="33"/>
      <c r="F222" s="33"/>
    </row>
    <row r="223" spans="3:6" x14ac:dyDescent="0.2">
      <c r="C223" s="33"/>
      <c r="D223" s="33"/>
      <c r="E223" s="33"/>
      <c r="F223" s="33"/>
    </row>
    <row r="224" spans="3:6" x14ac:dyDescent="0.2">
      <c r="C224" s="33"/>
      <c r="D224" s="33"/>
      <c r="E224" s="33"/>
      <c r="F224" s="33"/>
    </row>
    <row r="225" spans="3:6" x14ac:dyDescent="0.2">
      <c r="C225" s="33"/>
      <c r="D225" s="33"/>
      <c r="E225" s="33"/>
      <c r="F225" s="33"/>
    </row>
    <row r="226" spans="3:6" x14ac:dyDescent="0.2">
      <c r="C226" s="33"/>
      <c r="D226" s="33"/>
      <c r="E226" s="33"/>
      <c r="F226" s="33"/>
    </row>
    <row r="227" spans="3:6" x14ac:dyDescent="0.2">
      <c r="C227" s="33"/>
      <c r="D227" s="33"/>
      <c r="E227" s="33"/>
      <c r="F227" s="33"/>
    </row>
    <row r="228" spans="3:6" x14ac:dyDescent="0.2">
      <c r="C228" s="33"/>
      <c r="D228" s="33"/>
      <c r="E228" s="33"/>
      <c r="F228" s="33"/>
    </row>
    <row r="229" spans="3:6" x14ac:dyDescent="0.2">
      <c r="C229" s="33"/>
      <c r="D229" s="33"/>
      <c r="E229" s="33"/>
      <c r="F229" s="33"/>
    </row>
    <row r="230" spans="3:6" x14ac:dyDescent="0.2">
      <c r="C230" s="33"/>
      <c r="D230" s="33"/>
      <c r="E230" s="33"/>
      <c r="F230" s="33"/>
    </row>
    <row r="231" spans="3:6" x14ac:dyDescent="0.2">
      <c r="C231" s="33"/>
      <c r="D231" s="33"/>
      <c r="E231" s="33"/>
      <c r="F231" s="33"/>
    </row>
    <row r="232" spans="3:6" x14ac:dyDescent="0.2">
      <c r="C232" s="33"/>
      <c r="D232" s="33"/>
      <c r="E232" s="33"/>
      <c r="F232" s="33"/>
    </row>
    <row r="233" spans="3:6" x14ac:dyDescent="0.2">
      <c r="C233" s="33"/>
      <c r="D233" s="33"/>
      <c r="E233" s="33"/>
      <c r="F233" s="33"/>
    </row>
    <row r="234" spans="3:6" x14ac:dyDescent="0.2">
      <c r="C234" s="33"/>
      <c r="D234" s="33"/>
      <c r="E234" s="33"/>
      <c r="F234" s="33"/>
    </row>
    <row r="235" spans="3:6" x14ac:dyDescent="0.2">
      <c r="C235" s="33"/>
      <c r="D235" s="33"/>
      <c r="E235" s="33"/>
      <c r="F235" s="33"/>
    </row>
    <row r="236" spans="3:6" x14ac:dyDescent="0.2">
      <c r="C236" s="33"/>
      <c r="D236" s="33"/>
      <c r="E236" s="33"/>
      <c r="F236" s="33"/>
    </row>
    <row r="237" spans="3:6" x14ac:dyDescent="0.2">
      <c r="C237" s="33"/>
      <c r="D237" s="33"/>
      <c r="E237" s="33"/>
      <c r="F237" s="33"/>
    </row>
    <row r="238" spans="3:6" x14ac:dyDescent="0.2">
      <c r="C238" s="33"/>
      <c r="D238" s="33"/>
      <c r="E238" s="33"/>
      <c r="F238" s="33"/>
    </row>
    <row r="239" spans="3:6" x14ac:dyDescent="0.2">
      <c r="C239" s="33"/>
      <c r="D239" s="33"/>
      <c r="E239" s="33"/>
      <c r="F239" s="33"/>
    </row>
    <row r="240" spans="3:6" x14ac:dyDescent="0.2">
      <c r="C240" s="33"/>
      <c r="D240" s="33"/>
      <c r="E240" s="33"/>
      <c r="F240" s="33"/>
    </row>
    <row r="241" spans="3:6" x14ac:dyDescent="0.2">
      <c r="C241" s="33"/>
      <c r="D241" s="33"/>
      <c r="E241" s="33"/>
      <c r="F241" s="33"/>
    </row>
    <row r="242" spans="3:6" x14ac:dyDescent="0.2">
      <c r="C242" s="33"/>
      <c r="D242" s="33"/>
      <c r="E242" s="33"/>
      <c r="F242" s="33"/>
    </row>
    <row r="243" spans="3:6" x14ac:dyDescent="0.2">
      <c r="C243" s="33"/>
      <c r="D243" s="33"/>
      <c r="E243" s="33"/>
      <c r="F243" s="33"/>
    </row>
    <row r="244" spans="3:6" x14ac:dyDescent="0.2">
      <c r="C244" s="33"/>
      <c r="D244" s="33"/>
      <c r="E244" s="33"/>
      <c r="F244" s="33"/>
    </row>
    <row r="245" spans="3:6" x14ac:dyDescent="0.2">
      <c r="C245" s="33"/>
      <c r="D245" s="33"/>
      <c r="E245" s="33"/>
      <c r="F245" s="33"/>
    </row>
    <row r="246" spans="3:6" x14ac:dyDescent="0.2">
      <c r="C246" s="33"/>
      <c r="D246" s="33"/>
      <c r="E246" s="33"/>
      <c r="F246" s="33"/>
    </row>
    <row r="247" spans="3:6" x14ac:dyDescent="0.2">
      <c r="C247" s="33"/>
      <c r="D247" s="33"/>
      <c r="E247" s="33"/>
      <c r="F247" s="33"/>
    </row>
    <row r="248" spans="3:6" x14ac:dyDescent="0.2">
      <c r="C248" s="33"/>
      <c r="D248" s="33"/>
      <c r="E248" s="33"/>
      <c r="F248" s="33"/>
    </row>
    <row r="249" spans="3:6" x14ac:dyDescent="0.2">
      <c r="C249" s="33"/>
      <c r="D249" s="33"/>
      <c r="E249" s="33"/>
      <c r="F249" s="33"/>
    </row>
    <row r="250" spans="3:6" x14ac:dyDescent="0.2">
      <c r="C250" s="33"/>
      <c r="D250" s="33"/>
      <c r="E250" s="33"/>
      <c r="F250" s="33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  <pageSetUpPr fitToPage="1"/>
  </sheetPr>
  <dimension ref="A1:Q35"/>
  <sheetViews>
    <sheetView zoomScale="90" zoomScaleNormal="90" workbookViewId="0">
      <selection activeCell="N10" sqref="N10"/>
    </sheetView>
  </sheetViews>
  <sheetFormatPr defaultColWidth="9.140625" defaultRowHeight="15" x14ac:dyDescent="0.2"/>
  <cols>
    <col min="1" max="1" width="5.7109375" style="54" customWidth="1"/>
    <col min="2" max="2" width="41.7109375" style="54" customWidth="1"/>
    <col min="3" max="8" width="13.7109375" style="2" customWidth="1"/>
    <col min="9" max="9" width="15.140625" style="2" customWidth="1"/>
    <col min="10" max="10" width="18.140625" style="2" customWidth="1"/>
    <col min="11" max="14" width="12.85546875" style="2" customWidth="1"/>
    <col min="15" max="15" width="13.85546875" style="2" customWidth="1"/>
    <col min="16" max="16" width="9.140625" style="2"/>
    <col min="17" max="17" width="16.7109375" style="2" customWidth="1"/>
    <col min="18" max="16384" width="9.140625" style="2"/>
  </cols>
  <sheetData>
    <row r="1" spans="1:17" x14ac:dyDescent="0.2">
      <c r="A1" s="54" t="s">
        <v>1</v>
      </c>
      <c r="H1" s="139" t="s">
        <v>382</v>
      </c>
      <c r="J1" s="2" t="s">
        <v>597</v>
      </c>
      <c r="N1" s="524" t="s">
        <v>837</v>
      </c>
      <c r="O1" s="524"/>
      <c r="P1" s="524"/>
    </row>
    <row r="2" spans="1:17" x14ac:dyDescent="0.2">
      <c r="A2" s="5" t="str">
        <f>+'KSM-4 p2 &amp; p3 - Adjust Issues'!A3</f>
        <v>Test Year Based on Twelve Months Ended September 30, 2018</v>
      </c>
      <c r="H2" s="73"/>
    </row>
    <row r="3" spans="1:17" x14ac:dyDescent="0.2">
      <c r="A3" s="54" t="s">
        <v>6</v>
      </c>
      <c r="H3" s="73"/>
      <c r="J3" s="2" t="s">
        <v>592</v>
      </c>
      <c r="L3" s="2">
        <v>6614472</v>
      </c>
      <c r="N3" s="2" t="s">
        <v>888</v>
      </c>
    </row>
    <row r="4" spans="1:17" x14ac:dyDescent="0.2">
      <c r="G4" s="138"/>
      <c r="J4" s="2" t="s">
        <v>593</v>
      </c>
      <c r="L4" s="2">
        <v>470626</v>
      </c>
      <c r="N4" s="2" t="s">
        <v>888</v>
      </c>
    </row>
    <row r="5" spans="1:17" x14ac:dyDescent="0.2">
      <c r="G5" s="47"/>
      <c r="J5" s="2" t="s">
        <v>594</v>
      </c>
      <c r="L5" s="2">
        <v>1975000</v>
      </c>
      <c r="N5" s="2" t="s">
        <v>888</v>
      </c>
    </row>
    <row r="6" spans="1:17" x14ac:dyDescent="0.2">
      <c r="A6" s="60" t="s">
        <v>17</v>
      </c>
      <c r="C6" s="139" t="s">
        <v>498</v>
      </c>
      <c r="D6" s="139" t="s">
        <v>497</v>
      </c>
      <c r="E6" s="139" t="s">
        <v>582</v>
      </c>
      <c r="F6" s="60" t="s">
        <v>29</v>
      </c>
      <c r="G6" s="60" t="s">
        <v>13</v>
      </c>
      <c r="H6" s="60"/>
      <c r="J6" s="2" t="s">
        <v>595</v>
      </c>
      <c r="L6" s="2">
        <v>1587749</v>
      </c>
      <c r="N6" s="2" t="s">
        <v>888</v>
      </c>
    </row>
    <row r="7" spans="1:17" x14ac:dyDescent="0.2">
      <c r="A7" s="131" t="s">
        <v>33</v>
      </c>
      <c r="C7" s="140" t="s">
        <v>891</v>
      </c>
      <c r="D7" s="140" t="s">
        <v>892</v>
      </c>
      <c r="E7" s="140" t="s">
        <v>581</v>
      </c>
      <c r="F7" s="131" t="s">
        <v>39</v>
      </c>
      <c r="G7" s="131" t="s">
        <v>52</v>
      </c>
      <c r="H7" s="131" t="s">
        <v>28</v>
      </c>
      <c r="J7" s="2" t="s">
        <v>596</v>
      </c>
      <c r="L7" s="75">
        <v>52841</v>
      </c>
      <c r="N7" s="2" t="s">
        <v>888</v>
      </c>
    </row>
    <row r="8" spans="1:17" x14ac:dyDescent="0.2">
      <c r="C8" s="60" t="s">
        <v>58</v>
      </c>
      <c r="D8" s="60" t="s">
        <v>59</v>
      </c>
      <c r="E8" s="60" t="s">
        <v>60</v>
      </c>
      <c r="F8" s="60" t="s">
        <v>61</v>
      </c>
      <c r="G8" s="60" t="s">
        <v>62</v>
      </c>
      <c r="H8" s="60" t="s">
        <v>65</v>
      </c>
      <c r="L8" s="2">
        <f>SUM(L3:L7)</f>
        <v>10700688</v>
      </c>
    </row>
    <row r="9" spans="1:17" x14ac:dyDescent="0.2">
      <c r="B9" s="131" t="s">
        <v>611</v>
      </c>
      <c r="C9" s="4"/>
      <c r="E9" s="41"/>
      <c r="J9" s="2" t="s">
        <v>613</v>
      </c>
    </row>
    <row r="10" spans="1:17" x14ac:dyDescent="0.2">
      <c r="B10" s="111"/>
      <c r="C10" s="4"/>
      <c r="E10" s="41"/>
      <c r="K10" s="2" t="s">
        <v>614</v>
      </c>
      <c r="L10" s="2">
        <v>10160031</v>
      </c>
      <c r="N10" s="41" t="s">
        <v>873</v>
      </c>
    </row>
    <row r="11" spans="1:17" x14ac:dyDescent="0.2">
      <c r="A11" s="60">
        <v>1</v>
      </c>
      <c r="B11" s="120" t="s">
        <v>77</v>
      </c>
      <c r="C11" s="141">
        <v>6213593</v>
      </c>
      <c r="D11" s="141">
        <v>5597391</v>
      </c>
      <c r="E11" s="141">
        <f>+L24</f>
        <v>6107412.0618000003</v>
      </c>
      <c r="F11" s="141">
        <f>SUM(C11:E11)/3</f>
        <v>5972798.6872666664</v>
      </c>
      <c r="G11" s="141">
        <f>+L29</f>
        <v>6572483.2755947718</v>
      </c>
      <c r="H11" s="142">
        <f>F11-G11</f>
        <v>-599684.5883281054</v>
      </c>
      <c r="K11" s="2" t="s">
        <v>615</v>
      </c>
      <c r="L11" s="75">
        <v>2164765</v>
      </c>
      <c r="N11" s="41" t="s">
        <v>873</v>
      </c>
    </row>
    <row r="12" spans="1:17" x14ac:dyDescent="0.2">
      <c r="A12" s="60"/>
      <c r="B12" s="5"/>
      <c r="C12" s="208"/>
      <c r="D12" s="208"/>
      <c r="E12" s="208"/>
      <c r="F12" s="209"/>
      <c r="G12" s="208"/>
      <c r="H12" s="209"/>
      <c r="L12" s="2">
        <f>+L10+L11</f>
        <v>12324796</v>
      </c>
    </row>
    <row r="13" spans="1:17" x14ac:dyDescent="0.2">
      <c r="A13" s="60">
        <v>2</v>
      </c>
      <c r="B13" s="120" t="s">
        <v>104</v>
      </c>
      <c r="C13" s="208">
        <v>2580181</v>
      </c>
      <c r="D13" s="208">
        <v>2594415</v>
      </c>
      <c r="E13" s="208">
        <f>+M24</f>
        <v>2952685.9381999997</v>
      </c>
      <c r="F13" s="209">
        <f>SUM(C13:E13)/3</f>
        <v>2709093.9794000001</v>
      </c>
      <c r="G13" s="208">
        <f>+M29</f>
        <v>3587547.7244052282</v>
      </c>
      <c r="H13" s="209">
        <f>F13-G13</f>
        <v>-878453.74500522809</v>
      </c>
    </row>
    <row r="14" spans="1:17" x14ac:dyDescent="0.2">
      <c r="A14" s="60"/>
      <c r="B14" s="120"/>
      <c r="C14" s="209"/>
      <c r="D14" s="209"/>
      <c r="E14" s="208"/>
      <c r="F14" s="209"/>
      <c r="G14" s="208"/>
      <c r="H14" s="209"/>
    </row>
    <row r="15" spans="1:17" x14ac:dyDescent="0.2">
      <c r="A15" s="60"/>
      <c r="B15" s="120"/>
      <c r="C15" s="209"/>
      <c r="D15" s="209"/>
      <c r="E15" s="208"/>
      <c r="F15" s="209"/>
      <c r="G15" s="208"/>
      <c r="H15" s="209"/>
      <c r="J15" s="2" t="s">
        <v>617</v>
      </c>
      <c r="Q15" s="111" t="s">
        <v>889</v>
      </c>
    </row>
    <row r="16" spans="1:17" x14ac:dyDescent="0.2">
      <c r="A16" s="60"/>
      <c r="B16" s="140" t="s">
        <v>612</v>
      </c>
      <c r="C16" s="209"/>
      <c r="D16" s="209"/>
      <c r="E16" s="209"/>
      <c r="F16" s="209"/>
      <c r="G16" s="208"/>
      <c r="H16" s="209"/>
      <c r="K16" s="479">
        <v>2014</v>
      </c>
      <c r="L16" s="479">
        <v>2015</v>
      </c>
      <c r="M16" s="479">
        <v>2016</v>
      </c>
      <c r="N16" s="479">
        <v>2017</v>
      </c>
      <c r="O16" s="479">
        <v>2018</v>
      </c>
      <c r="Q16" s="519" t="s">
        <v>890</v>
      </c>
    </row>
    <row r="17" spans="1:17" x14ac:dyDescent="0.2">
      <c r="A17" s="60"/>
      <c r="B17" s="210"/>
      <c r="C17" s="209"/>
      <c r="D17" s="209"/>
      <c r="E17" s="209"/>
      <c r="F17" s="209"/>
      <c r="G17" s="208"/>
      <c r="H17" s="209"/>
      <c r="J17" s="2" t="s">
        <v>588</v>
      </c>
      <c r="K17" s="25">
        <v>0.6653</v>
      </c>
      <c r="L17" s="25">
        <v>0.70660000000000001</v>
      </c>
      <c r="M17" s="25">
        <v>0.68910000000000005</v>
      </c>
      <c r="N17" s="25">
        <v>0.67410000000000003</v>
      </c>
      <c r="O17" s="25">
        <f>+Q17/(Q17+Q18)</f>
        <v>0.64689598639952695</v>
      </c>
      <c r="Q17" s="2">
        <v>65118851</v>
      </c>
    </row>
    <row r="18" spans="1:17" x14ac:dyDescent="0.2">
      <c r="A18" s="60">
        <v>3</v>
      </c>
      <c r="B18" s="120" t="s">
        <v>126</v>
      </c>
      <c r="C18" s="208">
        <v>0</v>
      </c>
      <c r="D18" s="208">
        <v>597200</v>
      </c>
      <c r="E18" s="208">
        <f>+L25</f>
        <v>1105921.719</v>
      </c>
      <c r="F18" s="209">
        <f>SUM(C18:E18)/3</f>
        <v>567707.23966666672</v>
      </c>
      <c r="G18" s="208">
        <f>+L30</f>
        <v>1400377.7899981719</v>
      </c>
      <c r="H18" s="209">
        <f>F18-G18</f>
        <v>-832670.55033150513</v>
      </c>
      <c r="J18" s="2" t="s">
        <v>589</v>
      </c>
      <c r="K18" s="25">
        <v>0.3347</v>
      </c>
      <c r="L18" s="25">
        <v>0.29339999999999999</v>
      </c>
      <c r="M18" s="25">
        <v>0.31090000000000001</v>
      </c>
      <c r="N18" s="25">
        <v>0.32590000000000002</v>
      </c>
      <c r="O18" s="25">
        <f>1-O17</f>
        <v>0.35310401360047305</v>
      </c>
      <c r="Q18" s="2">
        <f>20744231+14800475</f>
        <v>35544706</v>
      </c>
    </row>
    <row r="19" spans="1:17" x14ac:dyDescent="0.2">
      <c r="A19" s="60"/>
      <c r="B19" s="120"/>
      <c r="C19" s="208"/>
      <c r="D19" s="208"/>
      <c r="E19" s="208"/>
      <c r="F19" s="209"/>
      <c r="G19" s="208"/>
      <c r="H19" s="209"/>
    </row>
    <row r="20" spans="1:17" x14ac:dyDescent="0.2">
      <c r="A20" s="60">
        <v>4</v>
      </c>
      <c r="B20" s="120" t="s">
        <v>143</v>
      </c>
      <c r="C20" s="208">
        <v>0</v>
      </c>
      <c r="D20" s="208">
        <v>358883</v>
      </c>
      <c r="E20" s="208">
        <f>+M25</f>
        <v>534668.28099999996</v>
      </c>
      <c r="F20" s="209">
        <f>SUM(C20:E20)/3</f>
        <v>297850.42699999997</v>
      </c>
      <c r="G20" s="208">
        <f>+M30</f>
        <v>764387.21000182815</v>
      </c>
      <c r="H20" s="209">
        <f>F20-G20</f>
        <v>-466536.78300182818</v>
      </c>
    </row>
    <row r="21" spans="1:17" x14ac:dyDescent="0.2">
      <c r="A21" s="60"/>
      <c r="B21" s="120"/>
      <c r="C21" s="67"/>
      <c r="D21" s="67"/>
      <c r="E21" s="67"/>
      <c r="F21" s="67"/>
      <c r="G21" s="143"/>
      <c r="H21" s="67"/>
    </row>
    <row r="22" spans="1:17" x14ac:dyDescent="0.2">
      <c r="A22" s="60">
        <v>5</v>
      </c>
      <c r="B22" s="120" t="s">
        <v>66</v>
      </c>
      <c r="C22" s="65">
        <f t="shared" ref="C22:H22" si="0">+C11+C13+C18+C20</f>
        <v>8793774</v>
      </c>
      <c r="D22" s="65">
        <f t="shared" si="0"/>
        <v>9147889</v>
      </c>
      <c r="E22" s="65">
        <f t="shared" si="0"/>
        <v>10700688</v>
      </c>
      <c r="F22" s="65">
        <f t="shared" si="0"/>
        <v>9547450.3333333321</v>
      </c>
      <c r="G22" s="65">
        <f t="shared" si="0"/>
        <v>12324796</v>
      </c>
      <c r="H22" s="65">
        <f t="shared" si="0"/>
        <v>-2777345.6666666665</v>
      </c>
      <c r="L22" s="98" t="s">
        <v>220</v>
      </c>
      <c r="M22" s="98" t="s">
        <v>591</v>
      </c>
    </row>
    <row r="23" spans="1:17" x14ac:dyDescent="0.2">
      <c r="A23" s="60"/>
      <c r="B23" s="120"/>
      <c r="C23" s="144"/>
      <c r="D23" s="144"/>
      <c r="E23" s="144"/>
      <c r="F23" s="144"/>
      <c r="G23" s="144"/>
      <c r="H23" s="144"/>
      <c r="J23" s="75" t="s">
        <v>598</v>
      </c>
    </row>
    <row r="24" spans="1:17" x14ac:dyDescent="0.2">
      <c r="A24" s="60">
        <v>6</v>
      </c>
      <c r="B24" s="5" t="s">
        <v>267</v>
      </c>
      <c r="C24" s="144"/>
      <c r="D24" s="144"/>
      <c r="E24" s="144"/>
      <c r="F24" s="144"/>
      <c r="G24" s="144"/>
      <c r="H24" s="145">
        <f>H11+H18</f>
        <v>-1432355.1386596104</v>
      </c>
      <c r="J24" s="2" t="s">
        <v>590</v>
      </c>
      <c r="K24" s="2">
        <f>+L3+L4+L5</f>
        <v>9060098</v>
      </c>
      <c r="L24" s="2">
        <f>+K24*N17</f>
        <v>6107412.0618000003</v>
      </c>
      <c r="M24" s="2">
        <f>+K24-L24</f>
        <v>2952685.9381999997</v>
      </c>
    </row>
    <row r="25" spans="1:17" x14ac:dyDescent="0.2">
      <c r="A25" s="60">
        <v>7</v>
      </c>
      <c r="B25" s="120" t="s">
        <v>151</v>
      </c>
      <c r="E25" s="144"/>
      <c r="F25" s="24" t="s">
        <v>158</v>
      </c>
      <c r="H25" s="81">
        <f>+'KSM-3 p4 - Factors'!D18</f>
        <v>0.11207999999999996</v>
      </c>
      <c r="J25" s="2" t="s">
        <v>371</v>
      </c>
      <c r="K25" s="75">
        <f>+L6+L7</f>
        <v>1640590</v>
      </c>
      <c r="L25" s="2">
        <f>+K25*N17</f>
        <v>1105921.719</v>
      </c>
      <c r="M25" s="2">
        <f>+K25-L25</f>
        <v>534668.28099999996</v>
      </c>
    </row>
    <row r="26" spans="1:17" ht="15.75" thickBot="1" x14ac:dyDescent="0.25">
      <c r="A26" s="60">
        <v>8</v>
      </c>
      <c r="B26" s="5" t="s">
        <v>269</v>
      </c>
      <c r="C26" s="144"/>
      <c r="D26" s="144"/>
      <c r="E26" s="144"/>
      <c r="F26" s="24"/>
      <c r="H26" s="70">
        <f>H24*H25</f>
        <v>-160538.36394096908</v>
      </c>
      <c r="K26" s="2">
        <f>SUM(K24:K25)</f>
        <v>10700688</v>
      </c>
    </row>
    <row r="27" spans="1:17" ht="15.75" thickTop="1" x14ac:dyDescent="0.2">
      <c r="A27" s="60"/>
      <c r="B27" s="120"/>
      <c r="C27" s="144"/>
      <c r="D27" s="144"/>
      <c r="E27" s="144"/>
      <c r="F27" s="24"/>
      <c r="H27" s="145"/>
    </row>
    <row r="28" spans="1:17" x14ac:dyDescent="0.2">
      <c r="A28" s="60">
        <v>9</v>
      </c>
      <c r="B28" s="5" t="s">
        <v>266</v>
      </c>
      <c r="C28" s="144"/>
      <c r="D28" s="144"/>
      <c r="E28" s="144"/>
      <c r="F28" s="24"/>
      <c r="H28" s="145">
        <f>H13+H20</f>
        <v>-1344990.5280070563</v>
      </c>
      <c r="J28" s="75" t="s">
        <v>616</v>
      </c>
    </row>
    <row r="29" spans="1:17" x14ac:dyDescent="0.2">
      <c r="A29" s="60">
        <v>10</v>
      </c>
      <c r="B29" s="120" t="s">
        <v>151</v>
      </c>
      <c r="D29" s="144"/>
      <c r="E29" s="144"/>
      <c r="F29" s="54" t="s">
        <v>38</v>
      </c>
      <c r="H29" s="81">
        <f>+'KSM-3 p4 - Factors'!D23</f>
        <v>0.11580000000000001</v>
      </c>
      <c r="J29" s="2" t="s">
        <v>590</v>
      </c>
      <c r="K29" s="2">
        <f>+L10</f>
        <v>10160031</v>
      </c>
      <c r="L29" s="2">
        <f>+K29*O17</f>
        <v>6572483.2755947718</v>
      </c>
      <c r="M29" s="2">
        <f>+K29-L29</f>
        <v>3587547.7244052282</v>
      </c>
    </row>
    <row r="30" spans="1:17" ht="15.75" thickBot="1" x14ac:dyDescent="0.25">
      <c r="A30" s="60">
        <v>11</v>
      </c>
      <c r="B30" s="5" t="s">
        <v>268</v>
      </c>
      <c r="E30" s="144"/>
      <c r="H30" s="70">
        <f>H28*H29</f>
        <v>-155749.90314321715</v>
      </c>
      <c r="J30" s="2" t="s">
        <v>371</v>
      </c>
      <c r="K30" s="75">
        <f>+L11</f>
        <v>2164765</v>
      </c>
      <c r="L30" s="2">
        <f>+K30*O17</f>
        <v>1400377.7899981719</v>
      </c>
      <c r="M30" s="2">
        <f>+K30-L30</f>
        <v>764387.21000182815</v>
      </c>
    </row>
    <row r="31" spans="1:17" ht="15.75" thickTop="1" x14ac:dyDescent="0.2">
      <c r="E31" s="144"/>
      <c r="K31" s="2">
        <f>SUM(K29:K30)</f>
        <v>12324796</v>
      </c>
    </row>
    <row r="32" spans="1:17" x14ac:dyDescent="0.2">
      <c r="E32" s="144"/>
    </row>
    <row r="33" spans="1:8" x14ac:dyDescent="0.2">
      <c r="A33" s="54" t="s">
        <v>177</v>
      </c>
      <c r="H33" s="73"/>
    </row>
    <row r="35" spans="1:8" x14ac:dyDescent="0.2">
      <c r="A35" s="54" t="s">
        <v>893</v>
      </c>
    </row>
  </sheetData>
  <mergeCells count="1">
    <mergeCell ref="N1:P1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  <pageSetUpPr fitToPage="1"/>
  </sheetPr>
  <dimension ref="A1:E18"/>
  <sheetViews>
    <sheetView tabSelected="1" workbookViewId="0">
      <selection activeCell="E13" sqref="E13"/>
    </sheetView>
  </sheetViews>
  <sheetFormatPr defaultColWidth="9.140625" defaultRowHeight="15" x14ac:dyDescent="0.2"/>
  <cols>
    <col min="1" max="1" width="5.7109375" style="194" customWidth="1"/>
    <col min="2" max="2" width="55" style="194" customWidth="1"/>
    <col min="3" max="3" width="14.85546875" style="194" customWidth="1"/>
    <col min="4" max="4" width="9.140625" style="194"/>
    <col min="5" max="5" width="28.140625" style="194" customWidth="1"/>
    <col min="6" max="16384" width="9.140625" style="194"/>
  </cols>
  <sheetData>
    <row r="1" spans="1:5" x14ac:dyDescent="0.2">
      <c r="A1" s="339" t="str">
        <f>'KSM-4 p10 - Uncollectible'!A1</f>
        <v>NW Natural</v>
      </c>
      <c r="B1" s="339"/>
      <c r="C1" s="340" t="s">
        <v>808</v>
      </c>
      <c r="D1" s="186"/>
    </row>
    <row r="2" spans="1:5" x14ac:dyDescent="0.2">
      <c r="A2" s="339" t="str">
        <f>'KSM-4 p10 - Uncollectible'!A2</f>
        <v>Test Year Based on Twelve Months Ended September 30, 2018</v>
      </c>
      <c r="B2" s="339"/>
      <c r="C2" s="339"/>
    </row>
    <row r="3" spans="1:5" x14ac:dyDescent="0.2">
      <c r="A3" s="473" t="s">
        <v>336</v>
      </c>
      <c r="B3" s="339"/>
      <c r="C3" s="339"/>
    </row>
    <row r="4" spans="1:5" x14ac:dyDescent="0.2">
      <c r="A4" s="339"/>
      <c r="B4" s="339"/>
      <c r="C4" s="339"/>
    </row>
    <row r="5" spans="1:5" x14ac:dyDescent="0.2">
      <c r="A5" s="339"/>
      <c r="B5" s="339"/>
      <c r="C5" s="339"/>
    </row>
    <row r="6" spans="1:5" x14ac:dyDescent="0.2">
      <c r="A6" s="58" t="s">
        <v>17</v>
      </c>
      <c r="B6" s="339"/>
      <c r="C6" s="339"/>
    </row>
    <row r="7" spans="1:5" x14ac:dyDescent="0.2">
      <c r="A7" s="211" t="s">
        <v>33</v>
      </c>
      <c r="B7" s="339"/>
      <c r="C7" s="211" t="s">
        <v>527</v>
      </c>
      <c r="E7" s="211" t="s">
        <v>837</v>
      </c>
    </row>
    <row r="8" spans="1:5" x14ac:dyDescent="0.2">
      <c r="A8" s="58"/>
      <c r="B8" s="339"/>
      <c r="C8" s="58" t="s">
        <v>58</v>
      </c>
    </row>
    <row r="9" spans="1:5" x14ac:dyDescent="0.2">
      <c r="A9" s="58"/>
      <c r="B9" s="339"/>
    </row>
    <row r="10" spans="1:5" x14ac:dyDescent="0.2">
      <c r="A10" s="58"/>
      <c r="B10" s="339"/>
    </row>
    <row r="11" spans="1:5" x14ac:dyDescent="0.2">
      <c r="A11" s="58">
        <v>1</v>
      </c>
      <c r="B11" s="339" t="s">
        <v>337</v>
      </c>
      <c r="C11" s="474">
        <f>+'WP - Other Rev &amp; Tax'!E21</f>
        <v>1541124</v>
      </c>
      <c r="D11" s="474"/>
      <c r="E11" s="505" t="s">
        <v>849</v>
      </c>
    </row>
    <row r="12" spans="1:5" x14ac:dyDescent="0.2">
      <c r="C12" s="475"/>
    </row>
    <row r="13" spans="1:5" x14ac:dyDescent="0.2">
      <c r="A13" s="58">
        <v>2</v>
      </c>
      <c r="B13" s="339" t="s">
        <v>762</v>
      </c>
      <c r="C13" s="362">
        <v>1509613</v>
      </c>
      <c r="E13" s="194" t="s">
        <v>853</v>
      </c>
    </row>
    <row r="14" spans="1:5" x14ac:dyDescent="0.2">
      <c r="A14" s="58"/>
      <c r="B14" s="339"/>
      <c r="C14" s="362"/>
    </row>
    <row r="15" spans="1:5" x14ac:dyDescent="0.2">
      <c r="A15" s="58">
        <v>3</v>
      </c>
      <c r="B15" s="339" t="s">
        <v>761</v>
      </c>
      <c r="C15" s="364">
        <v>12978.81</v>
      </c>
      <c r="E15" s="194" t="s">
        <v>854</v>
      </c>
    </row>
    <row r="16" spans="1:5" x14ac:dyDescent="0.2">
      <c r="C16" s="475"/>
    </row>
    <row r="17" spans="1:3" ht="15.75" thickBot="1" x14ac:dyDescent="0.25">
      <c r="A17" s="58">
        <v>4</v>
      </c>
      <c r="B17" s="339" t="s">
        <v>28</v>
      </c>
      <c r="C17" s="476">
        <f>+C13-C11-C15</f>
        <v>-44489.81</v>
      </c>
    </row>
    <row r="18" spans="1:3" ht="15.75" thickTop="1" x14ac:dyDescent="0.2"/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  <pageSetUpPr fitToPage="1"/>
  </sheetPr>
  <dimension ref="A1:H48"/>
  <sheetViews>
    <sheetView zoomScaleNormal="100" workbookViewId="0">
      <selection activeCell="A4" sqref="A4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4.7109375" style="2" customWidth="1"/>
    <col min="7" max="7" width="9.140625" style="2"/>
    <col min="8" max="8" width="36.7109375" style="2" customWidth="1"/>
    <col min="9" max="16384" width="9.140625" style="2"/>
  </cols>
  <sheetData>
    <row r="1" spans="1:8" x14ac:dyDescent="0.2">
      <c r="A1" s="280" t="s">
        <v>0</v>
      </c>
      <c r="B1" s="280"/>
      <c r="C1" s="281"/>
      <c r="D1" s="281"/>
      <c r="E1" s="281"/>
      <c r="F1" s="139" t="s">
        <v>347</v>
      </c>
      <c r="G1" s="41"/>
    </row>
    <row r="2" spans="1:8" x14ac:dyDescent="0.2">
      <c r="A2" s="280" t="str">
        <f>'KSM-4 p2 &amp; p3 - Adjust Issues'!A3</f>
        <v>Test Year Based on Twelve Months Ended September 30, 2018</v>
      </c>
      <c r="B2" s="280"/>
      <c r="C2" s="281"/>
      <c r="D2" s="281"/>
      <c r="E2" s="281"/>
      <c r="F2" s="280"/>
    </row>
    <row r="3" spans="1:8" x14ac:dyDescent="0.2">
      <c r="A3" s="280" t="s">
        <v>7</v>
      </c>
      <c r="B3" s="280"/>
      <c r="C3" s="281"/>
      <c r="D3" s="92"/>
      <c r="E3" s="281"/>
      <c r="F3" s="281"/>
    </row>
    <row r="4" spans="1:8" x14ac:dyDescent="0.2">
      <c r="A4" s="280"/>
      <c r="B4" s="280"/>
      <c r="C4" s="281"/>
      <c r="D4" s="281"/>
      <c r="E4" s="281"/>
      <c r="F4" s="281"/>
    </row>
    <row r="5" spans="1:8" x14ac:dyDescent="0.2">
      <c r="A5" s="280"/>
      <c r="B5" s="280"/>
      <c r="C5" s="281"/>
      <c r="D5" s="281"/>
      <c r="E5" s="281"/>
      <c r="F5" s="281"/>
    </row>
    <row r="6" spans="1:8" x14ac:dyDescent="0.2">
      <c r="A6" s="280"/>
      <c r="B6" s="280"/>
      <c r="C6" s="281"/>
      <c r="D6" s="282" t="s">
        <v>323</v>
      </c>
      <c r="E6" s="282"/>
      <c r="F6" s="282"/>
    </row>
    <row r="7" spans="1:8" x14ac:dyDescent="0.2">
      <c r="A7" s="60" t="s">
        <v>17</v>
      </c>
      <c r="B7" s="280"/>
      <c r="C7" s="139" t="s">
        <v>516</v>
      </c>
      <c r="D7" s="283">
        <v>2018</v>
      </c>
      <c r="E7" s="283">
        <f>+D7-1</f>
        <v>2017</v>
      </c>
      <c r="F7" s="283">
        <f>+E7-1</f>
        <v>2016</v>
      </c>
    </row>
    <row r="8" spans="1:8" x14ac:dyDescent="0.2">
      <c r="A8" s="89" t="s">
        <v>33</v>
      </c>
      <c r="B8" s="280"/>
      <c r="C8" s="212" t="s">
        <v>66</v>
      </c>
      <c r="D8" s="212" t="s">
        <v>67</v>
      </c>
      <c r="E8" s="212" t="s">
        <v>67</v>
      </c>
      <c r="F8" s="212" t="s">
        <v>67</v>
      </c>
    </row>
    <row r="9" spans="1:8" x14ac:dyDescent="0.2">
      <c r="A9" s="60"/>
      <c r="B9" s="280"/>
      <c r="C9" s="60" t="s">
        <v>58</v>
      </c>
      <c r="D9" s="60" t="s">
        <v>59</v>
      </c>
      <c r="E9" s="60" t="s">
        <v>60</v>
      </c>
      <c r="F9" s="60" t="s">
        <v>61</v>
      </c>
      <c r="H9" s="128" t="s">
        <v>837</v>
      </c>
    </row>
    <row r="10" spans="1:8" x14ac:dyDescent="0.2">
      <c r="A10" s="60"/>
      <c r="B10" s="280" t="s">
        <v>80</v>
      </c>
      <c r="C10" s="281"/>
      <c r="D10" s="281"/>
      <c r="E10" s="281"/>
      <c r="F10" s="281"/>
      <c r="H10" s="41"/>
    </row>
    <row r="11" spans="1:8" x14ac:dyDescent="0.2">
      <c r="A11" s="60">
        <v>1</v>
      </c>
      <c r="B11" s="280" t="s">
        <v>85</v>
      </c>
      <c r="C11" s="284">
        <f>SUM(D11:F11)</f>
        <v>1279892129.5</v>
      </c>
      <c r="D11" s="285">
        <v>422699759.31</v>
      </c>
      <c r="E11" s="285">
        <v>454168194.19</v>
      </c>
      <c r="F11" s="285">
        <v>403024176</v>
      </c>
      <c r="H11" s="41" t="s">
        <v>874</v>
      </c>
    </row>
    <row r="12" spans="1:8" x14ac:dyDescent="0.2">
      <c r="A12" s="60">
        <v>2</v>
      </c>
      <c r="B12" s="280" t="s">
        <v>90</v>
      </c>
      <c r="C12" s="286">
        <f>SUM(D12:F12)</f>
        <v>636944211.34000003</v>
      </c>
      <c r="D12" s="287">
        <v>208617625.58999997</v>
      </c>
      <c r="E12" s="287">
        <v>227807903.28999999</v>
      </c>
      <c r="F12" s="287">
        <v>200518682.46000001</v>
      </c>
    </row>
    <row r="13" spans="1:8" x14ac:dyDescent="0.2">
      <c r="A13" s="60">
        <v>3</v>
      </c>
      <c r="B13" s="280" t="s">
        <v>94</v>
      </c>
      <c r="C13" s="286">
        <f>SUM(D13:F13)</f>
        <v>65643594.899999999</v>
      </c>
      <c r="D13" s="287">
        <v>21527709.700000003</v>
      </c>
      <c r="E13" s="287">
        <v>22807945.239999998</v>
      </c>
      <c r="F13" s="287">
        <v>21307939.960000001</v>
      </c>
    </row>
    <row r="14" spans="1:8" x14ac:dyDescent="0.2">
      <c r="A14" s="60">
        <v>4</v>
      </c>
      <c r="B14" s="280" t="s">
        <v>99</v>
      </c>
      <c r="C14" s="288">
        <f>SUM(D14:F14)</f>
        <v>62809074.470000006</v>
      </c>
      <c r="D14" s="289">
        <v>20395257.890000004</v>
      </c>
      <c r="E14" s="289">
        <v>22239875.580000002</v>
      </c>
      <c r="F14" s="289">
        <v>20173941</v>
      </c>
    </row>
    <row r="15" spans="1:8" x14ac:dyDescent="0.2">
      <c r="A15" s="60">
        <v>5</v>
      </c>
      <c r="B15" s="280" t="s">
        <v>102</v>
      </c>
      <c r="C15" s="286">
        <f>SUM(C11:C14)</f>
        <v>2045289010.2100003</v>
      </c>
      <c r="D15" s="286">
        <f>SUM(D11:D14)</f>
        <v>673240352.49000001</v>
      </c>
      <c r="E15" s="286">
        <f>SUM(E11:E14)</f>
        <v>727023918.30000007</v>
      </c>
      <c r="F15" s="286">
        <f>SUM(F11:F14)</f>
        <v>645024739.42000008</v>
      </c>
    </row>
    <row r="16" spans="1:8" x14ac:dyDescent="0.2">
      <c r="A16" s="60"/>
      <c r="B16" s="280"/>
      <c r="C16" s="290"/>
      <c r="D16" s="291"/>
      <c r="E16" s="291"/>
      <c r="F16" s="291"/>
    </row>
    <row r="17" spans="1:6" x14ac:dyDescent="0.2">
      <c r="A17" s="60"/>
      <c r="B17" s="280" t="s">
        <v>108</v>
      </c>
      <c r="C17" s="290"/>
      <c r="D17" s="290"/>
      <c r="E17" s="290"/>
      <c r="F17" s="290"/>
    </row>
    <row r="18" spans="1:6" x14ac:dyDescent="0.2">
      <c r="A18" s="60">
        <v>6</v>
      </c>
      <c r="B18" s="280" t="s">
        <v>85</v>
      </c>
      <c r="C18" s="286">
        <f>SUM(D18:F18)</f>
        <v>1732213.98</v>
      </c>
      <c r="D18" s="287">
        <v>430995.39999999991</v>
      </c>
      <c r="E18" s="287">
        <v>694701.12000000011</v>
      </c>
      <c r="F18" s="287">
        <v>606517.46000000008</v>
      </c>
    </row>
    <row r="19" spans="1:6" x14ac:dyDescent="0.2">
      <c r="A19" s="60">
        <v>7</v>
      </c>
      <c r="B19" s="280" t="s">
        <v>90</v>
      </c>
      <c r="C19" s="286">
        <f>SUM(D19:F19)</f>
        <v>275086.41000000003</v>
      </c>
      <c r="D19" s="287">
        <v>86089.36000000003</v>
      </c>
      <c r="E19" s="287">
        <v>95297.989999999991</v>
      </c>
      <c r="F19" s="287">
        <v>93699.059999999983</v>
      </c>
    </row>
    <row r="20" spans="1:6" x14ac:dyDescent="0.2">
      <c r="A20" s="60">
        <v>8</v>
      </c>
      <c r="B20" s="280" t="s">
        <v>94</v>
      </c>
      <c r="C20" s="286">
        <f>SUM(D20:F20)</f>
        <v>151544.09999999998</v>
      </c>
      <c r="D20" s="287">
        <v>2307.0999999999967</v>
      </c>
      <c r="E20" s="287">
        <v>27123.359999999997</v>
      </c>
      <c r="F20" s="287">
        <v>122113.63999999997</v>
      </c>
    </row>
    <row r="21" spans="1:6" x14ac:dyDescent="0.2">
      <c r="A21" s="60">
        <v>9</v>
      </c>
      <c r="B21" s="280" t="s">
        <v>99</v>
      </c>
      <c r="C21" s="292">
        <f>SUM(D21:F21)</f>
        <v>0</v>
      </c>
      <c r="D21" s="293">
        <v>0</v>
      </c>
      <c r="E21" s="293">
        <v>0</v>
      </c>
      <c r="F21" s="293">
        <v>0</v>
      </c>
    </row>
    <row r="22" spans="1:6" x14ac:dyDescent="0.2">
      <c r="A22" s="60">
        <v>10</v>
      </c>
      <c r="B22" s="280" t="s">
        <v>102</v>
      </c>
      <c r="C22" s="286">
        <f>SUM(C18:C21)</f>
        <v>2158844.4900000002</v>
      </c>
      <c r="D22" s="286">
        <f>SUM(D18:D21)</f>
        <v>519391.85999999993</v>
      </c>
      <c r="E22" s="286">
        <f>SUM(E18:E21)</f>
        <v>817122.47000000009</v>
      </c>
      <c r="F22" s="286">
        <f>SUM(F18:F21)</f>
        <v>822330.16</v>
      </c>
    </row>
    <row r="23" spans="1:6" x14ac:dyDescent="0.2">
      <c r="A23" s="60"/>
      <c r="B23" s="280"/>
      <c r="C23" s="281"/>
      <c r="D23" s="281"/>
      <c r="E23" s="281"/>
      <c r="F23" s="281"/>
    </row>
    <row r="24" spans="1:6" x14ac:dyDescent="0.2">
      <c r="A24" s="60"/>
      <c r="B24" s="280" t="s">
        <v>129</v>
      </c>
      <c r="C24" s="281"/>
      <c r="D24" s="281"/>
      <c r="E24" s="281"/>
      <c r="F24" s="281"/>
    </row>
    <row r="25" spans="1:6" x14ac:dyDescent="0.2">
      <c r="A25" s="60">
        <v>11</v>
      </c>
      <c r="B25" s="280" t="s">
        <v>85</v>
      </c>
      <c r="C25" s="294">
        <f t="shared" ref="C25:F29" si="0">C18/C11</f>
        <v>1.3534062285988921E-3</v>
      </c>
      <c r="D25" s="294">
        <f t="shared" si="0"/>
        <v>1.0196253735832294E-3</v>
      </c>
      <c r="E25" s="294">
        <f t="shared" si="0"/>
        <v>1.5296120003272925E-3</v>
      </c>
      <c r="F25" s="294">
        <f t="shared" si="0"/>
        <v>1.5049158242060399E-3</v>
      </c>
    </row>
    <row r="26" spans="1:6" x14ac:dyDescent="0.2">
      <c r="A26" s="60">
        <v>12</v>
      </c>
      <c r="B26" s="280" t="s">
        <v>90</v>
      </c>
      <c r="C26" s="294">
        <f t="shared" si="0"/>
        <v>4.3188462207902734E-4</v>
      </c>
      <c r="D26" s="294">
        <f t="shared" si="0"/>
        <v>4.126658030764525E-4</v>
      </c>
      <c r="E26" s="294">
        <f t="shared" si="0"/>
        <v>4.1832609239498343E-4</v>
      </c>
      <c r="F26" s="294">
        <f t="shared" si="0"/>
        <v>4.6728344137555024E-4</v>
      </c>
    </row>
    <row r="27" spans="1:6" x14ac:dyDescent="0.2">
      <c r="A27" s="60">
        <v>13</v>
      </c>
      <c r="B27" s="280" t="s">
        <v>94</v>
      </c>
      <c r="C27" s="295">
        <f t="shared" si="0"/>
        <v>2.3085892878179342E-3</v>
      </c>
      <c r="D27" s="295">
        <f t="shared" si="0"/>
        <v>1.071688550315223E-4</v>
      </c>
      <c r="E27" s="295">
        <f t="shared" si="0"/>
        <v>1.1892066433249644E-3</v>
      </c>
      <c r="F27" s="295">
        <f t="shared" si="0"/>
        <v>5.730898445801701E-3</v>
      </c>
    </row>
    <row r="28" spans="1:6" x14ac:dyDescent="0.2">
      <c r="A28" s="60">
        <v>14</v>
      </c>
      <c r="B28" s="280" t="s">
        <v>99</v>
      </c>
      <c r="C28" s="296">
        <f t="shared" si="0"/>
        <v>0</v>
      </c>
      <c r="D28" s="296">
        <f t="shared" si="0"/>
        <v>0</v>
      </c>
      <c r="E28" s="296">
        <f t="shared" si="0"/>
        <v>0</v>
      </c>
      <c r="F28" s="296">
        <f t="shared" si="0"/>
        <v>0</v>
      </c>
    </row>
    <row r="29" spans="1:6" x14ac:dyDescent="0.2">
      <c r="A29" s="60">
        <v>15</v>
      </c>
      <c r="B29" s="280" t="s">
        <v>140</v>
      </c>
      <c r="C29" s="294">
        <f t="shared" si="0"/>
        <v>1.0555205055242246E-3</v>
      </c>
      <c r="D29" s="294">
        <f t="shared" si="0"/>
        <v>7.7148058353753346E-4</v>
      </c>
      <c r="E29" s="294">
        <f t="shared" si="0"/>
        <v>1.123927905853053E-3</v>
      </c>
      <c r="F29" s="294">
        <f t="shared" si="0"/>
        <v>1.274881581657521E-3</v>
      </c>
    </row>
    <row r="30" spans="1:6" x14ac:dyDescent="0.2">
      <c r="A30" s="60"/>
      <c r="B30" s="280"/>
      <c r="C30" s="294"/>
      <c r="D30" s="294"/>
      <c r="E30" s="294"/>
      <c r="F30" s="294"/>
    </row>
    <row r="31" spans="1:6" x14ac:dyDescent="0.2">
      <c r="A31" s="60"/>
      <c r="B31" s="280" t="s">
        <v>145</v>
      </c>
      <c r="C31" s="290"/>
      <c r="D31" s="281"/>
      <c r="E31" s="281"/>
      <c r="F31" s="281"/>
    </row>
    <row r="32" spans="1:6" x14ac:dyDescent="0.2">
      <c r="A32" s="60">
        <v>16</v>
      </c>
      <c r="B32" s="280" t="s">
        <v>85</v>
      </c>
      <c r="C32" s="290">
        <f>C25*D11</f>
        <v>572084.48707740649</v>
      </c>
      <c r="D32" s="281"/>
      <c r="E32" s="281"/>
      <c r="F32" s="281"/>
    </row>
    <row r="33" spans="1:6" x14ac:dyDescent="0.2">
      <c r="A33" s="60">
        <v>17</v>
      </c>
      <c r="B33" s="280" t="s">
        <v>90</v>
      </c>
      <c r="C33" s="297">
        <f>C26*D12</f>
        <v>90098.74438696116</v>
      </c>
      <c r="D33" s="281"/>
      <c r="E33" s="281"/>
      <c r="F33" s="281"/>
    </row>
    <row r="34" spans="1:6" x14ac:dyDescent="0.2">
      <c r="A34" s="60">
        <v>18</v>
      </c>
      <c r="B34" s="280" t="s">
        <v>94</v>
      </c>
      <c r="C34" s="297">
        <f>C27*D13</f>
        <v>49698.640004674242</v>
      </c>
      <c r="D34" s="281"/>
      <c r="E34" s="281"/>
      <c r="F34" s="281"/>
    </row>
    <row r="35" spans="1:6" x14ac:dyDescent="0.2">
      <c r="A35" s="60">
        <v>19</v>
      </c>
      <c r="B35" s="280" t="s">
        <v>99</v>
      </c>
      <c r="C35" s="298">
        <f>C28*D14</f>
        <v>0</v>
      </c>
      <c r="D35" s="281"/>
      <c r="E35" s="290"/>
      <c r="F35" s="281"/>
    </row>
    <row r="36" spans="1:6" x14ac:dyDescent="0.2">
      <c r="A36" s="60">
        <v>20</v>
      </c>
      <c r="B36" s="280" t="s">
        <v>102</v>
      </c>
      <c r="C36" s="290">
        <f>SUM(C32:C35)</f>
        <v>711881.8714690418</v>
      </c>
      <c r="D36" s="290"/>
      <c r="E36" s="281"/>
      <c r="F36" s="281"/>
    </row>
    <row r="37" spans="1:6" x14ac:dyDescent="0.2">
      <c r="A37" s="60"/>
      <c r="B37" s="280"/>
      <c r="C37" s="281"/>
      <c r="D37" s="281"/>
      <c r="E37" s="281"/>
      <c r="F37" s="281"/>
    </row>
    <row r="38" spans="1:6" x14ac:dyDescent="0.2">
      <c r="A38" s="60">
        <v>21</v>
      </c>
      <c r="B38" s="280" t="s">
        <v>518</v>
      </c>
      <c r="C38" s="299">
        <f>'KSM-3 p4 - Factors'!D3</f>
        <v>0.11160000000000003</v>
      </c>
      <c r="D38" s="300"/>
      <c r="E38" s="300"/>
      <c r="F38" s="281"/>
    </row>
    <row r="39" spans="1:6" x14ac:dyDescent="0.2">
      <c r="A39" s="60"/>
      <c r="B39" s="280"/>
      <c r="C39" s="290"/>
      <c r="D39" s="290"/>
      <c r="E39" s="281"/>
      <c r="F39" s="281"/>
    </row>
    <row r="40" spans="1:6" x14ac:dyDescent="0.2">
      <c r="A40" s="60">
        <v>22</v>
      </c>
      <c r="B40" s="280" t="s">
        <v>517</v>
      </c>
      <c r="C40" s="290">
        <f>C36*C38</f>
        <v>79446.016855945083</v>
      </c>
      <c r="D40" s="290"/>
      <c r="E40" s="281"/>
      <c r="F40" s="281"/>
    </row>
    <row r="41" spans="1:6" x14ac:dyDescent="0.2">
      <c r="A41" s="60"/>
      <c r="B41" s="280"/>
      <c r="C41" s="290"/>
      <c r="D41" s="290"/>
      <c r="E41" s="281"/>
      <c r="F41" s="281"/>
    </row>
    <row r="42" spans="1:6" x14ac:dyDescent="0.2">
      <c r="A42" s="60">
        <v>23</v>
      </c>
      <c r="B42" s="280" t="s">
        <v>161</v>
      </c>
      <c r="C42" s="301">
        <f>+'KSM-2 p1 - Rev Req'!C20</f>
        <v>58165.898717000018</v>
      </c>
      <c r="D42" s="290"/>
      <c r="E42" s="281"/>
      <c r="F42" s="281"/>
    </row>
    <row r="43" spans="1:6" x14ac:dyDescent="0.2">
      <c r="A43" s="60"/>
      <c r="B43" s="280"/>
      <c r="C43" s="281"/>
      <c r="D43" s="290"/>
      <c r="E43" s="281"/>
      <c r="F43" s="281"/>
    </row>
    <row r="44" spans="1:6" ht="15.75" thickBot="1" x14ac:dyDescent="0.25">
      <c r="A44" s="60">
        <v>24</v>
      </c>
      <c r="B44" s="280" t="s">
        <v>166</v>
      </c>
      <c r="C44" s="302">
        <f>C40-C42</f>
        <v>21280.118138945065</v>
      </c>
      <c r="D44" s="290"/>
      <c r="E44" s="281"/>
      <c r="F44" s="281"/>
    </row>
    <row r="45" spans="1:6" ht="15.75" thickTop="1" x14ac:dyDescent="0.2">
      <c r="A45" s="280"/>
      <c r="B45" s="280"/>
      <c r="C45" s="290"/>
      <c r="D45" s="281"/>
      <c r="E45" s="281"/>
      <c r="F45" s="281"/>
    </row>
    <row r="46" spans="1:6" x14ac:dyDescent="0.2">
      <c r="A46" s="280"/>
      <c r="B46" s="280"/>
      <c r="C46" s="290"/>
      <c r="D46" s="290"/>
      <c r="E46" s="281"/>
      <c r="F46" s="281"/>
    </row>
    <row r="47" spans="1:6" x14ac:dyDescent="0.2">
      <c r="A47" s="280"/>
      <c r="B47" s="280"/>
      <c r="C47" s="290"/>
      <c r="D47" s="290"/>
      <c r="E47" s="281"/>
      <c r="F47" s="281"/>
    </row>
    <row r="48" spans="1:6" x14ac:dyDescent="0.2">
      <c r="A48" s="280"/>
      <c r="B48" s="280" t="s">
        <v>172</v>
      </c>
      <c r="C48" s="294">
        <f>+C29</f>
        <v>1.0555205055242246E-3</v>
      </c>
      <c r="D48" s="281" t="s">
        <v>173</v>
      </c>
      <c r="E48" s="281"/>
      <c r="F48" s="281"/>
    </row>
  </sheetData>
  <phoneticPr fontId="0" type="noConversion"/>
  <printOptions horizontalCentered="1"/>
  <pageMargins left="0.5" right="0.5" top="0.5" bottom="0.5" header="0.25" footer="0.25"/>
  <pageSetup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  <pageSetUpPr fitToPage="1"/>
  </sheetPr>
  <dimension ref="A1:F59"/>
  <sheetViews>
    <sheetView zoomScaleNormal="100" workbookViewId="0">
      <selection activeCell="A5" sqref="A5"/>
    </sheetView>
  </sheetViews>
  <sheetFormatPr defaultColWidth="9.140625" defaultRowHeight="15" x14ac:dyDescent="0.25"/>
  <cols>
    <col min="1" max="2" width="5.7109375" style="324" customWidth="1"/>
    <col min="3" max="3" width="49.7109375" style="324" customWidth="1"/>
    <col min="4" max="4" width="14.7109375" style="325" customWidth="1"/>
    <col min="5" max="5" width="9.140625" style="41"/>
    <col min="6" max="6" width="37.42578125" style="41" customWidth="1"/>
    <col min="7" max="16384" width="9.140625" style="41"/>
  </cols>
  <sheetData>
    <row r="1" spans="1:6" x14ac:dyDescent="0.25">
      <c r="A1" s="324" t="s">
        <v>0</v>
      </c>
      <c r="D1" s="139" t="s">
        <v>233</v>
      </c>
    </row>
    <row r="2" spans="1:6" x14ac:dyDescent="0.25">
      <c r="A2" s="324" t="s">
        <v>4</v>
      </c>
    </row>
    <row r="3" spans="1:6" x14ac:dyDescent="0.25">
      <c r="A3" s="324" t="s">
        <v>654</v>
      </c>
    </row>
    <row r="5" spans="1:6" x14ac:dyDescent="0.25">
      <c r="A5" s="326"/>
      <c r="D5" s="327" t="s">
        <v>496</v>
      </c>
      <c r="F5" s="128" t="s">
        <v>837</v>
      </c>
    </row>
    <row r="6" spans="1:6" x14ac:dyDescent="0.25">
      <c r="A6" s="326"/>
      <c r="B6" s="324" t="s">
        <v>234</v>
      </c>
    </row>
    <row r="7" spans="1:6" x14ac:dyDescent="0.25">
      <c r="A7" s="326">
        <v>1</v>
      </c>
      <c r="C7" s="324" t="s">
        <v>235</v>
      </c>
      <c r="D7" s="322">
        <v>776767235.75583327</v>
      </c>
      <c r="F7" s="41" t="s">
        <v>866</v>
      </c>
    </row>
    <row r="8" spans="1:6" x14ac:dyDescent="0.25">
      <c r="A8" s="326">
        <v>2</v>
      </c>
      <c r="C8" s="324" t="s">
        <v>236</v>
      </c>
      <c r="D8" s="322">
        <v>0</v>
      </c>
    </row>
    <row r="9" spans="1:6" x14ac:dyDescent="0.25">
      <c r="A9" s="326">
        <v>3</v>
      </c>
      <c r="C9" s="324" t="s">
        <v>258</v>
      </c>
      <c r="D9" s="322">
        <v>813733019.76499999</v>
      </c>
    </row>
    <row r="10" spans="1:6" x14ac:dyDescent="0.25">
      <c r="A10" s="326">
        <v>4</v>
      </c>
      <c r="C10" s="324" t="s">
        <v>237</v>
      </c>
      <c r="D10" s="322">
        <v>321.60500000000002</v>
      </c>
    </row>
    <row r="11" spans="1:6" x14ac:dyDescent="0.25">
      <c r="A11" s="326">
        <v>5</v>
      </c>
      <c r="C11" s="324" t="s">
        <v>238</v>
      </c>
      <c r="D11" s="323">
        <v>16505113.247083331</v>
      </c>
    </row>
    <row r="12" spans="1:6" x14ac:dyDescent="0.25">
      <c r="A12" s="326">
        <v>6</v>
      </c>
      <c r="C12" s="324" t="s">
        <v>643</v>
      </c>
      <c r="D12" s="322">
        <v>1607005690.3729167</v>
      </c>
    </row>
    <row r="13" spans="1:6" x14ac:dyDescent="0.25">
      <c r="A13" s="326"/>
      <c r="D13" s="322"/>
    </row>
    <row r="14" spans="1:6" x14ac:dyDescent="0.25">
      <c r="A14" s="326"/>
      <c r="B14" s="324" t="s">
        <v>239</v>
      </c>
      <c r="D14" s="322"/>
    </row>
    <row r="15" spans="1:6" x14ac:dyDescent="0.25">
      <c r="A15" s="326"/>
      <c r="B15" s="324" t="s">
        <v>644</v>
      </c>
      <c r="D15" s="322"/>
    </row>
    <row r="16" spans="1:6" x14ac:dyDescent="0.25">
      <c r="A16" s="326">
        <v>7</v>
      </c>
      <c r="C16" s="324" t="s">
        <v>240</v>
      </c>
      <c r="D16" s="322">
        <v>2981614839.0070834</v>
      </c>
    </row>
    <row r="17" spans="1:4" x14ac:dyDescent="0.25">
      <c r="A17" s="326">
        <v>8</v>
      </c>
      <c r="C17" s="324" t="s">
        <v>96</v>
      </c>
      <c r="D17" s="322">
        <v>-1327857300.4237499</v>
      </c>
    </row>
    <row r="18" spans="1:4" x14ac:dyDescent="0.25">
      <c r="A18" s="326">
        <v>9</v>
      </c>
      <c r="C18" s="324" t="s">
        <v>241</v>
      </c>
      <c r="D18" s="322">
        <v>-362148976.66499996</v>
      </c>
    </row>
    <row r="19" spans="1:4" x14ac:dyDescent="0.25">
      <c r="A19" s="326">
        <v>10</v>
      </c>
      <c r="C19" s="324" t="s">
        <v>242</v>
      </c>
      <c r="D19" s="322">
        <v>18056545.483333334</v>
      </c>
    </row>
    <row r="20" spans="1:4" x14ac:dyDescent="0.25">
      <c r="A20" s="326">
        <v>11</v>
      </c>
      <c r="C20" s="324" t="s">
        <v>243</v>
      </c>
      <c r="D20" s="322">
        <v>960294.56791666662</v>
      </c>
    </row>
    <row r="21" spans="1:4" x14ac:dyDescent="0.25">
      <c r="A21" s="326">
        <v>12</v>
      </c>
      <c r="C21" s="324" t="s">
        <v>110</v>
      </c>
      <c r="D21" s="322">
        <v>-5072450.7383333342</v>
      </c>
    </row>
    <row r="22" spans="1:4" x14ac:dyDescent="0.25">
      <c r="A22" s="326">
        <v>13</v>
      </c>
      <c r="C22" s="324" t="s">
        <v>244</v>
      </c>
      <c r="D22" s="322">
        <v>-4207251.7483333321</v>
      </c>
    </row>
    <row r="23" spans="1:4" x14ac:dyDescent="0.25">
      <c r="A23" s="326">
        <v>14</v>
      </c>
      <c r="C23" s="324" t="s">
        <v>493</v>
      </c>
      <c r="D23" s="323">
        <v>114848596.45041668</v>
      </c>
    </row>
    <row r="24" spans="1:4" x14ac:dyDescent="0.25">
      <c r="A24" s="326">
        <v>15</v>
      </c>
      <c r="C24" s="324" t="s">
        <v>245</v>
      </c>
      <c r="D24" s="322">
        <v>1416194295.9333339</v>
      </c>
    </row>
    <row r="25" spans="1:4" x14ac:dyDescent="0.25">
      <c r="A25" s="326"/>
      <c r="D25" s="322"/>
    </row>
    <row r="26" spans="1:4" x14ac:dyDescent="0.25">
      <c r="A26" s="326"/>
      <c r="B26" s="324" t="s">
        <v>645</v>
      </c>
      <c r="D26" s="322"/>
    </row>
    <row r="27" spans="1:4" x14ac:dyDescent="0.25">
      <c r="A27" s="326">
        <v>16</v>
      </c>
      <c r="C27" s="324" t="s">
        <v>246</v>
      </c>
      <c r="D27" s="322">
        <v>186480461.34208333</v>
      </c>
    </row>
    <row r="28" spans="1:4" x14ac:dyDescent="0.25">
      <c r="A28" s="326">
        <v>17</v>
      </c>
      <c r="C28" s="324" t="s">
        <v>247</v>
      </c>
      <c r="D28" s="322">
        <v>52659383.599583335</v>
      </c>
    </row>
    <row r="29" spans="1:4" x14ac:dyDescent="0.25">
      <c r="A29" s="326">
        <v>18</v>
      </c>
      <c r="C29" s="324" t="s">
        <v>248</v>
      </c>
      <c r="D29" s="322">
        <v>-19054380.725000001</v>
      </c>
    </row>
    <row r="30" spans="1:4" x14ac:dyDescent="0.25">
      <c r="A30" s="326">
        <v>19</v>
      </c>
      <c r="C30" s="324" t="s">
        <v>259</v>
      </c>
      <c r="D30" s="322">
        <v>-130058466.90958332</v>
      </c>
    </row>
    <row r="31" spans="1:4" x14ac:dyDescent="0.25">
      <c r="A31" s="326">
        <v>20</v>
      </c>
      <c r="C31" s="324" t="s">
        <v>260</v>
      </c>
      <c r="D31" s="322">
        <v>58304490.724583328</v>
      </c>
    </row>
    <row r="32" spans="1:4" x14ac:dyDescent="0.25">
      <c r="A32" s="326">
        <v>21</v>
      </c>
      <c r="C32" s="324" t="s">
        <v>261</v>
      </c>
      <c r="D32" s="322">
        <v>3298275.0337499999</v>
      </c>
    </row>
    <row r="33" spans="1:4" x14ac:dyDescent="0.25">
      <c r="A33" s="326">
        <v>22</v>
      </c>
      <c r="C33" s="324" t="s">
        <v>249</v>
      </c>
      <c r="D33" s="322">
        <v>-21270244.897499997</v>
      </c>
    </row>
    <row r="34" spans="1:4" x14ac:dyDescent="0.25">
      <c r="A34" s="326">
        <v>23</v>
      </c>
      <c r="C34" s="324" t="s">
        <v>250</v>
      </c>
      <c r="D34" s="323">
        <v>113293023.85458331</v>
      </c>
    </row>
    <row r="35" spans="1:4" x14ac:dyDescent="0.25">
      <c r="A35" s="326">
        <v>24</v>
      </c>
      <c r="C35" s="324" t="s">
        <v>251</v>
      </c>
      <c r="D35" s="328">
        <v>243652542.02250001</v>
      </c>
    </row>
    <row r="36" spans="1:4" x14ac:dyDescent="0.25">
      <c r="A36" s="326"/>
    </row>
    <row r="37" spans="1:4" x14ac:dyDescent="0.25">
      <c r="A37" s="326">
        <v>25</v>
      </c>
      <c r="B37" s="324" t="s">
        <v>646</v>
      </c>
      <c r="D37" s="322">
        <v>1659846837.9558339</v>
      </c>
    </row>
    <row r="38" spans="1:4" x14ac:dyDescent="0.25">
      <c r="A38" s="326">
        <v>26</v>
      </c>
      <c r="C38" s="324" t="s">
        <v>647</v>
      </c>
      <c r="D38" s="322">
        <v>-186480461.34208333</v>
      </c>
    </row>
    <row r="39" spans="1:4" x14ac:dyDescent="0.25">
      <c r="A39" s="326">
        <v>27</v>
      </c>
      <c r="C39" s="324" t="s">
        <v>648</v>
      </c>
      <c r="D39" s="323">
        <v>21270244.897499997</v>
      </c>
    </row>
    <row r="40" spans="1:4" x14ac:dyDescent="0.25">
      <c r="A40" s="326">
        <v>28</v>
      </c>
      <c r="B40" s="324" t="s">
        <v>253</v>
      </c>
      <c r="D40" s="328">
        <v>1494636621.5112505</v>
      </c>
    </row>
    <row r="41" spans="1:4" x14ac:dyDescent="0.25">
      <c r="A41" s="326"/>
    </row>
    <row r="42" spans="1:4" x14ac:dyDescent="0.25">
      <c r="A42" s="326">
        <v>29</v>
      </c>
      <c r="B42" s="324" t="s">
        <v>649</v>
      </c>
      <c r="D42" s="329">
        <v>112369068.8616662</v>
      </c>
    </row>
    <row r="43" spans="1:4" x14ac:dyDescent="0.25">
      <c r="A43" s="326">
        <v>30</v>
      </c>
      <c r="C43" s="324" t="s">
        <v>252</v>
      </c>
      <c r="D43" s="322">
        <v>34231889.697083339</v>
      </c>
    </row>
    <row r="44" spans="1:4" x14ac:dyDescent="0.25">
      <c r="A44" s="326">
        <v>31</v>
      </c>
      <c r="B44" s="324" t="s">
        <v>650</v>
      </c>
      <c r="D44" s="330">
        <v>78137179.164582863</v>
      </c>
    </row>
    <row r="45" spans="1:4" x14ac:dyDescent="0.25">
      <c r="A45" s="326"/>
      <c r="D45" s="331"/>
    </row>
    <row r="46" spans="1:4" x14ac:dyDescent="0.25">
      <c r="A46" s="326">
        <v>32</v>
      </c>
      <c r="B46" s="324" t="s">
        <v>651</v>
      </c>
      <c r="D46" s="332">
        <v>5.2661736021671124E-2</v>
      </c>
    </row>
    <row r="47" spans="1:4" x14ac:dyDescent="0.25">
      <c r="A47" s="326"/>
    </row>
    <row r="48" spans="1:4" x14ac:dyDescent="0.25">
      <c r="A48" s="326">
        <v>33</v>
      </c>
      <c r="B48" s="324" t="s">
        <v>760</v>
      </c>
      <c r="D48" s="333">
        <v>173761403.35633695</v>
      </c>
    </row>
    <row r="49" spans="1:4" x14ac:dyDescent="0.25">
      <c r="A49" s="326"/>
      <c r="D49" s="333"/>
    </row>
    <row r="50" spans="1:4" x14ac:dyDescent="0.25">
      <c r="A50" s="326">
        <v>34</v>
      </c>
      <c r="B50" s="324" t="s">
        <v>652</v>
      </c>
      <c r="D50" s="329">
        <v>9150577.1543065347</v>
      </c>
    </row>
    <row r="51" spans="1:4" x14ac:dyDescent="0.25">
      <c r="A51" s="326"/>
      <c r="B51" s="324" t="s">
        <v>254</v>
      </c>
      <c r="D51" s="333"/>
    </row>
    <row r="52" spans="1:4" x14ac:dyDescent="0.25">
      <c r="A52" s="326">
        <v>35</v>
      </c>
      <c r="C52" s="324" t="s">
        <v>255</v>
      </c>
      <c r="D52" s="329">
        <v>34231889.697083339</v>
      </c>
    </row>
    <row r="53" spans="1:4" x14ac:dyDescent="0.25">
      <c r="A53" s="326">
        <v>36</v>
      </c>
      <c r="C53" s="324" t="s">
        <v>653</v>
      </c>
      <c r="D53" s="334">
        <v>0.10419999999999996</v>
      </c>
    </row>
    <row r="54" spans="1:4" x14ac:dyDescent="0.25">
      <c r="A54" s="326">
        <v>37</v>
      </c>
      <c r="C54" s="324" t="s">
        <v>262</v>
      </c>
      <c r="D54" s="329">
        <v>3566962.9064360824</v>
      </c>
    </row>
    <row r="55" spans="1:4" x14ac:dyDescent="0.25">
      <c r="A55" s="326"/>
      <c r="D55" s="333"/>
    </row>
    <row r="56" spans="1:4" ht="15.75" thickBot="1" x14ac:dyDescent="0.3">
      <c r="A56" s="326">
        <v>38</v>
      </c>
      <c r="B56" s="324" t="s">
        <v>263</v>
      </c>
      <c r="D56" s="335">
        <v>12717540.060742617</v>
      </c>
    </row>
    <row r="57" spans="1:4" ht="15.75" thickTop="1" x14ac:dyDescent="0.25">
      <c r="A57" s="326"/>
    </row>
    <row r="59" spans="1:4" x14ac:dyDescent="0.25">
      <c r="B59" s="324" t="s">
        <v>760</v>
      </c>
      <c r="D59" s="333">
        <f>+'KSM-2 p1 - Rev Req'!C35+SUM('KSM-4 p2 &amp; p3 - Adjust Issues'!C47:G47)+SUM('KSM-4 p2 &amp; p3 - Adjust Issues'!I47:L47)+SUM('KSM-4 p2 &amp; p3 - Adjust Issues'!N47:T47)</f>
        <v>173866485.61421365</v>
      </c>
    </row>
  </sheetData>
  <phoneticPr fontId="0" type="noConversion"/>
  <printOptions horizontalCentered="1"/>
  <pageMargins left="0.5" right="0.5" top="0.5" bottom="0.5" header="0.25" footer="0.25"/>
  <pageSetup scale="8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G28"/>
  <sheetViews>
    <sheetView zoomScaleNormal="100" workbookViewId="0">
      <selection activeCell="G20" sqref="G20"/>
    </sheetView>
  </sheetViews>
  <sheetFormatPr defaultColWidth="9.140625" defaultRowHeight="15" x14ac:dyDescent="0.2"/>
  <cols>
    <col min="1" max="1" width="4.7109375" style="108" customWidth="1"/>
    <col min="2" max="2" width="51.140625" style="108" customWidth="1"/>
    <col min="3" max="5" width="13.7109375" style="41" customWidth="1"/>
    <col min="6" max="6" width="9.140625" style="41"/>
    <col min="7" max="7" width="38" style="41" customWidth="1"/>
    <col min="8" max="16384" width="9.140625" style="41"/>
  </cols>
  <sheetData>
    <row r="1" spans="1:7" x14ac:dyDescent="0.2">
      <c r="A1" s="108" t="s">
        <v>0</v>
      </c>
      <c r="E1" s="266" t="s">
        <v>2</v>
      </c>
    </row>
    <row r="2" spans="1:7" x14ac:dyDescent="0.2">
      <c r="A2" s="108" t="str">
        <f>+'KSM-3 p5 - Taxes'!A2</f>
        <v>Test Year Based on Twelve Months Ended September 30, 2018</v>
      </c>
    </row>
    <row r="3" spans="1:7" x14ac:dyDescent="0.2">
      <c r="A3" s="108" t="s">
        <v>373</v>
      </c>
    </row>
    <row r="5" spans="1:7" x14ac:dyDescent="0.2">
      <c r="C5" s="262" t="s">
        <v>10</v>
      </c>
      <c r="D5" s="262"/>
      <c r="E5" s="262"/>
    </row>
    <row r="6" spans="1:7" x14ac:dyDescent="0.2">
      <c r="A6" s="127" t="s">
        <v>17</v>
      </c>
      <c r="C6" s="262" t="s">
        <v>368</v>
      </c>
      <c r="D6" s="262" t="s">
        <v>31</v>
      </c>
      <c r="E6" s="262" t="s">
        <v>32</v>
      </c>
    </row>
    <row r="7" spans="1:7" x14ac:dyDescent="0.2">
      <c r="A7" s="128" t="s">
        <v>33</v>
      </c>
      <c r="B7" s="128" t="s">
        <v>369</v>
      </c>
      <c r="C7" s="128" t="s">
        <v>53</v>
      </c>
      <c r="D7" s="128" t="s">
        <v>54</v>
      </c>
      <c r="E7" s="128" t="s">
        <v>53</v>
      </c>
    </row>
    <row r="8" spans="1:7" x14ac:dyDescent="0.2">
      <c r="A8" s="127"/>
      <c r="C8" s="127" t="s">
        <v>58</v>
      </c>
      <c r="D8" s="127" t="s">
        <v>59</v>
      </c>
      <c r="E8" s="127" t="s">
        <v>60</v>
      </c>
      <c r="G8" s="128" t="s">
        <v>837</v>
      </c>
    </row>
    <row r="9" spans="1:7" x14ac:dyDescent="0.2">
      <c r="A9" s="127"/>
      <c r="B9" s="262"/>
    </row>
    <row r="10" spans="1:7" ht="15.75" thickBot="1" x14ac:dyDescent="0.25">
      <c r="A10" s="127">
        <v>1</v>
      </c>
      <c r="B10" s="108" t="s">
        <v>635</v>
      </c>
      <c r="C10" s="261">
        <v>236574.84294028717</v>
      </c>
      <c r="D10" s="268">
        <v>1</v>
      </c>
      <c r="E10" s="261">
        <f>-C10*D10</f>
        <v>-236574.84294028717</v>
      </c>
      <c r="G10" s="41" t="s">
        <v>861</v>
      </c>
    </row>
    <row r="11" spans="1:7" ht="15.75" thickTop="1" x14ac:dyDescent="0.2">
      <c r="A11" s="127"/>
      <c r="C11" s="264"/>
      <c r="D11" s="268"/>
      <c r="E11" s="264"/>
    </row>
    <row r="12" spans="1:7" x14ac:dyDescent="0.2">
      <c r="A12" s="127"/>
      <c r="E12" s="236"/>
    </row>
    <row r="13" spans="1:7" x14ac:dyDescent="0.2">
      <c r="A13" s="127"/>
      <c r="E13" s="236"/>
    </row>
    <row r="14" spans="1:7" x14ac:dyDescent="0.2">
      <c r="C14" s="127"/>
      <c r="D14" s="262" t="s">
        <v>51</v>
      </c>
      <c r="E14" s="262" t="s">
        <v>32</v>
      </c>
    </row>
    <row r="15" spans="1:7" x14ac:dyDescent="0.2">
      <c r="C15" s="262" t="s">
        <v>9</v>
      </c>
      <c r="D15" s="262" t="s">
        <v>365</v>
      </c>
      <c r="E15" s="262" t="s">
        <v>10</v>
      </c>
    </row>
    <row r="16" spans="1:7" x14ac:dyDescent="0.2">
      <c r="A16" s="127"/>
      <c r="C16" s="262" t="s">
        <v>30</v>
      </c>
      <c r="D16" s="262" t="s">
        <v>366</v>
      </c>
      <c r="E16" s="262" t="s">
        <v>368</v>
      </c>
    </row>
    <row r="17" spans="1:7" x14ac:dyDescent="0.2">
      <c r="A17" s="127"/>
      <c r="B17" s="128" t="s">
        <v>467</v>
      </c>
      <c r="C17" s="128" t="s">
        <v>53</v>
      </c>
      <c r="D17" s="128" t="s">
        <v>367</v>
      </c>
      <c r="E17" s="128" t="s">
        <v>53</v>
      </c>
    </row>
    <row r="18" spans="1:7" x14ac:dyDescent="0.2">
      <c r="A18" s="127"/>
      <c r="B18" s="127"/>
      <c r="C18" s="127" t="s">
        <v>58</v>
      </c>
      <c r="D18" s="127" t="s">
        <v>59</v>
      </c>
      <c r="E18" s="127" t="s">
        <v>60</v>
      </c>
    </row>
    <row r="19" spans="1:7" x14ac:dyDescent="0.2">
      <c r="A19" s="127"/>
      <c r="B19" s="41"/>
      <c r="C19" s="127"/>
      <c r="D19" s="108"/>
      <c r="E19" s="108"/>
    </row>
    <row r="20" spans="1:7" ht="15.75" thickBot="1" x14ac:dyDescent="0.25">
      <c r="A20" s="127">
        <v>2</v>
      </c>
      <c r="B20" s="108" t="s">
        <v>374</v>
      </c>
      <c r="C20" s="261">
        <v>452073</v>
      </c>
      <c r="D20" s="263">
        <f>+'KSM-3 p4 - Factors'!D4</f>
        <v>0.11270000000000002</v>
      </c>
      <c r="E20" s="261">
        <f>-+C20*D20</f>
        <v>-50948.627100000012</v>
      </c>
      <c r="G20" s="41" t="s">
        <v>861</v>
      </c>
    </row>
    <row r="21" spans="1:7" ht="15.75" thickTop="1" x14ac:dyDescent="0.2">
      <c r="A21" s="127"/>
      <c r="E21" s="242"/>
    </row>
    <row r="22" spans="1:7" x14ac:dyDescent="0.2">
      <c r="A22" s="127"/>
      <c r="E22" s="242"/>
    </row>
    <row r="25" spans="1:7" x14ac:dyDescent="0.2">
      <c r="A25" s="41"/>
      <c r="B25" s="128" t="s">
        <v>702</v>
      </c>
    </row>
    <row r="26" spans="1:7" x14ac:dyDescent="0.2">
      <c r="A26" s="41"/>
      <c r="B26" s="41"/>
    </row>
    <row r="27" spans="1:7" ht="15.75" thickBot="1" x14ac:dyDescent="0.25">
      <c r="A27" s="127">
        <v>3</v>
      </c>
      <c r="B27" s="108" t="s">
        <v>636</v>
      </c>
      <c r="E27" s="265">
        <f>+E10+E20</f>
        <v>-287523.47004028718</v>
      </c>
    </row>
    <row r="28" spans="1:7" ht="15.75" thickTop="1" x14ac:dyDescent="0.2"/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G36"/>
  <sheetViews>
    <sheetView workbookViewId="0">
      <selection activeCell="G16" sqref="G16"/>
    </sheetView>
  </sheetViews>
  <sheetFormatPr defaultColWidth="9.140625" defaultRowHeight="15" x14ac:dyDescent="0.2"/>
  <cols>
    <col min="1" max="1" width="4.7109375" style="54" customWidth="1"/>
    <col min="2" max="2" width="40.7109375" style="54" customWidth="1"/>
    <col min="3" max="3" width="13.5703125" style="2" customWidth="1"/>
    <col min="4" max="5" width="14.7109375" style="2" customWidth="1"/>
    <col min="6" max="6" width="9.140625" style="2"/>
    <col min="7" max="7" width="37.42578125" style="2" customWidth="1"/>
    <col min="8" max="16384" width="9.140625" style="2"/>
  </cols>
  <sheetData>
    <row r="1" spans="1:7" x14ac:dyDescent="0.2">
      <c r="A1" s="54" t="str">
        <f>'KSM-4 p10 - Uncollectible'!A1</f>
        <v>NW Natural</v>
      </c>
      <c r="D1" s="54"/>
      <c r="E1" s="139" t="s">
        <v>3</v>
      </c>
      <c r="F1" s="41"/>
    </row>
    <row r="2" spans="1:7" x14ac:dyDescent="0.2">
      <c r="A2" s="54" t="str">
        <f>'KSM-4 p10 - Uncollectible'!A2</f>
        <v>Test Year Based on Twelve Months Ended September 30, 2018</v>
      </c>
      <c r="D2" s="54"/>
      <c r="E2" s="54"/>
    </row>
    <row r="3" spans="1:7" x14ac:dyDescent="0.2">
      <c r="A3" s="54" t="s">
        <v>8</v>
      </c>
      <c r="D3" s="54"/>
      <c r="E3" s="54"/>
    </row>
    <row r="4" spans="1:7" x14ac:dyDescent="0.2">
      <c r="D4" s="54"/>
      <c r="E4" s="54"/>
    </row>
    <row r="5" spans="1:7" x14ac:dyDescent="0.2">
      <c r="D5" s="54"/>
      <c r="E5" s="54"/>
    </row>
    <row r="6" spans="1:7" x14ac:dyDescent="0.2">
      <c r="A6" s="60" t="s">
        <v>17</v>
      </c>
      <c r="D6" s="54"/>
      <c r="E6" s="54"/>
    </row>
    <row r="7" spans="1:7" x14ac:dyDescent="0.2">
      <c r="A7" s="212" t="s">
        <v>33</v>
      </c>
      <c r="D7" s="212" t="s">
        <v>56</v>
      </c>
      <c r="E7" s="212" t="s">
        <v>57</v>
      </c>
      <c r="G7" s="500" t="s">
        <v>837</v>
      </c>
    </row>
    <row r="8" spans="1:7" x14ac:dyDescent="0.2">
      <c r="A8" s="60"/>
      <c r="D8" s="60" t="s">
        <v>58</v>
      </c>
      <c r="E8" s="60" t="s">
        <v>59</v>
      </c>
    </row>
    <row r="9" spans="1:7" x14ac:dyDescent="0.2">
      <c r="A9" s="60"/>
    </row>
    <row r="10" spans="1:7" x14ac:dyDescent="0.2">
      <c r="A10" s="60"/>
    </row>
    <row r="11" spans="1:7" x14ac:dyDescent="0.2">
      <c r="A11" s="60">
        <v>1</v>
      </c>
      <c r="B11" s="54" t="s">
        <v>86</v>
      </c>
      <c r="D11" s="236">
        <v>112509</v>
      </c>
      <c r="E11" s="236">
        <v>145967</v>
      </c>
      <c r="G11" s="41" t="s">
        <v>867</v>
      </c>
    </row>
    <row r="12" spans="1:7" x14ac:dyDescent="0.2">
      <c r="A12" s="60"/>
    </row>
    <row r="13" spans="1:7" x14ac:dyDescent="0.2">
      <c r="A13" s="60"/>
      <c r="B13" s="54" t="s">
        <v>95</v>
      </c>
    </row>
    <row r="14" spans="1:7" x14ac:dyDescent="0.2">
      <c r="A14" s="60">
        <v>2</v>
      </c>
      <c r="B14" s="54" t="s">
        <v>585</v>
      </c>
      <c r="D14" s="242">
        <v>186612</v>
      </c>
      <c r="E14" s="242">
        <v>120967</v>
      </c>
      <c r="G14" s="41" t="s">
        <v>867</v>
      </c>
    </row>
    <row r="15" spans="1:7" x14ac:dyDescent="0.2">
      <c r="A15" s="60">
        <v>3</v>
      </c>
      <c r="B15" s="54" t="s">
        <v>602</v>
      </c>
      <c r="D15" s="91">
        <f>+C32</f>
        <v>240998.05000000002</v>
      </c>
      <c r="E15" s="91">
        <v>0</v>
      </c>
      <c r="G15" s="2" t="s">
        <v>885</v>
      </c>
    </row>
    <row r="16" spans="1:7" x14ac:dyDescent="0.2">
      <c r="A16" s="60">
        <v>4</v>
      </c>
      <c r="B16" s="54" t="s">
        <v>106</v>
      </c>
      <c r="D16" s="33">
        <f>D14+D15</f>
        <v>427610.05000000005</v>
      </c>
      <c r="E16" s="33">
        <f>E14+E15</f>
        <v>120967</v>
      </c>
    </row>
    <row r="17" spans="1:7" x14ac:dyDescent="0.2">
      <c r="A17" s="60"/>
      <c r="D17" s="33"/>
      <c r="E17" s="33"/>
    </row>
    <row r="18" spans="1:7" x14ac:dyDescent="0.2">
      <c r="A18" s="60">
        <v>5</v>
      </c>
      <c r="B18" s="54" t="s">
        <v>113</v>
      </c>
      <c r="D18" s="33">
        <f>D16-D11</f>
        <v>315101.05000000005</v>
      </c>
      <c r="E18" s="33">
        <f>E16-E11</f>
        <v>-25000</v>
      </c>
    </row>
    <row r="19" spans="1:7" x14ac:dyDescent="0.2">
      <c r="A19" s="60"/>
    </row>
    <row r="20" spans="1:7" x14ac:dyDescent="0.2">
      <c r="A20" s="60">
        <v>6</v>
      </c>
      <c r="B20" s="54" t="s">
        <v>118</v>
      </c>
      <c r="C20" s="23"/>
    </row>
    <row r="21" spans="1:7" x14ac:dyDescent="0.2">
      <c r="A21" s="60"/>
      <c r="B21" s="54" t="s">
        <v>122</v>
      </c>
      <c r="D21" s="81">
        <f>+'KSM-3 p4 - Factors'!D8</f>
        <v>0.11209999999999998</v>
      </c>
      <c r="E21" s="81">
        <f>+'KSM-3 p4 - Factors'!D23</f>
        <v>0.11580000000000001</v>
      </c>
    </row>
    <row r="22" spans="1:7" x14ac:dyDescent="0.2">
      <c r="A22" s="60"/>
    </row>
    <row r="23" spans="1:7" ht="15.75" thickBot="1" x14ac:dyDescent="0.25">
      <c r="A23" s="60">
        <v>7</v>
      </c>
      <c r="B23" s="54" t="s">
        <v>28</v>
      </c>
      <c r="D23" s="303">
        <f>D18*D21</f>
        <v>35322.827704999996</v>
      </c>
      <c r="E23" s="303">
        <f>E18*E21</f>
        <v>-2895.0000000000005</v>
      </c>
    </row>
    <row r="24" spans="1:7" ht="15.75" thickTop="1" x14ac:dyDescent="0.2">
      <c r="A24" s="60"/>
    </row>
    <row r="25" spans="1:7" x14ac:dyDescent="0.2">
      <c r="A25" s="60"/>
    </row>
    <row r="27" spans="1:7" x14ac:dyDescent="0.2">
      <c r="A27" s="54" t="s">
        <v>287</v>
      </c>
      <c r="B27" s="54" t="s">
        <v>163</v>
      </c>
      <c r="C27" s="75" t="s">
        <v>584</v>
      </c>
    </row>
    <row r="29" spans="1:7" x14ac:dyDescent="0.2">
      <c r="B29" s="304" t="s">
        <v>599</v>
      </c>
      <c r="C29" s="242">
        <v>298382.52</v>
      </c>
      <c r="D29" s="33"/>
      <c r="G29" s="41" t="s">
        <v>867</v>
      </c>
    </row>
    <row r="30" spans="1:7" x14ac:dyDescent="0.2">
      <c r="B30" s="304" t="s">
        <v>600</v>
      </c>
      <c r="C30" s="242">
        <v>358714.63</v>
      </c>
      <c r="D30" s="33"/>
      <c r="G30" s="41" t="s">
        <v>867</v>
      </c>
    </row>
    <row r="31" spans="1:7" x14ac:dyDescent="0.2">
      <c r="B31" s="304" t="s">
        <v>601</v>
      </c>
      <c r="C31" s="243">
        <v>65897</v>
      </c>
      <c r="G31" s="41" t="s">
        <v>867</v>
      </c>
    </row>
    <row r="32" spans="1:7" x14ac:dyDescent="0.2">
      <c r="B32" s="54" t="s">
        <v>491</v>
      </c>
      <c r="C32" s="33">
        <f>AVERAGE(C29:C31)</f>
        <v>240998.05000000002</v>
      </c>
    </row>
    <row r="36" spans="2:2" x14ac:dyDescent="0.2">
      <c r="B36" s="304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  <pageSetUpPr fitToPage="1"/>
  </sheetPr>
  <dimension ref="A1:E21"/>
  <sheetViews>
    <sheetView workbookViewId="0">
      <selection activeCell="H14" sqref="H14"/>
    </sheetView>
  </sheetViews>
  <sheetFormatPr defaultColWidth="9.140625" defaultRowHeight="15" x14ac:dyDescent="0.2"/>
  <cols>
    <col min="1" max="1" width="4.7109375" style="2" customWidth="1"/>
    <col min="2" max="2" width="52.28515625" style="2" customWidth="1"/>
    <col min="3" max="3" width="14.85546875" style="2" customWidth="1"/>
    <col min="4" max="4" width="9.140625" style="2"/>
    <col min="5" max="5" width="11.5703125" style="2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349</v>
      </c>
      <c r="D1" s="41"/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331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260" t="s">
        <v>33</v>
      </c>
      <c r="B7" s="54"/>
      <c r="C7" s="260" t="s">
        <v>56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x14ac:dyDescent="0.2">
      <c r="A10" s="60"/>
      <c r="B10" s="54"/>
    </row>
    <row r="11" spans="1:5" ht="15.75" thickBot="1" x14ac:dyDescent="0.25">
      <c r="A11" s="60">
        <v>1</v>
      </c>
      <c r="B11" s="54" t="s">
        <v>330</v>
      </c>
      <c r="C11" s="374">
        <f>+C21</f>
        <v>413500</v>
      </c>
    </row>
    <row r="12" spans="1:5" ht="15.75" thickTop="1" x14ac:dyDescent="0.2"/>
    <row r="13" spans="1:5" ht="15.75" thickBot="1" x14ac:dyDescent="0.25">
      <c r="A13" s="60">
        <v>2</v>
      </c>
      <c r="B13" s="54" t="s">
        <v>332</v>
      </c>
      <c r="C13" s="303">
        <f>+C11/3</f>
        <v>137833.33333333334</v>
      </c>
    </row>
    <row r="14" spans="1:5" ht="15.75" thickTop="1" x14ac:dyDescent="0.2"/>
    <row r="16" spans="1:5" x14ac:dyDescent="0.2">
      <c r="E16" s="519" t="s">
        <v>837</v>
      </c>
    </row>
    <row r="18" spans="2:5" x14ac:dyDescent="0.2">
      <c r="B18" s="54" t="s">
        <v>679</v>
      </c>
      <c r="C18" s="2">
        <v>83500</v>
      </c>
      <c r="E18" s="2" t="s">
        <v>884</v>
      </c>
    </row>
    <row r="19" spans="2:5" x14ac:dyDescent="0.2">
      <c r="B19" s="54" t="s">
        <v>680</v>
      </c>
      <c r="C19" s="2">
        <v>130000</v>
      </c>
      <c r="E19" s="2" t="s">
        <v>884</v>
      </c>
    </row>
    <row r="20" spans="2:5" x14ac:dyDescent="0.2">
      <c r="B20" s="54" t="s">
        <v>681</v>
      </c>
      <c r="C20" s="75">
        <v>200000</v>
      </c>
      <c r="E20" s="2" t="s">
        <v>884</v>
      </c>
    </row>
    <row r="21" spans="2:5" x14ac:dyDescent="0.2">
      <c r="B21" s="225" t="s">
        <v>682</v>
      </c>
      <c r="C21" s="2">
        <f>+C18+C19+C20</f>
        <v>413500</v>
      </c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H47"/>
  <sheetViews>
    <sheetView zoomScaleNormal="100" workbookViewId="0">
      <selection activeCell="C21" sqref="C21"/>
    </sheetView>
  </sheetViews>
  <sheetFormatPr defaultColWidth="10.28515625" defaultRowHeight="15" x14ac:dyDescent="0.2"/>
  <cols>
    <col min="1" max="1" width="4.7109375" style="54" customWidth="1"/>
    <col min="2" max="2" width="49.5703125" style="54" customWidth="1"/>
    <col min="3" max="3" width="15" style="2" customWidth="1"/>
    <col min="4" max="4" width="5.7109375" style="2" customWidth="1"/>
    <col min="5" max="5" width="13.7109375" style="2" customWidth="1"/>
    <col min="6" max="6" width="16.7109375" style="2" customWidth="1"/>
    <col min="7" max="7" width="12.5703125" style="2" customWidth="1"/>
    <col min="8" max="11" width="10.28515625" style="2" customWidth="1"/>
    <col min="12" max="12" width="18.5703125" style="2" customWidth="1"/>
    <col min="13" max="16384" width="10.28515625" style="2"/>
  </cols>
  <sheetData>
    <row r="1" spans="1:8" x14ac:dyDescent="0.2">
      <c r="A1" s="54" t="s">
        <v>0</v>
      </c>
      <c r="E1" s="60"/>
    </row>
    <row r="2" spans="1:8" x14ac:dyDescent="0.2">
      <c r="A2" s="54" t="s">
        <v>4</v>
      </c>
    </row>
    <row r="3" spans="1:8" x14ac:dyDescent="0.2">
      <c r="A3" s="5" t="s">
        <v>515</v>
      </c>
    </row>
    <row r="4" spans="1:8" x14ac:dyDescent="0.2">
      <c r="G4" s="25"/>
      <c r="H4" s="25"/>
    </row>
    <row r="6" spans="1:8" x14ac:dyDescent="0.2">
      <c r="C6" s="60" t="s">
        <v>9</v>
      </c>
      <c r="D6" s="60"/>
      <c r="E6" s="60" t="s">
        <v>10</v>
      </c>
      <c r="H6" s="25"/>
    </row>
    <row r="7" spans="1:8" x14ac:dyDescent="0.2">
      <c r="A7" s="60" t="s">
        <v>17</v>
      </c>
      <c r="C7" s="60" t="s">
        <v>13</v>
      </c>
      <c r="D7" s="60"/>
      <c r="E7" s="60" t="s">
        <v>13</v>
      </c>
    </row>
    <row r="8" spans="1:8" x14ac:dyDescent="0.2">
      <c r="A8" s="89" t="s">
        <v>33</v>
      </c>
      <c r="C8" s="336" t="s">
        <v>18</v>
      </c>
      <c r="D8" s="60"/>
      <c r="E8" s="336" t="s">
        <v>18</v>
      </c>
    </row>
    <row r="9" spans="1:8" x14ac:dyDescent="0.2">
      <c r="A9" s="60"/>
      <c r="C9" s="60" t="s">
        <v>58</v>
      </c>
      <c r="D9" s="60"/>
      <c r="E9" s="60" t="s">
        <v>59</v>
      </c>
    </row>
    <row r="10" spans="1:8" x14ac:dyDescent="0.2">
      <c r="A10" s="60"/>
    </row>
    <row r="11" spans="1:8" x14ac:dyDescent="0.2">
      <c r="A11" s="60"/>
      <c r="B11" s="54" t="s">
        <v>78</v>
      </c>
      <c r="C11" s="63"/>
      <c r="E11" s="63"/>
    </row>
    <row r="12" spans="1:8" x14ac:dyDescent="0.25">
      <c r="A12" s="60">
        <v>1</v>
      </c>
      <c r="B12" s="54" t="s">
        <v>81</v>
      </c>
      <c r="C12" s="64">
        <v>665326648.60000002</v>
      </c>
      <c r="D12" s="64"/>
      <c r="E12" s="64">
        <f>'KSM-2 p1 - Rev Req'!C12</f>
        <v>67314413.069999993</v>
      </c>
      <c r="H12" s="321"/>
    </row>
    <row r="13" spans="1:8" x14ac:dyDescent="0.2">
      <c r="A13" s="60">
        <v>2</v>
      </c>
      <c r="B13" s="54" t="s">
        <v>87</v>
      </c>
      <c r="C13" s="65">
        <v>19869300</v>
      </c>
      <c r="D13" s="33"/>
      <c r="E13" s="65">
        <f>'KSM-2 p1 - Rev Req'!C13</f>
        <v>2370980.7199999997</v>
      </c>
    </row>
    <row r="14" spans="1:8" x14ac:dyDescent="0.2">
      <c r="A14" s="60">
        <v>3</v>
      </c>
      <c r="B14" s="54" t="s">
        <v>91</v>
      </c>
      <c r="C14" s="67">
        <f>+'WP - Other Rev &amp; Tax'!G18</f>
        <v>2191734.5699999998</v>
      </c>
      <c r="D14" s="33"/>
      <c r="E14" s="67">
        <f>'KSM-2 p1 - Rev Req'!C14</f>
        <v>-2048364.0723769995</v>
      </c>
    </row>
    <row r="15" spans="1:8" x14ac:dyDescent="0.2">
      <c r="A15" s="60"/>
      <c r="C15" s="65"/>
      <c r="D15" s="378"/>
      <c r="E15" s="65"/>
    </row>
    <row r="16" spans="1:8" x14ac:dyDescent="0.2">
      <c r="A16" s="60">
        <v>4</v>
      </c>
      <c r="B16" s="54" t="s">
        <v>100</v>
      </c>
      <c r="C16" s="65">
        <f>SUM(C12:C15)</f>
        <v>687387683.17000008</v>
      </c>
      <c r="D16" s="378"/>
      <c r="E16" s="65">
        <f>SUM(E12:E15)</f>
        <v>67637029.717622995</v>
      </c>
      <c r="G16" s="2" t="s">
        <v>795</v>
      </c>
    </row>
    <row r="17" spans="1:7" x14ac:dyDescent="0.2">
      <c r="A17" s="60"/>
      <c r="B17" s="68"/>
      <c r="C17" s="65"/>
      <c r="D17" s="378"/>
      <c r="E17" s="65"/>
    </row>
    <row r="18" spans="1:7" x14ac:dyDescent="0.2">
      <c r="A18" s="60"/>
      <c r="B18" s="54" t="s">
        <v>107</v>
      </c>
      <c r="C18" s="65"/>
      <c r="D18" s="378"/>
      <c r="E18" s="65"/>
    </row>
    <row r="19" spans="1:7" x14ac:dyDescent="0.2">
      <c r="A19" s="60">
        <v>5</v>
      </c>
      <c r="B19" s="54" t="s">
        <v>109</v>
      </c>
      <c r="C19" s="65">
        <f>+'WP - Other Rev &amp; Tax'!G49</f>
        <v>277028949.2700001</v>
      </c>
      <c r="D19" s="378"/>
      <c r="E19" s="65">
        <f>'KSM-2 p1 - Rev Req'!C19</f>
        <v>25772082.550587021</v>
      </c>
    </row>
    <row r="20" spans="1:7" x14ac:dyDescent="0.2">
      <c r="A20" s="60">
        <v>6</v>
      </c>
      <c r="B20" s="54" t="s">
        <v>114</v>
      </c>
      <c r="C20" s="65">
        <f>+'KSM-3 p2 &amp; p3 - O&amp;M'!E71</f>
        <v>525403.72000000009</v>
      </c>
      <c r="D20" s="378"/>
      <c r="E20" s="65">
        <f>'KSM-2 p1 - Rev Req'!C20</f>
        <v>58165.898717000018</v>
      </c>
    </row>
    <row r="21" spans="1:7" x14ac:dyDescent="0.2">
      <c r="A21" s="60">
        <v>7</v>
      </c>
      <c r="B21" s="54" t="s">
        <v>115</v>
      </c>
      <c r="C21" s="67">
        <f>155044532+11899867</f>
        <v>166944399</v>
      </c>
      <c r="D21" s="378"/>
      <c r="E21" s="67">
        <f>'KSM-2 p1 - Rev Req'!C21</f>
        <v>17640138.728842866</v>
      </c>
      <c r="G21" s="2" t="s">
        <v>796</v>
      </c>
    </row>
    <row r="22" spans="1:7" x14ac:dyDescent="0.2">
      <c r="A22" s="60"/>
      <c r="C22" s="65"/>
      <c r="D22" s="378"/>
      <c r="E22" s="65"/>
    </row>
    <row r="23" spans="1:7" x14ac:dyDescent="0.2">
      <c r="A23" s="60">
        <v>8</v>
      </c>
      <c r="B23" s="54" t="s">
        <v>123</v>
      </c>
      <c r="C23" s="65">
        <f>SUM(C19:C22)</f>
        <v>444498751.99000013</v>
      </c>
      <c r="D23" s="378"/>
      <c r="E23" s="65">
        <f>SUM(E19:E22)</f>
        <v>43470387.178146884</v>
      </c>
    </row>
    <row r="24" spans="1:7" x14ac:dyDescent="0.2">
      <c r="A24" s="60"/>
      <c r="B24" s="53"/>
      <c r="C24" s="65"/>
      <c r="D24" s="378"/>
      <c r="E24" s="65"/>
    </row>
    <row r="25" spans="1:7" x14ac:dyDescent="0.2">
      <c r="A25" s="60"/>
      <c r="C25" s="65"/>
      <c r="D25" s="378"/>
      <c r="E25" s="65"/>
    </row>
    <row r="26" spans="1:7" x14ac:dyDescent="0.2">
      <c r="A26" s="60">
        <v>9</v>
      </c>
      <c r="B26" s="54" t="s">
        <v>130</v>
      </c>
      <c r="C26" s="65">
        <f>+'KSM-3 p5 - Taxes'!I33</f>
        <v>16459354.654123295</v>
      </c>
      <c r="D26" s="378"/>
      <c r="E26" s="65">
        <f>'KSM-2 p1 - Rev Req'!C26</f>
        <v>1320294.0126704453</v>
      </c>
    </row>
    <row r="27" spans="1:7" x14ac:dyDescent="0.2">
      <c r="A27" s="60">
        <v>10</v>
      </c>
      <c r="B27" s="54" t="s">
        <v>135</v>
      </c>
      <c r="C27" s="65">
        <f>+'KSM-3 p5 - Taxes'!I23</f>
        <v>6482573.8698895611</v>
      </c>
      <c r="D27" s="378"/>
      <c r="E27" s="65">
        <v>0</v>
      </c>
    </row>
    <row r="28" spans="1:7" x14ac:dyDescent="0.2">
      <c r="A28" s="60">
        <v>11</v>
      </c>
      <c r="B28" s="54" t="s">
        <v>132</v>
      </c>
      <c r="C28" s="65">
        <f>+'WP - Other Rev &amp; Tax'!G21</f>
        <v>21280808.739999998</v>
      </c>
      <c r="D28" s="378"/>
      <c r="E28" s="65">
        <f>+'KSM-2 p1 - Rev Req'!C27</f>
        <v>1541124</v>
      </c>
    </row>
    <row r="29" spans="1:7" x14ac:dyDescent="0.2">
      <c r="A29" s="60">
        <v>12</v>
      </c>
      <c r="B29" s="54" t="s">
        <v>136</v>
      </c>
      <c r="C29" s="65">
        <f>+'WP - Other Rev &amp; Tax'!G28-C28</f>
        <v>27628042.609999996</v>
      </c>
      <c r="D29" s="378"/>
      <c r="E29" s="65">
        <f>'KSM-2 p1 - Rev Req'!C28</f>
        <v>3688227.834309103</v>
      </c>
      <c r="G29" s="2" t="s">
        <v>795</v>
      </c>
    </row>
    <row r="30" spans="1:7" x14ac:dyDescent="0.2">
      <c r="A30" s="60">
        <v>13</v>
      </c>
      <c r="B30" s="54" t="s">
        <v>137</v>
      </c>
      <c r="C30" s="67">
        <f>+'WP - Other Rev &amp; Tax'!G40</f>
        <v>82584430.820000008</v>
      </c>
      <c r="D30" s="378"/>
      <c r="E30" s="67">
        <f>+'KSM-2 p1 - Rev Req'!C29</f>
        <v>9325935.1064954381</v>
      </c>
    </row>
    <row r="31" spans="1:7" x14ac:dyDescent="0.2">
      <c r="A31" s="60"/>
      <c r="C31" s="65"/>
      <c r="D31" s="378"/>
      <c r="E31" s="65"/>
    </row>
    <row r="32" spans="1:7" x14ac:dyDescent="0.2">
      <c r="A32" s="60">
        <v>14</v>
      </c>
      <c r="B32" s="54" t="s">
        <v>141</v>
      </c>
      <c r="C32" s="67">
        <f>SUM(C23:C31)</f>
        <v>598933962.68401301</v>
      </c>
      <c r="D32" s="378"/>
      <c r="E32" s="67">
        <f>SUM(E23:E31)</f>
        <v>59345968.131621867</v>
      </c>
    </row>
    <row r="33" spans="1:6" x14ac:dyDescent="0.2">
      <c r="A33" s="60"/>
      <c r="C33" s="33"/>
      <c r="D33" s="378"/>
      <c r="E33" s="33"/>
    </row>
    <row r="34" spans="1:6" ht="15.75" thickBot="1" x14ac:dyDescent="0.25">
      <c r="A34" s="60">
        <v>15</v>
      </c>
      <c r="B34" s="54" t="s">
        <v>146</v>
      </c>
      <c r="C34" s="95">
        <f>C16-C32</f>
        <v>88453720.485987067</v>
      </c>
      <c r="D34" s="37"/>
      <c r="E34" s="95">
        <f>E16-E32</f>
        <v>8291061.586001128</v>
      </c>
      <c r="F34" s="136"/>
    </row>
    <row r="35" spans="1:6" ht="15.75" thickTop="1" x14ac:dyDescent="0.2">
      <c r="A35" s="60"/>
      <c r="C35" s="142"/>
      <c r="D35" s="37"/>
      <c r="E35" s="142"/>
    </row>
    <row r="36" spans="1:6" ht="15.75" thickBot="1" x14ac:dyDescent="0.25">
      <c r="A36" s="60">
        <v>16</v>
      </c>
      <c r="B36" s="54" t="s">
        <v>149</v>
      </c>
      <c r="C36" s="95">
        <f>+'KSM-3 p6 &amp; p7 - AMA Rate Base'!Q48</f>
        <v>1300658039.7703531</v>
      </c>
      <c r="D36" s="37"/>
      <c r="E36" s="95">
        <f>'KSM-2 p1 - Rev Req'!C35</f>
        <v>163033846.94894913</v>
      </c>
      <c r="F36" s="136"/>
    </row>
    <row r="37" spans="1:6" ht="15.75" thickTop="1" x14ac:dyDescent="0.2">
      <c r="A37" s="60"/>
      <c r="C37" s="64"/>
      <c r="D37" s="40"/>
      <c r="E37" s="64"/>
    </row>
    <row r="38" spans="1:6" x14ac:dyDescent="0.2">
      <c r="A38" s="60"/>
      <c r="D38" s="40"/>
    </row>
    <row r="39" spans="1:6" ht="15.75" thickBot="1" x14ac:dyDescent="0.25">
      <c r="A39" s="60">
        <v>17</v>
      </c>
      <c r="B39" s="54" t="s">
        <v>153</v>
      </c>
      <c r="C39" s="72">
        <f>ROUND(+C34/C36,5)</f>
        <v>6.8010000000000001E-2</v>
      </c>
      <c r="D39" s="40"/>
      <c r="E39" s="72">
        <f>ROUND(+E34/E36,5)</f>
        <v>5.0849999999999999E-2</v>
      </c>
    </row>
    <row r="40" spans="1:6" ht="15.75" thickTop="1" x14ac:dyDescent="0.2">
      <c r="A40" s="60"/>
      <c r="C40" s="73"/>
      <c r="D40" s="40"/>
      <c r="E40" s="73"/>
    </row>
    <row r="41" spans="1:6" ht="15.75" thickBot="1" x14ac:dyDescent="0.25">
      <c r="A41" s="60">
        <v>18</v>
      </c>
      <c r="B41" s="54" t="s">
        <v>156</v>
      </c>
      <c r="C41" s="72">
        <f>((+C39-'KSM-3 p8 - Cost of Cap'!$E$11-'KSM-3 p8 - Cost of Cap'!$E$12)/'KSM-3 p8 - Cost of Cap'!$C$13)</f>
        <v>8.6282828282828281E-2</v>
      </c>
      <c r="D41" s="40"/>
      <c r="E41" s="72">
        <f>((+E39-'KSM-3 p8 - Cost of Cap'!$E$11-'KSM-3 p8 - Cost of Cap'!$E$12)/'KSM-3 p8 - Cost of Cap'!$C$13)</f>
        <v>5.1616161616161609E-2</v>
      </c>
    </row>
    <row r="42" spans="1:6" ht="15.75" thickTop="1" x14ac:dyDescent="0.2">
      <c r="D42" s="40"/>
    </row>
    <row r="43" spans="1:6" x14ac:dyDescent="0.2">
      <c r="D43" s="40"/>
    </row>
    <row r="44" spans="1:6" x14ac:dyDescent="0.2">
      <c r="D44" s="40"/>
    </row>
    <row r="47" spans="1:6" x14ac:dyDescent="0.2">
      <c r="E47" s="318"/>
    </row>
  </sheetData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  <pageSetUpPr fitToPage="1"/>
  </sheetPr>
  <dimension ref="A1:M61"/>
  <sheetViews>
    <sheetView topLeftCell="A25" workbookViewId="0">
      <selection activeCell="F64" sqref="F64"/>
    </sheetView>
  </sheetViews>
  <sheetFormatPr defaultColWidth="8.85546875" defaultRowHeight="15" x14ac:dyDescent="0.2"/>
  <cols>
    <col min="1" max="1" width="4.7109375" style="339" customWidth="1"/>
    <col min="2" max="2" width="37.42578125" style="339" customWidth="1"/>
    <col min="3" max="3" width="13.42578125" style="194" customWidth="1"/>
    <col min="4" max="4" width="13.7109375" style="194" customWidth="1"/>
    <col min="5" max="5" width="8.85546875" style="194"/>
    <col min="6" max="6" width="28.42578125" style="194" bestFit="1" customWidth="1"/>
    <col min="7" max="7" width="16.42578125" style="194" customWidth="1"/>
    <col min="8" max="11" width="13.7109375" style="194" customWidth="1"/>
    <col min="12" max="12" width="8.85546875" style="194"/>
    <col min="13" max="13" width="37.28515625" style="194" customWidth="1"/>
    <col min="14" max="16384" width="8.85546875" style="194"/>
  </cols>
  <sheetData>
    <row r="1" spans="1:13" x14ac:dyDescent="0.2">
      <c r="A1" s="339" t="str">
        <f>'KSM-2 p1 - Rev Req'!A1</f>
        <v>NW Natural</v>
      </c>
      <c r="D1" s="340" t="s">
        <v>809</v>
      </c>
      <c r="F1" s="339" t="s">
        <v>709</v>
      </c>
    </row>
    <row r="2" spans="1:13" x14ac:dyDescent="0.2">
      <c r="A2" s="339" t="str">
        <f>+'KSM-4 p12 - Marketing'!A2</f>
        <v>Test Year Based on Twelve Months Ended September 30, 2018</v>
      </c>
      <c r="F2" s="56"/>
      <c r="G2" s="527" t="s">
        <v>658</v>
      </c>
      <c r="H2" s="527"/>
      <c r="I2" s="528"/>
      <c r="J2" s="344" t="s">
        <v>672</v>
      </c>
      <c r="K2" s="410" t="s">
        <v>13</v>
      </c>
    </row>
    <row r="3" spans="1:13" x14ac:dyDescent="0.2">
      <c r="A3" s="339" t="s">
        <v>223</v>
      </c>
      <c r="F3" s="56"/>
      <c r="G3" s="349" t="s">
        <v>659</v>
      </c>
      <c r="H3" s="350" t="s">
        <v>660</v>
      </c>
      <c r="I3" s="347" t="s">
        <v>661</v>
      </c>
      <c r="J3" s="350" t="s">
        <v>661</v>
      </c>
      <c r="K3" s="411" t="s">
        <v>661</v>
      </c>
      <c r="M3" s="211" t="s">
        <v>837</v>
      </c>
    </row>
    <row r="4" spans="1:13" x14ac:dyDescent="0.2">
      <c r="F4" s="56"/>
      <c r="G4" s="368"/>
      <c r="H4" s="404"/>
      <c r="I4" s="405"/>
      <c r="J4" s="56"/>
      <c r="K4" s="412"/>
    </row>
    <row r="5" spans="1:13" x14ac:dyDescent="0.2">
      <c r="F5" s="56" t="s">
        <v>663</v>
      </c>
      <c r="G5" s="372">
        <v>-513097.37999999936</v>
      </c>
      <c r="H5" s="406"/>
      <c r="I5" s="407">
        <f>+G5+H5</f>
        <v>-513097.37999999936</v>
      </c>
      <c r="J5" s="356">
        <v>138020.25000000038</v>
      </c>
      <c r="K5" s="413">
        <f t="shared" ref="K5:K13" si="0">+J5-I5</f>
        <v>651117.62999999977</v>
      </c>
      <c r="M5" s="41" t="s">
        <v>868</v>
      </c>
    </row>
    <row r="6" spans="1:13" x14ac:dyDescent="0.2">
      <c r="A6" s="58" t="s">
        <v>17</v>
      </c>
      <c r="F6" s="56" t="s">
        <v>664</v>
      </c>
      <c r="G6" s="372">
        <v>251232.94999999995</v>
      </c>
      <c r="H6" s="406"/>
      <c r="I6" s="407">
        <f t="shared" ref="I6:I13" si="1">+G6+H6</f>
        <v>251232.94999999995</v>
      </c>
      <c r="J6" s="356">
        <v>55174.010000000708</v>
      </c>
      <c r="K6" s="413">
        <f t="shared" si="0"/>
        <v>-196058.93999999925</v>
      </c>
      <c r="M6" s="41" t="s">
        <v>869</v>
      </c>
    </row>
    <row r="7" spans="1:13" x14ac:dyDescent="0.2">
      <c r="A7" s="360" t="s">
        <v>33</v>
      </c>
      <c r="D7" s="211" t="s">
        <v>53</v>
      </c>
      <c r="F7" s="56" t="s">
        <v>665</v>
      </c>
      <c r="G7" s="372">
        <v>-477009.45999999996</v>
      </c>
      <c r="H7" s="406"/>
      <c r="I7" s="407">
        <f t="shared" si="1"/>
        <v>-477009.45999999996</v>
      </c>
      <c r="J7" s="356">
        <v>-422970.32999999996</v>
      </c>
      <c r="K7" s="413">
        <f t="shared" si="0"/>
        <v>54039.130000000005</v>
      </c>
    </row>
    <row r="8" spans="1:13" x14ac:dyDescent="0.2">
      <c r="A8" s="58"/>
      <c r="F8" s="56" t="s">
        <v>666</v>
      </c>
      <c r="G8" s="372">
        <v>-2780957.3900000006</v>
      </c>
      <c r="H8" s="372">
        <v>2638000</v>
      </c>
      <c r="I8" s="407">
        <f t="shared" si="1"/>
        <v>-142957.3900000006</v>
      </c>
      <c r="J8" s="356">
        <v>-141678.95000000019</v>
      </c>
      <c r="K8" s="413">
        <f t="shared" si="0"/>
        <v>1278.4400000004098</v>
      </c>
    </row>
    <row r="9" spans="1:13" x14ac:dyDescent="0.2">
      <c r="A9" s="58"/>
      <c r="F9" s="56" t="s">
        <v>667</v>
      </c>
      <c r="G9" s="372">
        <v>-16545.359999999986</v>
      </c>
      <c r="H9" s="406"/>
      <c r="I9" s="407">
        <f t="shared" si="1"/>
        <v>-16545.359999999986</v>
      </c>
      <c r="J9" s="356">
        <v>-3284.3699999999953</v>
      </c>
      <c r="K9" s="413">
        <f t="shared" si="0"/>
        <v>13260.989999999991</v>
      </c>
    </row>
    <row r="10" spans="1:13" x14ac:dyDescent="0.2">
      <c r="A10" s="58">
        <v>1</v>
      </c>
      <c r="B10" s="339" t="s">
        <v>225</v>
      </c>
      <c r="D10" s="361">
        <f>+H60</f>
        <v>16384.907757193774</v>
      </c>
      <c r="F10" s="56" t="s">
        <v>45</v>
      </c>
      <c r="G10" s="372">
        <v>-7335.0900000000011</v>
      </c>
      <c r="H10" s="406"/>
      <c r="I10" s="407">
        <f t="shared" si="1"/>
        <v>-7335.0900000000011</v>
      </c>
      <c r="J10" s="356">
        <v>1</v>
      </c>
      <c r="K10" s="413">
        <f t="shared" si="0"/>
        <v>7336.0900000000011</v>
      </c>
    </row>
    <row r="11" spans="1:13" x14ac:dyDescent="0.2">
      <c r="A11" s="58"/>
      <c r="D11" s="199"/>
      <c r="F11" s="56" t="s">
        <v>668</v>
      </c>
      <c r="G11" s="372">
        <v>229905.1100000001</v>
      </c>
      <c r="H11" s="406"/>
      <c r="I11" s="407">
        <f t="shared" si="1"/>
        <v>229905.1100000001</v>
      </c>
      <c r="J11" s="356">
        <v>-63454.790000000008</v>
      </c>
      <c r="K11" s="413">
        <f t="shared" si="0"/>
        <v>-293359.90000000014</v>
      </c>
    </row>
    <row r="12" spans="1:13" x14ac:dyDescent="0.2">
      <c r="A12" s="58">
        <v>2</v>
      </c>
      <c r="B12" s="339" t="s">
        <v>226</v>
      </c>
      <c r="D12" s="361">
        <f>+I60</f>
        <v>252309.57086635803</v>
      </c>
      <c r="F12" s="56" t="s">
        <v>669</v>
      </c>
      <c r="G12" s="372">
        <v>20000.000000000029</v>
      </c>
      <c r="H12" s="406"/>
      <c r="I12" s="407">
        <f t="shared" si="1"/>
        <v>20000.000000000029</v>
      </c>
      <c r="J12" s="356">
        <v>0</v>
      </c>
      <c r="K12" s="413">
        <f t="shared" si="0"/>
        <v>-20000.000000000029</v>
      </c>
    </row>
    <row r="13" spans="1:13" x14ac:dyDescent="0.2">
      <c r="A13" s="58"/>
      <c r="D13" s="199"/>
      <c r="F13" s="56" t="s">
        <v>671</v>
      </c>
      <c r="G13" s="365">
        <v>-305294.36000000034</v>
      </c>
      <c r="H13" s="366"/>
      <c r="I13" s="408">
        <f t="shared" si="1"/>
        <v>-305294.36000000034</v>
      </c>
      <c r="J13" s="365">
        <v>1623277.4100000006</v>
      </c>
      <c r="K13" s="414">
        <f t="shared" si="0"/>
        <v>1928571.7700000009</v>
      </c>
    </row>
    <row r="14" spans="1:13" x14ac:dyDescent="0.2">
      <c r="A14" s="58"/>
      <c r="D14" s="199"/>
      <c r="F14" s="56" t="s">
        <v>661</v>
      </c>
      <c r="G14" s="372">
        <f>SUM(G5:G13)</f>
        <v>-3599100.9800000004</v>
      </c>
      <c r="H14" s="372">
        <f>SUM(H5:H13)</f>
        <v>2638000</v>
      </c>
      <c r="I14" s="409">
        <f>SUM(I5:I13)</f>
        <v>-961100.98000000021</v>
      </c>
      <c r="J14" s="356">
        <f>SUM(J5:J13)</f>
        <v>1185084.2300000014</v>
      </c>
      <c r="K14" s="415">
        <f>SUM(K5:K13)</f>
        <v>2146185.2100000018</v>
      </c>
    </row>
    <row r="15" spans="1:13" ht="15.75" thickBot="1" x14ac:dyDescent="0.25">
      <c r="A15" s="58"/>
      <c r="D15" s="373"/>
      <c r="F15" s="417"/>
      <c r="G15" s="417"/>
      <c r="H15" s="417"/>
      <c r="I15" s="417"/>
      <c r="J15" s="417"/>
      <c r="K15" s="417"/>
    </row>
    <row r="16" spans="1:13" x14ac:dyDescent="0.2">
      <c r="A16" s="58"/>
      <c r="D16" s="373"/>
      <c r="F16" s="339" t="s">
        <v>708</v>
      </c>
      <c r="G16" s="339"/>
      <c r="H16" s="348" t="s">
        <v>220</v>
      </c>
      <c r="I16" s="348" t="s">
        <v>221</v>
      </c>
      <c r="J16" s="348" t="s">
        <v>222</v>
      </c>
      <c r="K16" s="348" t="s">
        <v>66</v>
      </c>
    </row>
    <row r="17" spans="1:11" x14ac:dyDescent="0.2">
      <c r="A17" s="58"/>
      <c r="D17" s="373"/>
      <c r="G17" s="339"/>
    </row>
    <row r="18" spans="1:11" x14ac:dyDescent="0.2">
      <c r="A18" s="58"/>
      <c r="D18" s="373"/>
      <c r="F18" s="56" t="s">
        <v>663</v>
      </c>
      <c r="H18" s="355">
        <f t="shared" ref="H18:J24" si="2">+H$29</f>
        <v>0.64100000000000001</v>
      </c>
      <c r="I18" s="355">
        <f t="shared" si="2"/>
        <v>0.33800000000000002</v>
      </c>
      <c r="J18" s="355">
        <f t="shared" si="2"/>
        <v>2.1000000000000001E-2</v>
      </c>
      <c r="K18" s="355">
        <f>+H18+I18+J18</f>
        <v>1</v>
      </c>
    </row>
    <row r="19" spans="1:11" x14ac:dyDescent="0.2">
      <c r="F19" s="56" t="s">
        <v>664</v>
      </c>
      <c r="H19" s="355">
        <f t="shared" si="2"/>
        <v>0.64100000000000001</v>
      </c>
      <c r="I19" s="355">
        <f t="shared" si="2"/>
        <v>0.33800000000000002</v>
      </c>
      <c r="J19" s="355">
        <f t="shared" si="2"/>
        <v>2.1000000000000001E-2</v>
      </c>
      <c r="K19" s="355">
        <f t="shared" ref="K19:K26" si="3">+H19+I19+J19</f>
        <v>1</v>
      </c>
    </row>
    <row r="20" spans="1:11" x14ac:dyDescent="0.2">
      <c r="F20" s="56" t="s">
        <v>665</v>
      </c>
      <c r="H20" s="355">
        <f t="shared" si="2"/>
        <v>0.64100000000000001</v>
      </c>
      <c r="I20" s="355">
        <f t="shared" si="2"/>
        <v>0.33800000000000002</v>
      </c>
      <c r="J20" s="355">
        <f t="shared" si="2"/>
        <v>2.1000000000000001E-2</v>
      </c>
      <c r="K20" s="355">
        <f t="shared" si="3"/>
        <v>1</v>
      </c>
    </row>
    <row r="21" spans="1:11" x14ac:dyDescent="0.2">
      <c r="F21" s="56" t="s">
        <v>666</v>
      </c>
      <c r="H21" s="355">
        <f t="shared" si="2"/>
        <v>0.64100000000000001</v>
      </c>
      <c r="I21" s="355">
        <f t="shared" si="2"/>
        <v>0.33800000000000002</v>
      </c>
      <c r="J21" s="355">
        <f t="shared" si="2"/>
        <v>2.1000000000000001E-2</v>
      </c>
      <c r="K21" s="355">
        <f t="shared" si="3"/>
        <v>1</v>
      </c>
    </row>
    <row r="22" spans="1:11" x14ac:dyDescent="0.2">
      <c r="F22" s="56" t="s">
        <v>667</v>
      </c>
      <c r="H22" s="355">
        <f t="shared" si="2"/>
        <v>0.64100000000000001</v>
      </c>
      <c r="I22" s="355">
        <f t="shared" si="2"/>
        <v>0.33800000000000002</v>
      </c>
      <c r="J22" s="355">
        <f t="shared" si="2"/>
        <v>2.1000000000000001E-2</v>
      </c>
      <c r="K22" s="355">
        <f t="shared" si="3"/>
        <v>1</v>
      </c>
    </row>
    <row r="23" spans="1:11" x14ac:dyDescent="0.2">
      <c r="F23" s="56" t="s">
        <v>45</v>
      </c>
      <c r="H23" s="355">
        <f t="shared" si="2"/>
        <v>0.64100000000000001</v>
      </c>
      <c r="I23" s="355">
        <f t="shared" si="2"/>
        <v>0.33800000000000002</v>
      </c>
      <c r="J23" s="355">
        <f t="shared" si="2"/>
        <v>2.1000000000000001E-2</v>
      </c>
      <c r="K23" s="355">
        <f t="shared" si="3"/>
        <v>1</v>
      </c>
    </row>
    <row r="24" spans="1:11" x14ac:dyDescent="0.2">
      <c r="F24" s="56" t="s">
        <v>668</v>
      </c>
      <c r="H24" s="355">
        <f t="shared" si="2"/>
        <v>0.64100000000000001</v>
      </c>
      <c r="I24" s="355">
        <f t="shared" si="2"/>
        <v>0.33800000000000002</v>
      </c>
      <c r="J24" s="355">
        <f t="shared" si="2"/>
        <v>2.1000000000000001E-2</v>
      </c>
      <c r="K24" s="355">
        <f t="shared" si="3"/>
        <v>1</v>
      </c>
    </row>
    <row r="25" spans="1:11" x14ac:dyDescent="0.2">
      <c r="F25" s="56" t="s">
        <v>669</v>
      </c>
      <c r="H25" s="355">
        <v>0</v>
      </c>
      <c r="I25" s="355">
        <v>0</v>
      </c>
      <c r="J25" s="355">
        <v>1</v>
      </c>
      <c r="K25" s="355">
        <f t="shared" si="3"/>
        <v>1</v>
      </c>
    </row>
    <row r="26" spans="1:11" x14ac:dyDescent="0.2">
      <c r="F26" s="56" t="s">
        <v>671</v>
      </c>
      <c r="H26" s="355">
        <f>+H31</f>
        <v>0</v>
      </c>
      <c r="I26" s="355">
        <f>+I31</f>
        <v>1</v>
      </c>
      <c r="J26" s="355">
        <f>+J31</f>
        <v>0</v>
      </c>
      <c r="K26" s="355">
        <f t="shared" si="3"/>
        <v>1</v>
      </c>
    </row>
    <row r="27" spans="1:11" x14ac:dyDescent="0.2">
      <c r="F27" s="371"/>
      <c r="H27" s="355"/>
      <c r="I27" s="355"/>
      <c r="J27" s="355"/>
      <c r="K27" s="355"/>
    </row>
    <row r="28" spans="1:11" x14ac:dyDescent="0.2">
      <c r="F28" s="371" t="s">
        <v>676</v>
      </c>
      <c r="H28" s="355"/>
      <c r="I28" s="355"/>
      <c r="J28" s="355"/>
      <c r="K28" s="355"/>
    </row>
    <row r="29" spans="1:11" x14ac:dyDescent="0.2">
      <c r="F29" s="194" t="s">
        <v>673</v>
      </c>
      <c r="H29" s="373">
        <v>0.64100000000000001</v>
      </c>
      <c r="I29" s="373">
        <v>0.33800000000000002</v>
      </c>
      <c r="J29" s="373">
        <v>2.1000000000000001E-2</v>
      </c>
      <c r="K29" s="373">
        <v>1</v>
      </c>
    </row>
    <row r="30" spans="1:11" x14ac:dyDescent="0.2">
      <c r="F30" s="194" t="s">
        <v>674</v>
      </c>
      <c r="H30" s="373">
        <v>0</v>
      </c>
      <c r="I30" s="373">
        <v>1</v>
      </c>
      <c r="J30" s="373">
        <v>0</v>
      </c>
      <c r="K30" s="373">
        <v>1</v>
      </c>
    </row>
    <row r="31" spans="1:11" x14ac:dyDescent="0.2">
      <c r="F31" s="194" t="s">
        <v>675</v>
      </c>
      <c r="H31" s="373">
        <v>0</v>
      </c>
      <c r="I31" s="373">
        <v>1</v>
      </c>
      <c r="J31" s="373">
        <v>0</v>
      </c>
      <c r="K31" s="373">
        <v>1</v>
      </c>
    </row>
    <row r="32" spans="1:11" ht="15.75" thickBot="1" x14ac:dyDescent="0.25">
      <c r="F32" s="417"/>
      <c r="G32" s="417"/>
      <c r="H32" s="417"/>
      <c r="I32" s="417"/>
      <c r="J32" s="417"/>
      <c r="K32" s="417"/>
    </row>
    <row r="33" spans="6:11" x14ac:dyDescent="0.2">
      <c r="F33" s="57" t="s">
        <v>711</v>
      </c>
      <c r="H33" s="410" t="s">
        <v>13</v>
      </c>
      <c r="I33" s="345" t="s">
        <v>51</v>
      </c>
      <c r="J33" s="345" t="s">
        <v>51</v>
      </c>
      <c r="K33" s="346" t="s">
        <v>10</v>
      </c>
    </row>
    <row r="34" spans="6:11" x14ac:dyDescent="0.2">
      <c r="F34" s="56"/>
      <c r="H34" s="411" t="s">
        <v>661</v>
      </c>
      <c r="I34" s="351" t="s">
        <v>365</v>
      </c>
      <c r="J34" s="351" t="s">
        <v>662</v>
      </c>
      <c r="K34" s="351" t="s">
        <v>368</v>
      </c>
    </row>
    <row r="35" spans="6:11" x14ac:dyDescent="0.2">
      <c r="F35" s="56" t="s">
        <v>663</v>
      </c>
      <c r="H35" s="412"/>
      <c r="I35" s="56"/>
      <c r="J35" s="56"/>
      <c r="K35" s="56"/>
    </row>
    <row r="36" spans="6:11" x14ac:dyDescent="0.2">
      <c r="F36" s="56" t="s">
        <v>664</v>
      </c>
      <c r="H36" s="413">
        <f t="shared" ref="H36:H44" si="4">+K5</f>
        <v>651117.62999999977</v>
      </c>
      <c r="I36" s="358" t="s">
        <v>25</v>
      </c>
      <c r="J36" s="359">
        <f>+'KSM-3 p4 - Factors'!D16</f>
        <v>0.10757589537176274</v>
      </c>
      <c r="K36" s="357">
        <f>+H36*J36</f>
        <v>70044.562039590091</v>
      </c>
    </row>
    <row r="37" spans="6:11" x14ac:dyDescent="0.2">
      <c r="F37" s="56" t="s">
        <v>665</v>
      </c>
      <c r="H37" s="413">
        <f t="shared" si="4"/>
        <v>-196058.93999999925</v>
      </c>
      <c r="I37" s="358" t="s">
        <v>25</v>
      </c>
      <c r="J37" s="359">
        <f t="shared" ref="J37:J42" si="5">+J36</f>
        <v>0.10757589537176274</v>
      </c>
      <c r="K37" s="357">
        <f t="shared" ref="K37:K44" si="6">+H37*J37</f>
        <v>-21091.216016138627</v>
      </c>
    </row>
    <row r="38" spans="6:11" x14ac:dyDescent="0.2">
      <c r="F38" s="56" t="s">
        <v>666</v>
      </c>
      <c r="H38" s="413">
        <f t="shared" si="4"/>
        <v>54039.130000000005</v>
      </c>
      <c r="I38" s="358" t="s">
        <v>25</v>
      </c>
      <c r="J38" s="359">
        <f t="shared" si="5"/>
        <v>0.10757589537176274</v>
      </c>
      <c r="K38" s="357">
        <f t="shared" si="6"/>
        <v>5813.3077948610853</v>
      </c>
    </row>
    <row r="39" spans="6:11" x14ac:dyDescent="0.2">
      <c r="F39" s="56" t="s">
        <v>667</v>
      </c>
      <c r="H39" s="413">
        <f t="shared" si="4"/>
        <v>1278.4400000004098</v>
      </c>
      <c r="I39" s="358" t="s">
        <v>25</v>
      </c>
      <c r="J39" s="359">
        <f t="shared" si="5"/>
        <v>0.10757589537176274</v>
      </c>
      <c r="K39" s="357">
        <f t="shared" si="6"/>
        <v>137.52932767912043</v>
      </c>
    </row>
    <row r="40" spans="6:11" x14ac:dyDescent="0.2">
      <c r="F40" s="56" t="s">
        <v>45</v>
      </c>
      <c r="H40" s="413">
        <f t="shared" si="4"/>
        <v>13260.989999999991</v>
      </c>
      <c r="I40" s="358" t="s">
        <v>25</v>
      </c>
      <c r="J40" s="359">
        <f t="shared" si="5"/>
        <v>0.10757589537176274</v>
      </c>
      <c r="K40" s="357">
        <f t="shared" si="6"/>
        <v>1426.562872765991</v>
      </c>
    </row>
    <row r="41" spans="6:11" x14ac:dyDescent="0.2">
      <c r="F41" s="56" t="s">
        <v>668</v>
      </c>
      <c r="H41" s="413">
        <f t="shared" si="4"/>
        <v>7336.0900000000011</v>
      </c>
      <c r="I41" s="358" t="s">
        <v>25</v>
      </c>
      <c r="J41" s="359">
        <f t="shared" si="5"/>
        <v>0.10757589537176274</v>
      </c>
      <c r="K41" s="357">
        <f t="shared" si="6"/>
        <v>789.18645027783498</v>
      </c>
    </row>
    <row r="42" spans="6:11" x14ac:dyDescent="0.2">
      <c r="F42" s="56" t="s">
        <v>669</v>
      </c>
      <c r="H42" s="413">
        <f t="shared" si="4"/>
        <v>-293359.90000000014</v>
      </c>
      <c r="I42" s="358" t="s">
        <v>25</v>
      </c>
      <c r="J42" s="359">
        <f t="shared" si="5"/>
        <v>0.10757589537176274</v>
      </c>
      <c r="K42" s="357">
        <f t="shared" si="6"/>
        <v>-31558.453908670795</v>
      </c>
    </row>
    <row r="43" spans="6:11" x14ac:dyDescent="0.2">
      <c r="F43" s="56" t="s">
        <v>671</v>
      </c>
      <c r="H43" s="413">
        <f t="shared" si="4"/>
        <v>-20000.000000000029</v>
      </c>
      <c r="I43" s="358" t="s">
        <v>670</v>
      </c>
      <c r="J43" s="359">
        <f>+'KSM-3 p4 - Factors'!D22</f>
        <v>0</v>
      </c>
      <c r="K43" s="357">
        <f t="shared" si="6"/>
        <v>0</v>
      </c>
    </row>
    <row r="44" spans="6:11" x14ac:dyDescent="0.2">
      <c r="F44" s="56" t="s">
        <v>661</v>
      </c>
      <c r="H44" s="416">
        <f t="shared" si="4"/>
        <v>1928571.7700000009</v>
      </c>
      <c r="I44" s="368" t="s">
        <v>194</v>
      </c>
      <c r="J44" s="359">
        <f>+'KSM-3 p4 - Factors'!D27</f>
        <v>0.1263472767274586</v>
      </c>
      <c r="K44" s="367">
        <f t="shared" si="6"/>
        <v>243669.79111295476</v>
      </c>
    </row>
    <row r="45" spans="6:11" x14ac:dyDescent="0.2">
      <c r="H45" s="415">
        <f>SUM(H36:H44)</f>
        <v>2146185.2100000018</v>
      </c>
      <c r="I45" s="372"/>
      <c r="J45" s="372"/>
      <c r="K45" s="357">
        <f>SUM(K36:K44)</f>
        <v>269231.26967331948</v>
      </c>
    </row>
    <row r="46" spans="6:11" ht="15.75" thickBot="1" x14ac:dyDescent="0.25">
      <c r="F46" s="417"/>
      <c r="G46" s="417"/>
      <c r="H46" s="417"/>
      <c r="I46" s="417"/>
      <c r="J46" s="417"/>
      <c r="K46" s="417"/>
    </row>
    <row r="47" spans="6:11" x14ac:dyDescent="0.2">
      <c r="F47" s="149" t="s">
        <v>710</v>
      </c>
      <c r="G47" s="343" t="s">
        <v>678</v>
      </c>
    </row>
    <row r="48" spans="6:11" x14ac:dyDescent="0.2">
      <c r="F48" s="149"/>
      <c r="G48" s="343" t="s">
        <v>224</v>
      </c>
      <c r="H48" s="529" t="s">
        <v>51</v>
      </c>
      <c r="I48" s="529"/>
      <c r="J48" s="529"/>
      <c r="K48" s="529"/>
    </row>
    <row r="49" spans="6:11" x14ac:dyDescent="0.2">
      <c r="F49" s="339"/>
      <c r="G49" s="347" t="s">
        <v>202</v>
      </c>
      <c r="H49" s="342" t="s">
        <v>220</v>
      </c>
      <c r="I49" s="342" t="s">
        <v>221</v>
      </c>
      <c r="J49" s="342" t="s">
        <v>222</v>
      </c>
      <c r="K49" s="342" t="s">
        <v>66</v>
      </c>
    </row>
    <row r="50" spans="6:11" x14ac:dyDescent="0.2">
      <c r="F50" s="339"/>
      <c r="G50" s="352"/>
      <c r="H50" s="341"/>
      <c r="I50" s="341"/>
      <c r="J50" s="341"/>
      <c r="K50" s="341"/>
    </row>
    <row r="51" spans="6:11" x14ac:dyDescent="0.2">
      <c r="F51" s="56" t="s">
        <v>663</v>
      </c>
      <c r="G51" s="353">
        <f t="shared" ref="G51:G59" si="7">+K36</f>
        <v>70044.562039590091</v>
      </c>
      <c r="H51" s="354">
        <f t="shared" ref="H51:K59" si="8">$G51*H18</f>
        <v>44898.564267377253</v>
      </c>
      <c r="I51" s="354">
        <f t="shared" si="8"/>
        <v>23675.061969381451</v>
      </c>
      <c r="J51" s="354">
        <f t="shared" si="8"/>
        <v>1470.935802831392</v>
      </c>
      <c r="K51" s="354">
        <f t="shared" si="8"/>
        <v>70044.562039590091</v>
      </c>
    </row>
    <row r="52" spans="6:11" x14ac:dyDescent="0.2">
      <c r="F52" s="56" t="s">
        <v>664</v>
      </c>
      <c r="G52" s="353">
        <f t="shared" si="7"/>
        <v>-21091.216016138627</v>
      </c>
      <c r="H52" s="354">
        <f t="shared" si="8"/>
        <v>-13519.469466344861</v>
      </c>
      <c r="I52" s="354">
        <f t="shared" si="8"/>
        <v>-7128.8310134548565</v>
      </c>
      <c r="J52" s="354">
        <f t="shared" si="8"/>
        <v>-442.91553633891118</v>
      </c>
      <c r="K52" s="354">
        <f t="shared" si="8"/>
        <v>-21091.216016138627</v>
      </c>
    </row>
    <row r="53" spans="6:11" x14ac:dyDescent="0.2">
      <c r="F53" s="56" t="s">
        <v>665</v>
      </c>
      <c r="G53" s="353">
        <f t="shared" si="7"/>
        <v>5813.3077948610853</v>
      </c>
      <c r="H53" s="354">
        <f t="shared" si="8"/>
        <v>3726.3302965059556</v>
      </c>
      <c r="I53" s="354">
        <f t="shared" si="8"/>
        <v>1964.8980346630469</v>
      </c>
      <c r="J53" s="354">
        <f t="shared" si="8"/>
        <v>122.0794636920828</v>
      </c>
      <c r="K53" s="354">
        <f t="shared" si="8"/>
        <v>5813.3077948610853</v>
      </c>
    </row>
    <row r="54" spans="6:11" x14ac:dyDescent="0.2">
      <c r="F54" s="56" t="s">
        <v>666</v>
      </c>
      <c r="G54" s="353">
        <f t="shared" si="7"/>
        <v>137.52932767912043</v>
      </c>
      <c r="H54" s="354">
        <f t="shared" si="8"/>
        <v>88.156299042316192</v>
      </c>
      <c r="I54" s="354">
        <f t="shared" si="8"/>
        <v>46.484912755542709</v>
      </c>
      <c r="J54" s="354">
        <f t="shared" si="8"/>
        <v>2.8881158812615291</v>
      </c>
      <c r="K54" s="354">
        <f t="shared" si="8"/>
        <v>137.52932767912043</v>
      </c>
    </row>
    <row r="55" spans="6:11" x14ac:dyDescent="0.2">
      <c r="F55" s="56" t="s">
        <v>667</v>
      </c>
      <c r="G55" s="353">
        <f t="shared" si="7"/>
        <v>1426.562872765991</v>
      </c>
      <c r="H55" s="354">
        <f t="shared" si="8"/>
        <v>914.42680144300027</v>
      </c>
      <c r="I55" s="354">
        <f t="shared" si="8"/>
        <v>482.178250994905</v>
      </c>
      <c r="J55" s="354">
        <f t="shared" si="8"/>
        <v>29.957820328085813</v>
      </c>
      <c r="K55" s="354">
        <f t="shared" si="8"/>
        <v>1426.562872765991</v>
      </c>
    </row>
    <row r="56" spans="6:11" x14ac:dyDescent="0.2">
      <c r="F56" s="56" t="s">
        <v>45</v>
      </c>
      <c r="G56" s="353">
        <f t="shared" si="7"/>
        <v>789.18645027783498</v>
      </c>
      <c r="H56" s="354">
        <f t="shared" si="8"/>
        <v>505.86851462809221</v>
      </c>
      <c r="I56" s="354">
        <f t="shared" si="8"/>
        <v>266.74502019390826</v>
      </c>
      <c r="J56" s="354">
        <f t="shared" si="8"/>
        <v>16.572915455834536</v>
      </c>
      <c r="K56" s="354">
        <f t="shared" si="8"/>
        <v>789.18645027783498</v>
      </c>
    </row>
    <row r="57" spans="6:11" x14ac:dyDescent="0.2">
      <c r="F57" s="56" t="s">
        <v>668</v>
      </c>
      <c r="G57" s="353">
        <f t="shared" si="7"/>
        <v>-31558.453908670795</v>
      </c>
      <c r="H57" s="354">
        <f t="shared" si="8"/>
        <v>-20228.968955457982</v>
      </c>
      <c r="I57" s="354">
        <f t="shared" si="8"/>
        <v>-10666.757421130729</v>
      </c>
      <c r="J57" s="354">
        <f t="shared" si="8"/>
        <v>-662.72753208208678</v>
      </c>
      <c r="K57" s="354">
        <f t="shared" si="8"/>
        <v>-31558.453908670795</v>
      </c>
    </row>
    <row r="58" spans="6:11" x14ac:dyDescent="0.2">
      <c r="F58" s="56" t="s">
        <v>669</v>
      </c>
      <c r="G58" s="353">
        <f t="shared" si="7"/>
        <v>0</v>
      </c>
      <c r="H58" s="362">
        <f t="shared" si="8"/>
        <v>0</v>
      </c>
      <c r="I58" s="362">
        <f t="shared" si="8"/>
        <v>0</v>
      </c>
      <c r="J58" s="362">
        <f t="shared" si="8"/>
        <v>0</v>
      </c>
      <c r="K58" s="362">
        <f t="shared" si="8"/>
        <v>0</v>
      </c>
    </row>
    <row r="59" spans="6:11" x14ac:dyDescent="0.2">
      <c r="F59" s="56" t="s">
        <v>671</v>
      </c>
      <c r="G59" s="363">
        <f t="shared" si="7"/>
        <v>243669.79111295476</v>
      </c>
      <c r="H59" s="364">
        <f t="shared" si="8"/>
        <v>0</v>
      </c>
      <c r="I59" s="364">
        <f t="shared" si="8"/>
        <v>243669.79111295476</v>
      </c>
      <c r="J59" s="364">
        <f t="shared" si="8"/>
        <v>0</v>
      </c>
      <c r="K59" s="364">
        <f t="shared" si="8"/>
        <v>243669.79111295476</v>
      </c>
    </row>
    <row r="60" spans="6:11" ht="15.75" thickBot="1" x14ac:dyDescent="0.25">
      <c r="F60" s="56" t="s">
        <v>677</v>
      </c>
      <c r="G60" s="369">
        <f>SUM(G51:G59)</f>
        <v>269231.26967331948</v>
      </c>
      <c r="H60" s="418">
        <f>SUM(H51:H59)</f>
        <v>16384.907757193774</v>
      </c>
      <c r="I60" s="418">
        <f>SUM(I51:I59)</f>
        <v>252309.57086635803</v>
      </c>
      <c r="J60" s="370">
        <f>SUM(J51:J59)</f>
        <v>536.79104976765871</v>
      </c>
      <c r="K60" s="370">
        <f>SUM(K51:K59)</f>
        <v>269231.26967331948</v>
      </c>
    </row>
    <row r="61" spans="6:11" ht="15.75" thickTop="1" x14ac:dyDescent="0.2"/>
  </sheetData>
  <mergeCells count="2">
    <mergeCell ref="G2:I2"/>
    <mergeCell ref="H48:K48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0.59999389629810485"/>
    <pageSetUpPr fitToPage="1"/>
  </sheetPr>
  <dimension ref="A1:P102"/>
  <sheetViews>
    <sheetView zoomScaleNormal="100" workbookViewId="0">
      <selection activeCell="I21" sqref="I21"/>
    </sheetView>
  </sheetViews>
  <sheetFormatPr defaultColWidth="9.140625" defaultRowHeight="15" x14ac:dyDescent="0.2"/>
  <cols>
    <col min="1" max="1" width="5.7109375" style="54" customWidth="1"/>
    <col min="2" max="2" width="47.7109375" style="54" customWidth="1"/>
    <col min="3" max="6" width="15.7109375" style="2" customWidth="1"/>
    <col min="7" max="8" width="9.140625" style="2" customWidth="1"/>
    <col min="9" max="9" width="36.42578125" style="2" customWidth="1"/>
    <col min="10" max="16384" width="9.140625" style="2"/>
  </cols>
  <sheetData>
    <row r="1" spans="1:9" x14ac:dyDescent="0.2">
      <c r="A1" s="54" t="s">
        <v>1</v>
      </c>
      <c r="C1" s="24"/>
      <c r="D1" s="24"/>
      <c r="E1" s="54"/>
      <c r="F1" s="309" t="s">
        <v>810</v>
      </c>
      <c r="G1" s="305"/>
    </row>
    <row r="2" spans="1:9" x14ac:dyDescent="0.2">
      <c r="A2" s="54" t="str">
        <f>+'KSM-4 p2 &amp; p3 - Adjust Issues'!A3</f>
        <v>Test Year Based on Twelve Months Ended September 30, 2018</v>
      </c>
      <c r="C2" s="24"/>
      <c r="D2" s="24"/>
      <c r="E2" s="24"/>
      <c r="F2" s="24"/>
      <c r="G2" s="305"/>
    </row>
    <row r="3" spans="1:9" x14ac:dyDescent="0.2">
      <c r="A3" s="5" t="s">
        <v>289</v>
      </c>
      <c r="C3" s="54"/>
      <c r="D3" s="54"/>
      <c r="E3" s="54"/>
      <c r="F3" s="54"/>
      <c r="G3" s="305"/>
    </row>
    <row r="4" spans="1:9" x14ac:dyDescent="0.2">
      <c r="C4" s="54"/>
      <c r="D4" s="54"/>
      <c r="E4" s="54"/>
      <c r="F4" s="54"/>
      <c r="G4" s="305"/>
    </row>
    <row r="5" spans="1:9" x14ac:dyDescent="0.2">
      <c r="C5" s="24"/>
      <c r="D5" s="24"/>
      <c r="E5" s="306"/>
      <c r="F5" s="24"/>
      <c r="G5" s="54"/>
    </row>
    <row r="6" spans="1:9" x14ac:dyDescent="0.2">
      <c r="A6" s="60" t="s">
        <v>17</v>
      </c>
      <c r="C6" s="24"/>
      <c r="D6" s="24"/>
      <c r="E6" s="24"/>
      <c r="F6" s="24"/>
      <c r="G6" s="305"/>
    </row>
    <row r="7" spans="1:9" x14ac:dyDescent="0.2">
      <c r="A7" s="212" t="s">
        <v>33</v>
      </c>
      <c r="C7" s="307" t="s">
        <v>296</v>
      </c>
      <c r="D7" s="307" t="s">
        <v>297</v>
      </c>
      <c r="E7" s="308" t="s">
        <v>370</v>
      </c>
      <c r="F7" s="308" t="s">
        <v>371</v>
      </c>
      <c r="G7" s="305"/>
      <c r="I7" s="500" t="s">
        <v>837</v>
      </c>
    </row>
    <row r="8" spans="1:9" x14ac:dyDescent="0.2">
      <c r="C8" s="309" t="s">
        <v>58</v>
      </c>
      <c r="D8" s="309" t="s">
        <v>59</v>
      </c>
      <c r="E8" s="309" t="s">
        <v>60</v>
      </c>
      <c r="F8" s="309" t="s">
        <v>61</v>
      </c>
      <c r="G8" s="305"/>
    </row>
    <row r="9" spans="1:9" x14ac:dyDescent="0.2">
      <c r="C9" s="144"/>
      <c r="D9" s="144"/>
      <c r="E9" s="144"/>
      <c r="F9" s="144"/>
      <c r="G9" s="63"/>
    </row>
    <row r="10" spans="1:9" x14ac:dyDescent="0.2">
      <c r="A10" s="60">
        <v>1</v>
      </c>
      <c r="B10" s="5" t="s">
        <v>520</v>
      </c>
      <c r="C10" s="310">
        <f>SUM(D10:F10)</f>
        <v>103089048</v>
      </c>
      <c r="D10" s="311">
        <f>+'KSM-4 p17 - Payroll 2'!C14</f>
        <v>3681313</v>
      </c>
      <c r="E10" s="311">
        <f>+'KSM-4 p17 - Payroll 2'!D14</f>
        <v>51335877</v>
      </c>
      <c r="F10" s="311">
        <f>+'KSM-4 p17 - Payroll 2'!E14</f>
        <v>48071858</v>
      </c>
      <c r="I10" s="2" t="s">
        <v>533</v>
      </c>
    </row>
    <row r="11" spans="1:9" x14ac:dyDescent="0.2">
      <c r="C11" s="310"/>
      <c r="D11" s="310"/>
      <c r="E11" s="310"/>
      <c r="F11" s="310"/>
      <c r="G11" s="63"/>
    </row>
    <row r="12" spans="1:9" x14ac:dyDescent="0.2">
      <c r="A12" s="60">
        <f>+A10+1</f>
        <v>2</v>
      </c>
      <c r="B12" s="5" t="s">
        <v>295</v>
      </c>
      <c r="C12" s="29">
        <f t="shared" ref="C12:C17" si="0">SUM(D12:F12)</f>
        <v>104449104.81264529</v>
      </c>
      <c r="D12" s="29">
        <f>'KSM-4 p17 - Payroll 2'!C19</f>
        <v>3620845.8324930882</v>
      </c>
      <c r="E12" s="29">
        <f>'KSM-4 p17 - Payroll 2'!D19</f>
        <v>51757006.29491739</v>
      </c>
      <c r="F12" s="29">
        <f>'KSM-4 p17 - Payroll 2'!E19</f>
        <v>49071252.685234807</v>
      </c>
      <c r="G12" s="63"/>
      <c r="I12" s="2" t="s">
        <v>533</v>
      </c>
    </row>
    <row r="13" spans="1:9" x14ac:dyDescent="0.2">
      <c r="A13" s="60">
        <f>+A12+1</f>
        <v>3</v>
      </c>
      <c r="B13" s="5" t="s">
        <v>521</v>
      </c>
      <c r="C13" s="30">
        <f t="shared" si="0"/>
        <v>791391.53356143087</v>
      </c>
      <c r="D13" s="30"/>
      <c r="E13" s="30">
        <f>(E12/((1+C36*7/12)))*(1+C36)-E12</f>
        <v>791391.53356143087</v>
      </c>
      <c r="F13" s="30"/>
      <c r="G13" s="63"/>
      <c r="I13" s="29" t="s">
        <v>857</v>
      </c>
    </row>
    <row r="14" spans="1:9" x14ac:dyDescent="0.2">
      <c r="A14" s="60">
        <f>+A13+1</f>
        <v>4</v>
      </c>
      <c r="B14" s="5" t="s">
        <v>524</v>
      </c>
      <c r="C14" s="30">
        <f t="shared" si="0"/>
        <v>2101935.9131391528</v>
      </c>
      <c r="D14" s="30"/>
      <c r="E14" s="30">
        <f>+(E12+E13)*C38</f>
        <v>2101935.9131391528</v>
      </c>
      <c r="F14" s="30"/>
      <c r="I14" s="29" t="s">
        <v>857</v>
      </c>
    </row>
    <row r="15" spans="1:9" x14ac:dyDescent="0.2">
      <c r="A15" s="60">
        <f>+A14+1</f>
        <v>5</v>
      </c>
      <c r="B15" s="5" t="s">
        <v>765</v>
      </c>
      <c r="C15" s="30">
        <f t="shared" si="0"/>
        <v>278136.65489606559</v>
      </c>
      <c r="D15" s="30"/>
      <c r="E15" s="30"/>
      <c r="F15" s="30">
        <f>(F12/((1+C35*10/12)))*(1+C35)-F12</f>
        <v>278136.65489606559</v>
      </c>
      <c r="G15" s="63"/>
      <c r="I15" s="29" t="s">
        <v>857</v>
      </c>
    </row>
    <row r="16" spans="1:9" x14ac:dyDescent="0.2">
      <c r="A16" s="60">
        <f>+A15+1</f>
        <v>6</v>
      </c>
      <c r="B16" s="5" t="s">
        <v>525</v>
      </c>
      <c r="C16" s="30">
        <f t="shared" si="0"/>
        <v>1727228.6269045807</v>
      </c>
      <c r="D16" s="30"/>
      <c r="E16" s="30"/>
      <c r="F16" s="30">
        <f>(F12+F15)*$C37</f>
        <v>1727228.6269045807</v>
      </c>
      <c r="G16" s="63"/>
      <c r="I16" s="29" t="s">
        <v>857</v>
      </c>
    </row>
    <row r="17" spans="1:9" x14ac:dyDescent="0.2">
      <c r="A17" s="60">
        <f>+A16+1</f>
        <v>7</v>
      </c>
      <c r="B17" s="5" t="s">
        <v>526</v>
      </c>
      <c r="C17" s="101">
        <f t="shared" si="0"/>
        <v>1787681.6288462412</v>
      </c>
      <c r="D17" s="101"/>
      <c r="E17" s="101"/>
      <c r="F17" s="101">
        <f>(F12+F15+F16)*$C39</f>
        <v>1787681.6288462412</v>
      </c>
      <c r="G17" s="63"/>
      <c r="I17" s="29" t="s">
        <v>857</v>
      </c>
    </row>
    <row r="18" spans="1:9" x14ac:dyDescent="0.2">
      <c r="C18" s="29"/>
      <c r="D18" s="29"/>
      <c r="E18" s="29"/>
      <c r="F18" s="29"/>
    </row>
    <row r="19" spans="1:9" x14ac:dyDescent="0.2">
      <c r="A19" s="60">
        <f>+A17+1</f>
        <v>8</v>
      </c>
      <c r="B19" s="54" t="s">
        <v>283</v>
      </c>
      <c r="C19" s="29">
        <f>SUM(D19:F19)</f>
        <v>111135479.16999276</v>
      </c>
      <c r="D19" s="29">
        <f>SUM(D12:D17)</f>
        <v>3620845.8324930882</v>
      </c>
      <c r="E19" s="29">
        <f>SUM(E12:E16)</f>
        <v>54650333.74161797</v>
      </c>
      <c r="F19" s="29">
        <f>SUM(F12:F17)</f>
        <v>52864299.595881701</v>
      </c>
      <c r="G19" s="63"/>
    </row>
    <row r="20" spans="1:9" x14ac:dyDescent="0.2">
      <c r="C20" s="312"/>
      <c r="D20" s="34"/>
      <c r="E20" s="34"/>
      <c r="F20" s="34"/>
      <c r="G20" s="63"/>
    </row>
    <row r="21" spans="1:9" x14ac:dyDescent="0.2">
      <c r="A21" s="60">
        <f>+A19+1</f>
        <v>9</v>
      </c>
      <c r="B21" s="54" t="s">
        <v>284</v>
      </c>
      <c r="C21" s="313">
        <f>C23/C19</f>
        <v>0.63098997581516403</v>
      </c>
      <c r="D21" s="314">
        <v>0.72499999999999998</v>
      </c>
      <c r="E21" s="314">
        <v>0.64700000000000002</v>
      </c>
      <c r="F21" s="314">
        <v>0.60799999999999998</v>
      </c>
      <c r="I21" s="41" t="s">
        <v>898</v>
      </c>
    </row>
    <row r="22" spans="1:9" x14ac:dyDescent="0.2">
      <c r="C22" s="315"/>
      <c r="D22" s="315"/>
      <c r="E22" s="315"/>
      <c r="F22" s="315"/>
    </row>
    <row r="23" spans="1:9" x14ac:dyDescent="0.2">
      <c r="A23" s="60">
        <f>+A21+1</f>
        <v>10</v>
      </c>
      <c r="B23" s="54" t="s">
        <v>285</v>
      </c>
      <c r="C23" s="29">
        <f>SUM(D23:F23)</f>
        <v>70125373.313680395</v>
      </c>
      <c r="D23" s="30">
        <f>D19*D21</f>
        <v>2625113.2285574889</v>
      </c>
      <c r="E23" s="30">
        <f>E19*E21</f>
        <v>35358765.930826828</v>
      </c>
      <c r="F23" s="29">
        <f>F19*F21</f>
        <v>32141494.154296074</v>
      </c>
    </row>
    <row r="24" spans="1:9" x14ac:dyDescent="0.2">
      <c r="C24" s="29"/>
      <c r="D24" s="29"/>
      <c r="E24" s="29"/>
      <c r="F24" s="29"/>
    </row>
    <row r="25" spans="1:9" x14ac:dyDescent="0.2">
      <c r="A25" s="60">
        <f>+A23+1</f>
        <v>11</v>
      </c>
      <c r="B25" s="54" t="s">
        <v>286</v>
      </c>
      <c r="C25" s="66">
        <f>SUM(D25:F25)</f>
        <v>65110954.008000001</v>
      </c>
      <c r="D25" s="101">
        <f>+D10*D21</f>
        <v>2668951.9249999998</v>
      </c>
      <c r="E25" s="101">
        <f>+E10*E21</f>
        <v>33214312.419</v>
      </c>
      <c r="F25" s="101">
        <f>+F10*F21</f>
        <v>29227689.664000001</v>
      </c>
    </row>
    <row r="26" spans="1:9" x14ac:dyDescent="0.2">
      <c r="A26" s="60"/>
      <c r="C26" s="29"/>
      <c r="D26" s="29"/>
      <c r="E26" s="29"/>
      <c r="F26" s="29"/>
    </row>
    <row r="27" spans="1:9" ht="15.75" thickBot="1" x14ac:dyDescent="0.25">
      <c r="A27" s="60">
        <f>+A25+1</f>
        <v>12</v>
      </c>
      <c r="B27" s="54" t="s">
        <v>275</v>
      </c>
      <c r="C27" s="316">
        <f>C23-C25</f>
        <v>5014419.3056803942</v>
      </c>
      <c r="D27" s="316">
        <f>D23-D25</f>
        <v>-43838.696442510933</v>
      </c>
      <c r="E27" s="316">
        <f>E23-E25</f>
        <v>2144453.5118268281</v>
      </c>
      <c r="F27" s="316">
        <f>F23-F25</f>
        <v>2913804.4902960733</v>
      </c>
    </row>
    <row r="28" spans="1:9" ht="15.75" thickTop="1" x14ac:dyDescent="0.2"/>
    <row r="29" spans="1:9" x14ac:dyDescent="0.2">
      <c r="A29" s="60">
        <f>+A27+1</f>
        <v>13</v>
      </c>
      <c r="B29" s="54" t="s">
        <v>276</v>
      </c>
      <c r="C29" s="81">
        <f>+'KSM-3 p4 - Factors'!D16</f>
        <v>0.10757589537176274</v>
      </c>
      <c r="D29" s="25"/>
      <c r="E29" s="25"/>
      <c r="F29" s="133"/>
    </row>
    <row r="30" spans="1:9" x14ac:dyDescent="0.2">
      <c r="A30" s="60"/>
      <c r="C30" s="25"/>
      <c r="D30" s="25"/>
      <c r="E30" s="317"/>
      <c r="F30" s="25"/>
    </row>
    <row r="31" spans="1:9" ht="15.75" thickBot="1" x14ac:dyDescent="0.25">
      <c r="A31" s="60">
        <f>+A29+1</f>
        <v>14</v>
      </c>
      <c r="B31" s="54" t="s">
        <v>277</v>
      </c>
      <c r="C31" s="70">
        <f>C27*C29</f>
        <v>539430.64657802123</v>
      </c>
      <c r="E31" s="317"/>
    </row>
    <row r="32" spans="1:9" ht="15.75" thickTop="1" x14ac:dyDescent="0.2">
      <c r="A32" s="60"/>
    </row>
    <row r="33" spans="1:16" x14ac:dyDescent="0.2">
      <c r="A33" s="60"/>
    </row>
    <row r="34" spans="1:16" x14ac:dyDescent="0.2">
      <c r="A34" s="54" t="s">
        <v>290</v>
      </c>
      <c r="P34" s="318"/>
    </row>
    <row r="35" spans="1:16" x14ac:dyDescent="0.2">
      <c r="B35" s="125" t="s">
        <v>522</v>
      </c>
      <c r="C35" s="319">
        <v>3.5000000000000003E-2</v>
      </c>
      <c r="I35" s="2" t="s">
        <v>875</v>
      </c>
    </row>
    <row r="36" spans="1:16" x14ac:dyDescent="0.2">
      <c r="B36" s="125" t="s">
        <v>501</v>
      </c>
      <c r="C36" s="319">
        <f>0.0325+0.005</f>
        <v>3.7499999999999999E-2</v>
      </c>
      <c r="I36" s="2" t="s">
        <v>875</v>
      </c>
    </row>
    <row r="37" spans="1:16" x14ac:dyDescent="0.2">
      <c r="B37" s="125" t="s">
        <v>523</v>
      </c>
      <c r="C37" s="319">
        <v>3.5000000000000003E-2</v>
      </c>
      <c r="I37" s="2" t="s">
        <v>875</v>
      </c>
    </row>
    <row r="38" spans="1:16" x14ac:dyDescent="0.2">
      <c r="B38" s="125" t="s">
        <v>740</v>
      </c>
      <c r="C38" s="319">
        <v>0.04</v>
      </c>
      <c r="I38" s="2" t="s">
        <v>875</v>
      </c>
    </row>
    <row r="39" spans="1:16" x14ac:dyDescent="0.2">
      <c r="B39" s="125" t="s">
        <v>500</v>
      </c>
      <c r="C39" s="319">
        <f>3.5%</f>
        <v>3.5000000000000003E-2</v>
      </c>
      <c r="I39" s="2" t="s">
        <v>875</v>
      </c>
    </row>
    <row r="40" spans="1:16" x14ac:dyDescent="0.2">
      <c r="A40" s="108"/>
      <c r="B40" s="108"/>
      <c r="C40" s="41"/>
      <c r="F40" s="144"/>
    </row>
    <row r="41" spans="1:16" x14ac:dyDescent="0.2">
      <c r="A41" s="108"/>
      <c r="B41" s="108"/>
      <c r="E41" s="320"/>
      <c r="F41" s="144"/>
    </row>
    <row r="42" spans="1:16" x14ac:dyDescent="0.2">
      <c r="A42" s="127" t="s">
        <v>287</v>
      </c>
      <c r="B42" s="108" t="s">
        <v>293</v>
      </c>
      <c r="F42" s="144"/>
    </row>
    <row r="43" spans="1:16" x14ac:dyDescent="0.2">
      <c r="A43" s="127" t="s">
        <v>291</v>
      </c>
      <c r="B43" s="125" t="s">
        <v>802</v>
      </c>
    </row>
    <row r="44" spans="1:16" x14ac:dyDescent="0.2">
      <c r="A44" s="127" t="s">
        <v>292</v>
      </c>
      <c r="B44" s="126" t="s">
        <v>294</v>
      </c>
      <c r="C44" s="144"/>
      <c r="D44" s="144"/>
      <c r="E44" s="144"/>
    </row>
    <row r="47" spans="1:16" x14ac:dyDescent="0.2">
      <c r="A47" s="2"/>
      <c r="B47" s="2"/>
    </row>
    <row r="48" spans="1:16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14" x14ac:dyDescent="0.2">
      <c r="A65" s="2"/>
      <c r="B65" s="2"/>
    </row>
    <row r="66" spans="1:14" x14ac:dyDescent="0.2">
      <c r="A66" s="2"/>
      <c r="B66" s="2"/>
    </row>
    <row r="67" spans="1:14" x14ac:dyDescent="0.2">
      <c r="A67" s="2"/>
      <c r="B67" s="2"/>
    </row>
    <row r="68" spans="1:14" x14ac:dyDescent="0.2">
      <c r="A68" s="2"/>
      <c r="B68" s="2"/>
    </row>
    <row r="69" spans="1:14" x14ac:dyDescent="0.2">
      <c r="A69" s="2"/>
      <c r="B69" s="2"/>
      <c r="I69" s="1"/>
      <c r="J69" s="1"/>
      <c r="K69" s="4"/>
    </row>
    <row r="70" spans="1:14" x14ac:dyDescent="0.2">
      <c r="A70" s="2"/>
      <c r="B70" s="2"/>
      <c r="I70" s="1"/>
      <c r="J70" s="1"/>
      <c r="K70" s="4"/>
    </row>
    <row r="71" spans="1:14" x14ac:dyDescent="0.2">
      <c r="A71" s="2"/>
      <c r="B71" s="2"/>
      <c r="I71" s="1"/>
      <c r="J71" s="1"/>
      <c r="K71" s="4"/>
    </row>
    <row r="72" spans="1:14" x14ac:dyDescent="0.25">
      <c r="A72" s="2"/>
      <c r="B72" s="2"/>
      <c r="I72" s="1"/>
      <c r="J72" s="1"/>
      <c r="K72" s="4"/>
      <c r="N72" s="321"/>
    </row>
    <row r="73" spans="1:14" x14ac:dyDescent="0.25">
      <c r="A73" s="2"/>
      <c r="B73" s="2"/>
      <c r="I73" s="1"/>
      <c r="J73" s="1"/>
      <c r="K73" s="4"/>
      <c r="N73" s="321"/>
    </row>
    <row r="74" spans="1:14" x14ac:dyDescent="0.25">
      <c r="A74" s="2"/>
      <c r="B74" s="2"/>
      <c r="I74" s="1"/>
      <c r="J74" s="1"/>
      <c r="K74" s="4"/>
      <c r="N74" s="321"/>
    </row>
    <row r="75" spans="1:14" x14ac:dyDescent="0.25">
      <c r="A75" s="2"/>
      <c r="B75" s="2"/>
      <c r="I75" s="1"/>
      <c r="J75" s="1"/>
      <c r="K75" s="4"/>
      <c r="N75" s="321"/>
    </row>
    <row r="76" spans="1:14" x14ac:dyDescent="0.25">
      <c r="A76" s="2"/>
      <c r="B76" s="2"/>
      <c r="I76" s="1"/>
      <c r="J76" s="1"/>
      <c r="K76" s="4"/>
      <c r="N76" s="321"/>
    </row>
    <row r="77" spans="1:14" x14ac:dyDescent="0.25">
      <c r="A77" s="2"/>
      <c r="B77" s="2"/>
      <c r="I77" s="1"/>
      <c r="J77" s="1"/>
      <c r="K77" s="4"/>
      <c r="N77" s="321"/>
    </row>
    <row r="78" spans="1:14" x14ac:dyDescent="0.25">
      <c r="A78" s="2"/>
      <c r="B78" s="2"/>
      <c r="I78" s="1"/>
      <c r="J78" s="1"/>
      <c r="K78" s="4"/>
      <c r="N78" s="321"/>
    </row>
    <row r="79" spans="1:14" x14ac:dyDescent="0.25">
      <c r="A79" s="2"/>
      <c r="B79" s="2"/>
      <c r="I79" s="1"/>
      <c r="J79" s="1"/>
      <c r="K79" s="4"/>
      <c r="N79" s="321"/>
    </row>
    <row r="80" spans="1:14" x14ac:dyDescent="0.25">
      <c r="A80" s="2"/>
      <c r="B80" s="2"/>
      <c r="I80" s="1"/>
      <c r="J80" s="1"/>
      <c r="K80" s="4"/>
      <c r="N80" s="321"/>
    </row>
    <row r="81" spans="1:14" x14ac:dyDescent="0.25">
      <c r="A81" s="2"/>
      <c r="B81" s="2"/>
      <c r="N81" s="321"/>
    </row>
    <row r="82" spans="1:14" x14ac:dyDescent="0.25">
      <c r="A82" s="2"/>
      <c r="B82" s="2"/>
      <c r="N82" s="321"/>
    </row>
    <row r="83" spans="1:14" x14ac:dyDescent="0.2">
      <c r="A83" s="2"/>
      <c r="B83" s="2"/>
    </row>
    <row r="84" spans="1:14" x14ac:dyDescent="0.2">
      <c r="A84" s="2"/>
      <c r="B84" s="2"/>
    </row>
    <row r="85" spans="1:14" x14ac:dyDescent="0.2">
      <c r="A85" s="2"/>
      <c r="B85" s="2"/>
    </row>
    <row r="86" spans="1:14" x14ac:dyDescent="0.2">
      <c r="A86" s="2"/>
      <c r="B86" s="2"/>
    </row>
    <row r="87" spans="1:14" x14ac:dyDescent="0.2">
      <c r="A87" s="2"/>
      <c r="B87" s="2"/>
    </row>
    <row r="88" spans="1:14" x14ac:dyDescent="0.2">
      <c r="A88" s="2"/>
      <c r="B88" s="2"/>
    </row>
    <row r="89" spans="1:14" x14ac:dyDescent="0.2">
      <c r="A89" s="2"/>
      <c r="B89" s="2"/>
    </row>
    <row r="90" spans="1:14" x14ac:dyDescent="0.2">
      <c r="A90" s="2"/>
      <c r="B90" s="2"/>
    </row>
    <row r="91" spans="1:14" x14ac:dyDescent="0.2">
      <c r="A91" s="2"/>
      <c r="B91" s="2"/>
    </row>
    <row r="92" spans="1:14" x14ac:dyDescent="0.2">
      <c r="A92" s="2"/>
      <c r="B92" s="2"/>
    </row>
    <row r="93" spans="1:14" x14ac:dyDescent="0.2">
      <c r="A93" s="2"/>
      <c r="B93" s="2"/>
    </row>
    <row r="94" spans="1:14" x14ac:dyDescent="0.2">
      <c r="A94" s="2"/>
      <c r="B94" s="2"/>
    </row>
    <row r="95" spans="1:14" x14ac:dyDescent="0.2">
      <c r="A95" s="2"/>
      <c r="B95" s="2"/>
    </row>
    <row r="96" spans="1:14" x14ac:dyDescent="0.2">
      <c r="A96" s="2"/>
      <c r="B96" s="2"/>
    </row>
    <row r="97" spans="1:3" x14ac:dyDescent="0.2">
      <c r="A97" s="2"/>
      <c r="B97" s="2"/>
    </row>
    <row r="98" spans="1:3" x14ac:dyDescent="0.2">
      <c r="A98" s="2"/>
      <c r="B98" s="2"/>
    </row>
    <row r="99" spans="1:3" x14ac:dyDescent="0.2">
      <c r="A99" s="2"/>
      <c r="B99" s="2"/>
    </row>
    <row r="100" spans="1:3" x14ac:dyDescent="0.2">
      <c r="A100" s="2"/>
      <c r="B100" s="2"/>
    </row>
    <row r="101" spans="1:3" x14ac:dyDescent="0.2">
      <c r="A101" s="2"/>
      <c r="B101" s="2"/>
    </row>
    <row r="102" spans="1:3" x14ac:dyDescent="0.2">
      <c r="C102" s="69"/>
    </row>
  </sheetData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  <rowBreaks count="1" manualBreakCount="1">
    <brk id="50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0.59999389629810485"/>
    <pageSetUpPr fitToPage="1"/>
  </sheetPr>
  <dimension ref="A1:J40"/>
  <sheetViews>
    <sheetView workbookViewId="0">
      <selection activeCell="H15" sqref="H15"/>
    </sheetView>
  </sheetViews>
  <sheetFormatPr defaultColWidth="9.140625" defaultRowHeight="15" x14ac:dyDescent="0.2"/>
  <cols>
    <col min="1" max="1" width="5.7109375" style="41" customWidth="1"/>
    <col min="2" max="2" width="43.42578125" style="41" bestFit="1" customWidth="1"/>
    <col min="3" max="6" width="15.7109375" style="41" customWidth="1"/>
    <col min="7" max="7" width="9.140625" style="41"/>
    <col min="8" max="8" width="36.85546875" style="41" customWidth="1"/>
    <col min="9" max="10" width="12" style="41" customWidth="1"/>
    <col min="11" max="16384" width="9.140625" style="41"/>
  </cols>
  <sheetData>
    <row r="1" spans="1:10" x14ac:dyDescent="0.2">
      <c r="A1" s="108" t="s">
        <v>1</v>
      </c>
      <c r="B1" s="108"/>
      <c r="E1" s="494" t="s">
        <v>811</v>
      </c>
    </row>
    <row r="2" spans="1:10" x14ac:dyDescent="0.2">
      <c r="A2" s="108" t="str">
        <f>+'KSM-4 p16 - Payroll 1'!A2</f>
        <v>Test Year Based on Twelve Months Ended September 30, 2018</v>
      </c>
      <c r="B2" s="108"/>
    </row>
    <row r="3" spans="1:10" x14ac:dyDescent="0.2">
      <c r="A3" s="125" t="s">
        <v>289</v>
      </c>
      <c r="B3" s="108"/>
    </row>
    <row r="4" spans="1:10" x14ac:dyDescent="0.2">
      <c r="A4" s="108" t="s">
        <v>270</v>
      </c>
      <c r="B4" s="108"/>
      <c r="C4" s="108"/>
      <c r="D4" s="39"/>
    </row>
    <row r="5" spans="1:10" x14ac:dyDescent="0.2">
      <c r="A5" s="108"/>
      <c r="B5" s="108"/>
      <c r="C5" s="108"/>
      <c r="D5" s="39"/>
      <c r="E5" s="226"/>
    </row>
    <row r="6" spans="1:10" x14ac:dyDescent="0.2">
      <c r="A6" s="127" t="s">
        <v>17</v>
      </c>
      <c r="B6" s="108"/>
      <c r="C6" s="108"/>
      <c r="D6" s="39"/>
      <c r="E6" s="226"/>
    </row>
    <row r="7" spans="1:10" x14ac:dyDescent="0.2">
      <c r="A7" s="128" t="s">
        <v>272</v>
      </c>
      <c r="B7" s="108"/>
      <c r="C7" s="128" t="s">
        <v>271</v>
      </c>
      <c r="D7" s="128" t="s">
        <v>370</v>
      </c>
      <c r="E7" s="227" t="s">
        <v>371</v>
      </c>
      <c r="H7" s="227" t="s">
        <v>837</v>
      </c>
    </row>
    <row r="8" spans="1:10" x14ac:dyDescent="0.2">
      <c r="A8" s="127"/>
      <c r="B8" s="108"/>
      <c r="C8" s="228" t="s">
        <v>58</v>
      </c>
      <c r="D8" s="228" t="s">
        <v>59</v>
      </c>
      <c r="E8" s="127" t="s">
        <v>60</v>
      </c>
    </row>
    <row r="9" spans="1:10" x14ac:dyDescent="0.2">
      <c r="A9" s="127"/>
      <c r="B9" s="108"/>
      <c r="E9" s="229"/>
    </row>
    <row r="10" spans="1:10" x14ac:dyDescent="0.2">
      <c r="A10" s="127">
        <v>1</v>
      </c>
      <c r="B10" s="108" t="s">
        <v>803</v>
      </c>
      <c r="C10" s="230">
        <v>12</v>
      </c>
      <c r="D10" s="230">
        <f>+D35</f>
        <v>508.33903124999995</v>
      </c>
      <c r="E10" s="230">
        <f>+E35</f>
        <v>630.21231249999971</v>
      </c>
      <c r="F10" s="230">
        <f>SUM(C10:E10)</f>
        <v>1150.5513437499997</v>
      </c>
    </row>
    <row r="11" spans="1:10" x14ac:dyDescent="0.2">
      <c r="A11" s="127"/>
      <c r="B11" s="108"/>
      <c r="C11" s="231"/>
      <c r="D11" s="231"/>
      <c r="E11" s="232"/>
    </row>
    <row r="12" spans="1:10" x14ac:dyDescent="0.2">
      <c r="A12" s="127">
        <v>2</v>
      </c>
      <c r="B12" s="108" t="s">
        <v>529</v>
      </c>
      <c r="C12" s="231">
        <f>+C36</f>
        <v>12.200396825396824</v>
      </c>
      <c r="D12" s="231">
        <f>+D36</f>
        <v>504.20284809076793</v>
      </c>
      <c r="E12" s="231">
        <f>+E36</f>
        <v>617.37728585574303</v>
      </c>
      <c r="J12" s="127"/>
    </row>
    <row r="13" spans="1:10" x14ac:dyDescent="0.2">
      <c r="A13" s="127"/>
      <c r="B13" s="108"/>
      <c r="C13" s="233"/>
      <c r="D13" s="233"/>
      <c r="E13" s="234"/>
    </row>
    <row r="14" spans="1:10" x14ac:dyDescent="0.2">
      <c r="A14" s="127">
        <v>3</v>
      </c>
      <c r="B14" s="108" t="s">
        <v>528</v>
      </c>
      <c r="C14" s="235">
        <v>3681313</v>
      </c>
      <c r="D14" s="235">
        <v>51335877</v>
      </c>
      <c r="E14" s="235">
        <v>48071858</v>
      </c>
      <c r="F14" s="41">
        <f>SUM(C14:E14)</f>
        <v>103089048</v>
      </c>
      <c r="H14" s="41" t="s">
        <v>898</v>
      </c>
      <c r="I14" s="338"/>
    </row>
    <row r="15" spans="1:10" x14ac:dyDescent="0.2">
      <c r="A15" s="127"/>
      <c r="B15" s="108"/>
      <c r="C15" s="213"/>
      <c r="D15" s="213"/>
      <c r="E15" s="237"/>
      <c r="I15" s="338"/>
    </row>
    <row r="16" spans="1:10" x14ac:dyDescent="0.2">
      <c r="A16" s="127">
        <v>4</v>
      </c>
      <c r="B16" s="108" t="s">
        <v>273</v>
      </c>
      <c r="C16" s="213"/>
      <c r="D16" s="213"/>
      <c r="E16" s="213"/>
      <c r="I16" s="338"/>
    </row>
    <row r="17" spans="1:8" x14ac:dyDescent="0.2">
      <c r="A17" s="127"/>
      <c r="B17" s="108" t="s">
        <v>530</v>
      </c>
      <c r="C17" s="213">
        <f>C14/C12</f>
        <v>301737.15270775737</v>
      </c>
      <c r="D17" s="213">
        <f>D14/D12</f>
        <v>101815.92030745209</v>
      </c>
      <c r="E17" s="213">
        <f>E14/E12</f>
        <v>77864.63658663418</v>
      </c>
    </row>
    <row r="18" spans="1:8" x14ac:dyDescent="0.2">
      <c r="A18" s="127"/>
      <c r="B18" s="108"/>
      <c r="C18" s="213"/>
      <c r="D18" s="213"/>
      <c r="E18" s="237"/>
    </row>
    <row r="19" spans="1:8" ht="15.75" thickBot="1" x14ac:dyDescent="0.25">
      <c r="A19" s="127">
        <v>5</v>
      </c>
      <c r="B19" s="108" t="s">
        <v>274</v>
      </c>
      <c r="C19" s="238">
        <f>C10*C17</f>
        <v>3620845.8324930882</v>
      </c>
      <c r="D19" s="238">
        <f>D10*D17</f>
        <v>51757006.29491739</v>
      </c>
      <c r="E19" s="239">
        <f>E10*E17</f>
        <v>49071252.685234807</v>
      </c>
      <c r="F19" s="41">
        <f>SUM(C19:E19)</f>
        <v>104449104.81264529</v>
      </c>
    </row>
    <row r="20" spans="1:8" ht="15.75" thickTop="1" x14ac:dyDescent="0.2">
      <c r="A20" s="127"/>
      <c r="B20" s="108" t="s">
        <v>531</v>
      </c>
      <c r="D20" s="229"/>
    </row>
    <row r="21" spans="1:8" x14ac:dyDescent="0.2">
      <c r="A21" s="108"/>
      <c r="B21" s="108"/>
      <c r="D21" s="229"/>
    </row>
    <row r="22" spans="1:8" x14ac:dyDescent="0.2">
      <c r="A22" s="108"/>
      <c r="B22" s="108"/>
    </row>
    <row r="23" spans="1:8" x14ac:dyDescent="0.2">
      <c r="A23" s="108"/>
      <c r="B23" s="108"/>
      <c r="C23" s="128" t="s">
        <v>271</v>
      </c>
      <c r="D23" s="128" t="s">
        <v>370</v>
      </c>
      <c r="E23" s="227" t="s">
        <v>371</v>
      </c>
    </row>
    <row r="24" spans="1:8" x14ac:dyDescent="0.2">
      <c r="A24" s="514">
        <v>2017</v>
      </c>
      <c r="B24" s="108" t="s">
        <v>360</v>
      </c>
      <c r="C24" s="488">
        <v>12</v>
      </c>
      <c r="D24" s="488">
        <v>489.53968750000013</v>
      </c>
      <c r="E24" s="488">
        <v>596.44690909090957</v>
      </c>
      <c r="F24" s="488"/>
      <c r="H24" s="41" t="s">
        <v>883</v>
      </c>
    </row>
    <row r="25" spans="1:8" x14ac:dyDescent="0.2">
      <c r="A25" s="514">
        <v>2017</v>
      </c>
      <c r="B25" s="108" t="s">
        <v>361</v>
      </c>
      <c r="C25" s="488">
        <v>12.000000000000002</v>
      </c>
      <c r="D25" s="488">
        <v>494.62860795454554</v>
      </c>
      <c r="E25" s="488">
        <v>604.37478409090863</v>
      </c>
      <c r="F25" s="488"/>
    </row>
    <row r="26" spans="1:8" x14ac:dyDescent="0.2">
      <c r="A26" s="514">
        <v>2017</v>
      </c>
      <c r="B26" s="108" t="s">
        <v>362</v>
      </c>
      <c r="C26" s="488">
        <v>11.904761904761905</v>
      </c>
      <c r="D26" s="488">
        <v>499.6565476190479</v>
      </c>
      <c r="E26" s="488">
        <v>612.30114285714353</v>
      </c>
      <c r="F26" s="488"/>
    </row>
    <row r="27" spans="1:8" x14ac:dyDescent="0.2">
      <c r="A27" s="514">
        <v>2018</v>
      </c>
      <c r="B27" s="108" t="s">
        <v>352</v>
      </c>
      <c r="C27" s="488">
        <v>12</v>
      </c>
      <c r="D27" s="488">
        <v>501.34252717391331</v>
      </c>
      <c r="E27" s="488">
        <v>617.62926086956554</v>
      </c>
      <c r="F27" s="488"/>
    </row>
    <row r="28" spans="1:8" x14ac:dyDescent="0.2">
      <c r="A28" s="514">
        <v>2018</v>
      </c>
      <c r="B28" s="108" t="s">
        <v>353</v>
      </c>
      <c r="C28" s="488">
        <v>12</v>
      </c>
      <c r="D28" s="488">
        <v>505.48390625000008</v>
      </c>
      <c r="E28" s="488">
        <v>611.83275624999828</v>
      </c>
      <c r="F28" s="488"/>
    </row>
    <row r="29" spans="1:8" x14ac:dyDescent="0.2">
      <c r="A29" s="514">
        <v>2018</v>
      </c>
      <c r="B29" s="108" t="s">
        <v>354</v>
      </c>
      <c r="C29" s="488">
        <v>12.5</v>
      </c>
      <c r="D29" s="488">
        <v>505.97031250000009</v>
      </c>
      <c r="E29" s="488">
        <v>619.24869318181914</v>
      </c>
      <c r="F29" s="488"/>
    </row>
    <row r="30" spans="1:8" x14ac:dyDescent="0.2">
      <c r="A30" s="514">
        <v>2018</v>
      </c>
      <c r="B30" s="108" t="s">
        <v>355</v>
      </c>
      <c r="C30" s="488">
        <v>11.999999999999998</v>
      </c>
      <c r="D30" s="488">
        <v>507.47842261904748</v>
      </c>
      <c r="E30" s="488">
        <v>620.4823511904774</v>
      </c>
      <c r="F30" s="488"/>
    </row>
    <row r="31" spans="1:8" x14ac:dyDescent="0.2">
      <c r="A31" s="514">
        <v>2018</v>
      </c>
      <c r="B31" s="108" t="s">
        <v>20</v>
      </c>
      <c r="C31" s="488">
        <v>12</v>
      </c>
      <c r="D31" s="488">
        <v>510.02771739130401</v>
      </c>
      <c r="E31" s="488">
        <v>619.43722282608644</v>
      </c>
      <c r="F31" s="488"/>
    </row>
    <row r="32" spans="1:8" x14ac:dyDescent="0.2">
      <c r="A32" s="514">
        <v>2018</v>
      </c>
      <c r="B32" s="108" t="s">
        <v>356</v>
      </c>
      <c r="C32" s="488">
        <v>12</v>
      </c>
      <c r="D32" s="488">
        <v>510.22708333333361</v>
      </c>
      <c r="E32" s="488">
        <v>622.19947023809652</v>
      </c>
      <c r="F32" s="488"/>
    </row>
    <row r="33" spans="1:6" x14ac:dyDescent="0.2">
      <c r="A33" s="514">
        <v>2018</v>
      </c>
      <c r="B33" s="108" t="s">
        <v>357</v>
      </c>
      <c r="C33" s="488">
        <v>12</v>
      </c>
      <c r="D33" s="488">
        <v>508.66704545454559</v>
      </c>
      <c r="E33" s="488">
        <v>621.35499999999979</v>
      </c>
      <c r="F33" s="488"/>
    </row>
    <row r="34" spans="1:6" x14ac:dyDescent="0.2">
      <c r="A34" s="514">
        <v>2018</v>
      </c>
      <c r="B34" s="108" t="s">
        <v>358</v>
      </c>
      <c r="C34" s="488">
        <v>13</v>
      </c>
      <c r="D34" s="488">
        <v>509.07328804347827</v>
      </c>
      <c r="E34" s="488">
        <v>633.00752717391242</v>
      </c>
      <c r="F34" s="488"/>
    </row>
    <row r="35" spans="1:6" s="246" customFormat="1" x14ac:dyDescent="0.2">
      <c r="A35" s="515">
        <v>2018</v>
      </c>
      <c r="B35" s="245" t="s">
        <v>359</v>
      </c>
      <c r="C35" s="489">
        <v>13</v>
      </c>
      <c r="D35" s="489">
        <v>508.33903124999995</v>
      </c>
      <c r="E35" s="489">
        <v>630.21231249999971</v>
      </c>
      <c r="F35" s="337">
        <f>SUM(C35:E35)</f>
        <v>1151.5513437499997</v>
      </c>
    </row>
    <row r="36" spans="1:6" s="246" customFormat="1" x14ac:dyDescent="0.2">
      <c r="A36" s="245"/>
      <c r="B36" s="245" t="s">
        <v>79</v>
      </c>
      <c r="C36" s="337">
        <f>AVERAGE(C24:C35)</f>
        <v>12.200396825396824</v>
      </c>
      <c r="D36" s="337">
        <f>AVERAGE(D24:D35)</f>
        <v>504.20284809076793</v>
      </c>
      <c r="E36" s="337">
        <f>AVERAGE(E24:E35)</f>
        <v>617.37728585574303</v>
      </c>
      <c r="F36" s="337">
        <f>SUM(C36:E36)</f>
        <v>1133.7805307719077</v>
      </c>
    </row>
    <row r="37" spans="1:6" s="246" customFormat="1" x14ac:dyDescent="0.2">
      <c r="A37" s="245"/>
      <c r="B37" s="245"/>
    </row>
    <row r="38" spans="1:6" x14ac:dyDescent="0.2">
      <c r="A38" s="108"/>
      <c r="B38" s="240"/>
    </row>
    <row r="39" spans="1:6" x14ac:dyDescent="0.2">
      <c r="A39" s="108" t="s">
        <v>804</v>
      </c>
      <c r="B39" s="240"/>
    </row>
    <row r="40" spans="1:6" x14ac:dyDescent="0.2">
      <c r="A40" s="108"/>
      <c r="B40" s="240"/>
    </row>
  </sheetData>
  <phoneticPr fontId="4" type="noConversion"/>
  <printOptions horizontalCentered="1"/>
  <pageMargins left="0.75" right="0.75" top="0.7" bottom="0.66" header="0.5" footer="0.5"/>
  <pageSetup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0.59999389629810485"/>
    <pageSetUpPr fitToPage="1"/>
  </sheetPr>
  <dimension ref="A1:P44"/>
  <sheetViews>
    <sheetView workbookViewId="0">
      <selection activeCell="G8" sqref="G8"/>
    </sheetView>
  </sheetViews>
  <sheetFormatPr defaultColWidth="9.140625" defaultRowHeight="15" x14ac:dyDescent="0.2"/>
  <cols>
    <col min="1" max="1" width="5.7109375" style="108" customWidth="1"/>
    <col min="2" max="2" width="50.7109375" style="108" customWidth="1"/>
    <col min="3" max="5" width="14.7109375" style="41" customWidth="1"/>
    <col min="6" max="6" width="9.140625" style="41" customWidth="1"/>
    <col min="7" max="7" width="35.85546875" style="41" bestFit="1" customWidth="1"/>
    <col min="8" max="8" width="9.140625" style="41" customWidth="1"/>
    <col min="9" max="9" width="20.5703125" style="41" customWidth="1"/>
    <col min="10" max="10" width="11.7109375" style="41" customWidth="1"/>
    <col min="11" max="13" width="14.7109375" style="41" customWidth="1"/>
    <col min="14" max="14" width="7.85546875" style="41" customWidth="1"/>
    <col min="15" max="15" width="24.42578125" style="41" bestFit="1" customWidth="1"/>
    <col min="16" max="16" width="18" style="41" customWidth="1"/>
    <col min="17" max="16384" width="9.140625" style="41"/>
  </cols>
  <sheetData>
    <row r="1" spans="1:16" s="108" customFormat="1" x14ac:dyDescent="0.2">
      <c r="A1" s="108" t="s">
        <v>0</v>
      </c>
      <c r="E1" s="127" t="s">
        <v>813</v>
      </c>
    </row>
    <row r="2" spans="1:16" s="108" customFormat="1" ht="15.75" thickBot="1" x14ac:dyDescent="0.25">
      <c r="A2" s="108" t="str">
        <f>+'KSM-4 p2 &amp; p3 - Adjust Issues'!A3</f>
        <v>Test Year Based on Twelve Months Ended September 30, 2018</v>
      </c>
    </row>
    <row r="3" spans="1:16" s="108" customFormat="1" x14ac:dyDescent="0.2">
      <c r="A3" s="108" t="s">
        <v>278</v>
      </c>
      <c r="I3" s="421" t="s">
        <v>633</v>
      </c>
      <c r="J3" s="422"/>
      <c r="K3" s="530" t="s">
        <v>13</v>
      </c>
      <c r="L3" s="530"/>
      <c r="M3" s="531"/>
    </row>
    <row r="4" spans="1:16" s="108" customFormat="1" x14ac:dyDescent="0.2">
      <c r="I4" s="423"/>
      <c r="J4" s="246"/>
      <c r="K4" s="262" t="s">
        <v>720</v>
      </c>
      <c r="L4" s="262" t="s">
        <v>721</v>
      </c>
      <c r="M4" s="424" t="s">
        <v>722</v>
      </c>
    </row>
    <row r="5" spans="1:16" s="108" customFormat="1" x14ac:dyDescent="0.2">
      <c r="C5" s="127" t="s">
        <v>9</v>
      </c>
      <c r="D5" s="127" t="s">
        <v>10</v>
      </c>
      <c r="E5" s="127" t="s">
        <v>10</v>
      </c>
      <c r="I5" s="423"/>
      <c r="J5" s="246"/>
      <c r="K5" s="246"/>
      <c r="L5" s="246"/>
      <c r="M5" s="425"/>
    </row>
    <row r="6" spans="1:16" s="108" customFormat="1" x14ac:dyDescent="0.2">
      <c r="C6" s="127" t="s">
        <v>28</v>
      </c>
      <c r="D6" s="127" t="s">
        <v>51</v>
      </c>
      <c r="E6" s="127" t="s">
        <v>28</v>
      </c>
      <c r="I6" s="423" t="s">
        <v>360</v>
      </c>
      <c r="J6" s="426">
        <v>2017</v>
      </c>
      <c r="K6" s="420">
        <v>1439550.3999999014</v>
      </c>
      <c r="L6" s="420">
        <v>100648.26</v>
      </c>
      <c r="M6" s="427">
        <f>+K6+L6</f>
        <v>1540198.6599999014</v>
      </c>
    </row>
    <row r="7" spans="1:16" s="108" customFormat="1" x14ac:dyDescent="0.2">
      <c r="A7" s="127" t="s">
        <v>17</v>
      </c>
      <c r="C7" s="128" t="s">
        <v>53</v>
      </c>
      <c r="D7" s="128" t="s">
        <v>280</v>
      </c>
      <c r="E7" s="128" t="s">
        <v>53</v>
      </c>
      <c r="I7" s="423" t="s">
        <v>361</v>
      </c>
      <c r="J7" s="426"/>
      <c r="K7" s="420">
        <v>1445277.5599999581</v>
      </c>
      <c r="L7" s="420">
        <v>236372.26</v>
      </c>
      <c r="M7" s="427">
        <f t="shared" ref="M7:M17" si="0">+K7+L7</f>
        <v>1681649.8199999582</v>
      </c>
    </row>
    <row r="8" spans="1:16" s="108" customFormat="1" x14ac:dyDescent="0.2">
      <c r="A8" s="128" t="s">
        <v>33</v>
      </c>
      <c r="C8" s="228" t="s">
        <v>58</v>
      </c>
      <c r="D8" s="228" t="s">
        <v>59</v>
      </c>
      <c r="E8" s="228" t="s">
        <v>60</v>
      </c>
      <c r="I8" s="423" t="s">
        <v>362</v>
      </c>
      <c r="J8" s="426"/>
      <c r="K8" s="420">
        <v>1487083.3999999487</v>
      </c>
      <c r="L8" s="420">
        <v>100648.26</v>
      </c>
      <c r="M8" s="427">
        <f t="shared" si="0"/>
        <v>1587731.6599999487</v>
      </c>
    </row>
    <row r="9" spans="1:16" s="108" customFormat="1" x14ac:dyDescent="0.2">
      <c r="C9" s="41"/>
      <c r="D9" s="41"/>
      <c r="E9" s="41"/>
      <c r="I9" s="423" t="s">
        <v>352</v>
      </c>
      <c r="J9" s="426">
        <v>2018</v>
      </c>
      <c r="K9" s="420">
        <v>1550205.580000001</v>
      </c>
      <c r="L9" s="420">
        <v>-5419.3500000000031</v>
      </c>
      <c r="M9" s="427">
        <f t="shared" si="0"/>
        <v>1544786.2300000009</v>
      </c>
    </row>
    <row r="10" spans="1:16" ht="15.75" thickBot="1" x14ac:dyDescent="0.25">
      <c r="A10" s="127"/>
      <c r="B10" s="241" t="s">
        <v>279</v>
      </c>
      <c r="C10" s="108"/>
      <c r="D10" s="6"/>
      <c r="E10" s="6"/>
      <c r="I10" s="423" t="s">
        <v>353</v>
      </c>
      <c r="J10" s="246"/>
      <c r="K10" s="420">
        <v>1499674.6599999918</v>
      </c>
      <c r="L10" s="420">
        <v>-5419.3500000000031</v>
      </c>
      <c r="M10" s="427">
        <f t="shared" si="0"/>
        <v>1494255.3099999917</v>
      </c>
      <c r="P10" s="108"/>
    </row>
    <row r="11" spans="1:16" x14ac:dyDescent="0.2">
      <c r="I11" s="423" t="s">
        <v>354</v>
      </c>
      <c r="J11" s="246"/>
      <c r="K11" s="420">
        <v>1649935.0599999884</v>
      </c>
      <c r="L11" s="420">
        <v>-5419.3500000000031</v>
      </c>
      <c r="M11" s="427">
        <f t="shared" si="0"/>
        <v>1644515.7099999883</v>
      </c>
      <c r="P11" s="108"/>
    </row>
    <row r="12" spans="1:16" x14ac:dyDescent="0.2">
      <c r="A12" s="127">
        <v>1</v>
      </c>
      <c r="B12" s="108" t="s">
        <v>334</v>
      </c>
      <c r="C12" s="510">
        <f>+M21</f>
        <v>11830300.088278949</v>
      </c>
      <c r="D12" s="6"/>
      <c r="E12" s="6"/>
      <c r="G12" s="41" t="s">
        <v>882</v>
      </c>
      <c r="I12" s="423" t="s">
        <v>355</v>
      </c>
      <c r="J12" s="246"/>
      <c r="K12" s="420">
        <v>1561007.5799999884</v>
      </c>
      <c r="L12" s="420">
        <v>-5419.3500000000022</v>
      </c>
      <c r="M12" s="427">
        <f t="shared" si="0"/>
        <v>1555588.2299999883</v>
      </c>
    </row>
    <row r="13" spans="1:16" x14ac:dyDescent="0.2">
      <c r="A13" s="127">
        <f>+A12+1</f>
        <v>2</v>
      </c>
      <c r="B13" s="108" t="s">
        <v>333</v>
      </c>
      <c r="C13" s="513">
        <f>+K30</f>
        <v>12199938.78639587</v>
      </c>
      <c r="D13" s="6"/>
      <c r="E13" s="6"/>
      <c r="G13" s="41" t="s">
        <v>882</v>
      </c>
      <c r="I13" s="423" t="s">
        <v>20</v>
      </c>
      <c r="J13" s="246"/>
      <c r="K13" s="420">
        <v>1535546.6099999957</v>
      </c>
      <c r="L13" s="420">
        <v>-5419.3500000000031</v>
      </c>
      <c r="M13" s="427">
        <f t="shared" si="0"/>
        <v>1530127.2599999956</v>
      </c>
    </row>
    <row r="14" spans="1:16" x14ac:dyDescent="0.2">
      <c r="A14" s="127"/>
      <c r="C14" s="242"/>
      <c r="D14" s="6"/>
      <c r="E14" s="6"/>
      <c r="I14" s="423" t="s">
        <v>356</v>
      </c>
      <c r="J14" s="246"/>
      <c r="K14" s="420">
        <v>1562849.1599999901</v>
      </c>
      <c r="L14" s="420">
        <v>-5419.3500000000031</v>
      </c>
      <c r="M14" s="427">
        <f t="shared" si="0"/>
        <v>1557429.80999999</v>
      </c>
    </row>
    <row r="15" spans="1:16" ht="15.75" thickBot="1" x14ac:dyDescent="0.25">
      <c r="A15" s="127">
        <f>+A13+1</f>
        <v>3</v>
      </c>
      <c r="B15" s="108" t="s">
        <v>282</v>
      </c>
      <c r="C15" s="238">
        <f>+C13-C12</f>
        <v>369638.69811692089</v>
      </c>
      <c r="D15" s="251">
        <f>+'KSM-4 p16 - Payroll 1'!C29</f>
        <v>0.10757589537176274</v>
      </c>
      <c r="E15" s="244">
        <f>+C15*D15</f>
        <v>39764.213913980471</v>
      </c>
      <c r="I15" s="423" t="s">
        <v>357</v>
      </c>
      <c r="J15" s="246"/>
      <c r="K15" s="420">
        <v>1425385.9099999778</v>
      </c>
      <c r="L15" s="420">
        <v>-5419.3500000000031</v>
      </c>
      <c r="M15" s="427">
        <f t="shared" si="0"/>
        <v>1419966.5599999777</v>
      </c>
    </row>
    <row r="16" spans="1:16" ht="16.5" thickTop="1" thickBot="1" x14ac:dyDescent="0.25">
      <c r="A16" s="255"/>
      <c r="B16" s="241"/>
      <c r="C16" s="256"/>
      <c r="D16" s="257"/>
      <c r="E16" s="258"/>
      <c r="I16" s="423" t="s">
        <v>358</v>
      </c>
      <c r="J16" s="246"/>
      <c r="K16" s="420">
        <v>1598683.0699999863</v>
      </c>
      <c r="L16" s="420">
        <v>-5419.3500000000022</v>
      </c>
      <c r="M16" s="427">
        <f t="shared" si="0"/>
        <v>1593263.7199999862</v>
      </c>
    </row>
    <row r="17" spans="1:16" x14ac:dyDescent="0.2">
      <c r="C17" s="86"/>
      <c r="D17" s="252"/>
      <c r="E17" s="6"/>
      <c r="I17" s="423" t="s">
        <v>359</v>
      </c>
      <c r="J17" s="246"/>
      <c r="K17" s="247">
        <v>1604698.8199999877</v>
      </c>
      <c r="L17" s="247">
        <v>-5419.3500000000022</v>
      </c>
      <c r="M17" s="428">
        <f t="shared" si="0"/>
        <v>1599279.4699999876</v>
      </c>
    </row>
    <row r="18" spans="1:16" ht="15.75" thickBot="1" x14ac:dyDescent="0.25">
      <c r="B18" s="241" t="s">
        <v>624</v>
      </c>
      <c r="C18" s="108"/>
      <c r="D18" s="252"/>
      <c r="E18" s="6"/>
      <c r="I18" s="423"/>
      <c r="J18" s="246"/>
      <c r="K18" s="246"/>
      <c r="L18" s="246"/>
      <c r="M18" s="425"/>
    </row>
    <row r="19" spans="1:16" x14ac:dyDescent="0.2">
      <c r="C19" s="108"/>
      <c r="D19" s="252"/>
      <c r="E19" s="6"/>
      <c r="I19" s="423" t="s">
        <v>231</v>
      </c>
      <c r="J19" s="246"/>
      <c r="K19" s="246">
        <f>SUM(K6:K17)</f>
        <v>18359897.809999716</v>
      </c>
      <c r="L19" s="246">
        <f>SUM(L6:L17)</f>
        <v>388894.63000000024</v>
      </c>
      <c r="M19" s="425">
        <f>SUM(M6:M17)</f>
        <v>18748792.439999714</v>
      </c>
    </row>
    <row r="20" spans="1:16" x14ac:dyDescent="0.2">
      <c r="A20" s="127">
        <f>+A15+1</f>
        <v>4</v>
      </c>
      <c r="B20" s="125" t="s">
        <v>335</v>
      </c>
      <c r="C20" s="246">
        <v>1844665.588013757</v>
      </c>
      <c r="D20" s="252"/>
      <c r="E20" s="6"/>
      <c r="G20" s="41" t="s">
        <v>870</v>
      </c>
      <c r="I20" s="423" t="s">
        <v>320</v>
      </c>
      <c r="J20" s="246"/>
      <c r="K20" s="246"/>
      <c r="L20" s="246"/>
      <c r="M20" s="429">
        <f>+'KSM-4 p16 - Payroll 1'!C21</f>
        <v>0.63098997581516403</v>
      </c>
    </row>
    <row r="21" spans="1:16" x14ac:dyDescent="0.2">
      <c r="C21" s="246"/>
      <c r="D21" s="252"/>
      <c r="E21" s="6"/>
      <c r="I21" s="423" t="s">
        <v>220</v>
      </c>
      <c r="J21" s="246"/>
      <c r="K21" s="246"/>
      <c r="L21" s="246"/>
      <c r="M21" s="512">
        <f>+M19*M20</f>
        <v>11830300.088278949</v>
      </c>
    </row>
    <row r="22" spans="1:16" x14ac:dyDescent="0.2">
      <c r="A22" s="127">
        <f>+A20+1</f>
        <v>5</v>
      </c>
      <c r="B22" s="125" t="s">
        <v>623</v>
      </c>
      <c r="C22" s="509">
        <f>+K41</f>
        <v>1964773.237269318</v>
      </c>
      <c r="D22" s="252"/>
      <c r="E22" s="6"/>
      <c r="G22" s="41" t="s">
        <v>882</v>
      </c>
      <c r="I22" s="423"/>
      <c r="J22" s="246"/>
      <c r="K22" s="246"/>
      <c r="L22" s="246"/>
      <c r="M22" s="425"/>
      <c r="O22" s="108"/>
      <c r="P22" s="108"/>
    </row>
    <row r="23" spans="1:16" x14ac:dyDescent="0.2">
      <c r="A23" s="127"/>
      <c r="C23" s="242"/>
      <c r="D23" s="252"/>
      <c r="E23" s="6"/>
      <c r="I23" s="441" t="s">
        <v>719</v>
      </c>
      <c r="J23" s="442" t="s">
        <v>714</v>
      </c>
      <c r="K23" s="128" t="s">
        <v>715</v>
      </c>
      <c r="L23" s="246"/>
      <c r="M23" s="425"/>
      <c r="O23" s="108"/>
      <c r="P23" s="108"/>
    </row>
    <row r="24" spans="1:16" ht="15.75" thickBot="1" x14ac:dyDescent="0.25">
      <c r="A24" s="127">
        <f>+A22+1</f>
        <v>6</v>
      </c>
      <c r="B24" s="108" t="s">
        <v>282</v>
      </c>
      <c r="C24" s="238">
        <f>+C22-C20</f>
        <v>120107.64925556094</v>
      </c>
      <c r="D24" s="251">
        <v>1</v>
      </c>
      <c r="E24" s="248">
        <f>+C24*D24</f>
        <v>120107.64925556094</v>
      </c>
      <c r="I24" s="423" t="s">
        <v>271</v>
      </c>
      <c r="J24" s="137">
        <v>12</v>
      </c>
      <c r="K24" s="246">
        <v>282300</v>
      </c>
      <c r="L24" s="246"/>
      <c r="M24" s="425"/>
      <c r="O24" s="108"/>
      <c r="P24" s="108"/>
    </row>
    <row r="25" spans="1:16" ht="15.75" thickTop="1" x14ac:dyDescent="0.2">
      <c r="D25" s="252"/>
      <c r="E25" s="6"/>
      <c r="I25" s="423" t="s">
        <v>716</v>
      </c>
      <c r="J25" s="137">
        <v>486.60000000000008</v>
      </c>
      <c r="K25" s="246">
        <v>8625200</v>
      </c>
      <c r="L25" s="246"/>
      <c r="M25" s="425"/>
    </row>
    <row r="26" spans="1:16" ht="15.75" thickBot="1" x14ac:dyDescent="0.25">
      <c r="A26" s="127">
        <f>+A24+1</f>
        <v>7</v>
      </c>
      <c r="B26" s="108" t="s">
        <v>384</v>
      </c>
      <c r="D26" s="109"/>
      <c r="E26" s="249">
        <f>+E15+E24</f>
        <v>159871.86316954141</v>
      </c>
      <c r="I26" s="423" t="s">
        <v>717</v>
      </c>
      <c r="J26" s="137">
        <v>15.974999999999996</v>
      </c>
      <c r="K26" s="246">
        <v>208100</v>
      </c>
      <c r="L26" s="246"/>
      <c r="M26" s="425"/>
      <c r="O26" s="108"/>
      <c r="P26" s="108"/>
    </row>
    <row r="27" spans="1:16" ht="15.75" thickTop="1" x14ac:dyDescent="0.2">
      <c r="A27" s="245"/>
      <c r="B27" s="245"/>
      <c r="C27" s="246"/>
      <c r="D27" s="109"/>
      <c r="I27" s="423" t="s">
        <v>718</v>
      </c>
      <c r="J27" s="129">
        <v>635.4375</v>
      </c>
      <c r="K27" s="253">
        <v>10219000</v>
      </c>
      <c r="L27" s="246"/>
      <c r="M27" s="425"/>
      <c r="O27" s="108"/>
      <c r="P27" s="108"/>
    </row>
    <row r="28" spans="1:16" x14ac:dyDescent="0.2">
      <c r="B28" s="108" t="s">
        <v>634</v>
      </c>
      <c r="D28" s="109"/>
      <c r="I28" s="423" t="s">
        <v>66</v>
      </c>
      <c r="J28" s="137">
        <v>1150.0125</v>
      </c>
      <c r="K28" s="246">
        <v>19334600</v>
      </c>
      <c r="L28" s="246"/>
      <c r="M28" s="425"/>
      <c r="O28" s="108"/>
      <c r="P28" s="108"/>
    </row>
    <row r="29" spans="1:16" ht="15.75" thickBot="1" x14ac:dyDescent="0.25">
      <c r="A29" s="241"/>
      <c r="B29" s="241"/>
      <c r="C29" s="241"/>
      <c r="D29" s="259"/>
      <c r="E29" s="256"/>
      <c r="I29" s="423" t="s">
        <v>320</v>
      </c>
      <c r="J29" s="246"/>
      <c r="K29" s="88">
        <f>+M20</f>
        <v>0.63098997581516403</v>
      </c>
      <c r="L29" s="246"/>
      <c r="M29" s="425"/>
      <c r="O29" s="108"/>
      <c r="P29" s="108"/>
    </row>
    <row r="30" spans="1:16" ht="15.75" thickBot="1" x14ac:dyDescent="0.25">
      <c r="C30" s="108"/>
      <c r="D30" s="109"/>
      <c r="I30" s="430" t="s">
        <v>220</v>
      </c>
      <c r="J30" s="256"/>
      <c r="K30" s="511">
        <f>+K28*K29</f>
        <v>12199938.78639587</v>
      </c>
      <c r="L30" s="256"/>
      <c r="M30" s="431"/>
      <c r="O30" s="108"/>
      <c r="P30" s="108"/>
    </row>
    <row r="31" spans="1:16" ht="15.75" thickBot="1" x14ac:dyDescent="0.25">
      <c r="B31" s="241" t="s">
        <v>281</v>
      </c>
      <c r="C31" s="108"/>
      <c r="D31" s="109"/>
      <c r="O31" s="108"/>
      <c r="P31" s="108"/>
    </row>
    <row r="32" spans="1:16" x14ac:dyDescent="0.25">
      <c r="A32" s="127"/>
      <c r="C32" s="108"/>
      <c r="D32" s="109"/>
      <c r="I32" s="432" t="s">
        <v>632</v>
      </c>
      <c r="J32" s="422"/>
      <c r="K32" s="433">
        <v>2018</v>
      </c>
      <c r="O32" s="108"/>
      <c r="P32" s="108"/>
    </row>
    <row r="33" spans="1:16" x14ac:dyDescent="0.25">
      <c r="A33" s="127">
        <f>+A26+1</f>
        <v>8</v>
      </c>
      <c r="B33" s="126" t="s">
        <v>706</v>
      </c>
      <c r="C33" s="242">
        <f>+'KSM-4 p16 - Payroll 1'!C23</f>
        <v>70125373.313680395</v>
      </c>
      <c r="D33" s="109"/>
      <c r="G33" s="516" t="s">
        <v>851</v>
      </c>
      <c r="I33" s="434"/>
      <c r="J33" s="246"/>
      <c r="K33" s="425"/>
      <c r="O33" s="108"/>
      <c r="P33" s="108"/>
    </row>
    <row r="34" spans="1:16" x14ac:dyDescent="0.25">
      <c r="A34" s="127">
        <f>+A33+1</f>
        <v>9</v>
      </c>
      <c r="B34" s="126" t="s">
        <v>707</v>
      </c>
      <c r="C34" s="243">
        <f>+'KSM-4 p16 - Payroll 1'!C25</f>
        <v>65110954.008000001</v>
      </c>
      <c r="D34" s="109"/>
      <c r="G34" s="517" t="s">
        <v>852</v>
      </c>
      <c r="I34" s="435" t="s">
        <v>625</v>
      </c>
      <c r="J34" s="246"/>
      <c r="K34" s="436">
        <v>20778764</v>
      </c>
      <c r="O34" s="108"/>
      <c r="P34" s="108"/>
    </row>
    <row r="35" spans="1:16" x14ac:dyDescent="0.25">
      <c r="D35" s="109"/>
      <c r="I35" s="435" t="s">
        <v>626</v>
      </c>
      <c r="J35" s="246"/>
      <c r="K35" s="436">
        <v>6814715</v>
      </c>
      <c r="O35" s="108"/>
      <c r="P35" s="108"/>
    </row>
    <row r="36" spans="1:16" x14ac:dyDescent="0.25">
      <c r="A36" s="127">
        <f>+A34+1</f>
        <v>10</v>
      </c>
      <c r="B36" s="125" t="s">
        <v>298</v>
      </c>
      <c r="C36" s="41">
        <f>+C33-C34</f>
        <v>5014419.3056803942</v>
      </c>
      <c r="D36" s="109"/>
      <c r="I36" s="435" t="s">
        <v>320</v>
      </c>
      <c r="J36" s="246"/>
      <c r="K36" s="437">
        <f>+'KSM-4 p16 - Payroll 1'!C21</f>
        <v>0.63098997581516403</v>
      </c>
    </row>
    <row r="37" spans="1:16" x14ac:dyDescent="0.25">
      <c r="D37" s="109"/>
      <c r="I37" s="435" t="s">
        <v>627</v>
      </c>
      <c r="J37" s="246"/>
      <c r="K37" s="436">
        <f>K35*K36</f>
        <v>4300016.8530372353</v>
      </c>
    </row>
    <row r="38" spans="1:16" x14ac:dyDescent="0.25">
      <c r="A38" s="127">
        <f>+A36+1</f>
        <v>11</v>
      </c>
      <c r="B38" s="125" t="s">
        <v>299</v>
      </c>
      <c r="C38" s="88">
        <v>7.6499999999999999E-2</v>
      </c>
      <c r="D38" s="109"/>
      <c r="G38" s="41" t="s">
        <v>848</v>
      </c>
      <c r="I38" s="435" t="s">
        <v>628</v>
      </c>
      <c r="J38" s="246"/>
      <c r="K38" s="436">
        <f>K34-K35</f>
        <v>13964049</v>
      </c>
    </row>
    <row r="39" spans="1:16" x14ac:dyDescent="0.25">
      <c r="C39" s="242"/>
      <c r="D39" s="109"/>
      <c r="I39" s="435" t="s">
        <v>629</v>
      </c>
      <c r="J39" s="246"/>
      <c r="K39" s="438">
        <f>K37+K38</f>
        <v>18264065.853037234</v>
      </c>
    </row>
    <row r="40" spans="1:16" ht="15.75" thickBot="1" x14ac:dyDescent="0.3">
      <c r="A40" s="127">
        <f>+A38+1</f>
        <v>12</v>
      </c>
      <c r="B40" s="125" t="s">
        <v>300</v>
      </c>
      <c r="C40" s="238">
        <f>+C36*C38</f>
        <v>383603.07688455016</v>
      </c>
      <c r="D40" s="251">
        <f>D15</f>
        <v>0.10757589537176274</v>
      </c>
      <c r="E40" s="250">
        <f>+C40*D40</f>
        <v>41266.444463218628</v>
      </c>
      <c r="I40" s="435" t="s">
        <v>631</v>
      </c>
      <c r="J40" s="246"/>
      <c r="K40" s="439">
        <f>+'KSM-3 p4 - Factors'!D16</f>
        <v>0.10757589537176274</v>
      </c>
    </row>
    <row r="41" spans="1:16" ht="16.5" thickTop="1" thickBot="1" x14ac:dyDescent="0.3">
      <c r="D41" s="109"/>
      <c r="I41" s="440" t="s">
        <v>630</v>
      </c>
      <c r="J41" s="256"/>
      <c r="K41" s="508">
        <f>K39*K40</f>
        <v>1964773.237269318</v>
      </c>
    </row>
    <row r="43" spans="1:16" x14ac:dyDescent="0.2">
      <c r="A43" s="125" t="s">
        <v>303</v>
      </c>
    </row>
    <row r="44" spans="1:16" x14ac:dyDescent="0.2">
      <c r="A44" s="41"/>
      <c r="B44" s="41"/>
    </row>
  </sheetData>
  <mergeCells count="1">
    <mergeCell ref="K3:M3"/>
  </mergeCells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0.59999389629810485"/>
    <pageSetUpPr fitToPage="1"/>
  </sheetPr>
  <dimension ref="A1:E15"/>
  <sheetViews>
    <sheetView workbookViewId="0">
      <selection activeCell="C12" sqref="C12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4" width="9.140625" style="2"/>
    <col min="5" max="5" width="37.140625" style="2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812</v>
      </c>
      <c r="D1" s="41"/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329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62" t="s">
        <v>33</v>
      </c>
      <c r="B7" s="54"/>
      <c r="C7" s="62" t="s">
        <v>527</v>
      </c>
      <c r="E7" s="501" t="s">
        <v>837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ht="15.75" x14ac:dyDescent="0.2">
      <c r="A10" s="60">
        <v>1</v>
      </c>
      <c r="B10" s="54" t="s">
        <v>586</v>
      </c>
      <c r="C10" s="137">
        <f>+'WP - Other Rev &amp; Tax'!E40</f>
        <v>9325935.1064954381</v>
      </c>
      <c r="E10" s="502" t="s">
        <v>842</v>
      </c>
    </row>
    <row r="11" spans="1:5" x14ac:dyDescent="0.2">
      <c r="C11" s="133"/>
    </row>
    <row r="12" spans="1:5" x14ac:dyDescent="0.2">
      <c r="A12" s="60">
        <v>2</v>
      </c>
      <c r="B12" s="54" t="s">
        <v>764</v>
      </c>
      <c r="C12" s="129">
        <v>9138825.3474179823</v>
      </c>
      <c r="E12" s="41" t="s">
        <v>876</v>
      </c>
    </row>
    <row r="13" spans="1:5" x14ac:dyDescent="0.2">
      <c r="A13" s="60"/>
      <c r="B13" s="54"/>
      <c r="C13" s="137"/>
    </row>
    <row r="14" spans="1:5" ht="15.75" thickBot="1" x14ac:dyDescent="0.25">
      <c r="A14" s="60">
        <v>3</v>
      </c>
      <c r="B14" s="54" t="s">
        <v>587</v>
      </c>
      <c r="C14" s="480">
        <f>+C12-C10</f>
        <v>-187109.75907745585</v>
      </c>
    </row>
    <row r="15" spans="1:5" ht="15.75" thickTop="1" x14ac:dyDescent="0.2">
      <c r="A15" s="5"/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0.59999389629810485"/>
    <pageSetUpPr fitToPage="1"/>
  </sheetPr>
  <dimension ref="A1:E11"/>
  <sheetViews>
    <sheetView workbookViewId="0">
      <selection activeCell="E11" sqref="E11"/>
    </sheetView>
  </sheetViews>
  <sheetFormatPr defaultColWidth="9.140625" defaultRowHeight="15" x14ac:dyDescent="0.2"/>
  <cols>
    <col min="1" max="1" width="5.7109375" style="194" customWidth="1"/>
    <col min="2" max="2" width="50.7109375" style="194" customWidth="1"/>
    <col min="3" max="3" width="15.7109375" style="194" customWidth="1"/>
    <col min="4" max="4" width="9.140625" style="194"/>
    <col min="5" max="5" width="37.140625" style="194" customWidth="1"/>
    <col min="6" max="16384" width="9.140625" style="194"/>
  </cols>
  <sheetData>
    <row r="1" spans="1:5" x14ac:dyDescent="0.2">
      <c r="A1" s="148" t="str">
        <f>'KSM-4 p10 - Uncollectible'!A1</f>
        <v>NW Natural</v>
      </c>
      <c r="B1" s="148"/>
      <c r="C1" s="495" t="s">
        <v>814</v>
      </c>
    </row>
    <row r="2" spans="1:5" x14ac:dyDescent="0.2">
      <c r="A2" s="148" t="str">
        <f>'KSM-4 p10 - Uncollectible'!A2</f>
        <v>Test Year Based on Twelve Months Ended September 30, 2018</v>
      </c>
      <c r="B2" s="148"/>
      <c r="C2" s="148"/>
    </row>
    <row r="3" spans="1:5" x14ac:dyDescent="0.2">
      <c r="A3" s="279" t="s">
        <v>655</v>
      </c>
      <c r="B3" s="148"/>
      <c r="C3" s="148"/>
    </row>
    <row r="4" spans="1:5" x14ac:dyDescent="0.2">
      <c r="A4" s="148"/>
      <c r="B4" s="148"/>
      <c r="C4" s="148"/>
    </row>
    <row r="5" spans="1:5" x14ac:dyDescent="0.2">
      <c r="A5" s="154" t="s">
        <v>17</v>
      </c>
      <c r="B5" s="148"/>
      <c r="C5" s="148"/>
    </row>
    <row r="6" spans="1:5" x14ac:dyDescent="0.2">
      <c r="A6" s="277" t="s">
        <v>33</v>
      </c>
      <c r="B6" s="148"/>
      <c r="C6" s="277" t="s">
        <v>53</v>
      </c>
      <c r="E6" s="277" t="s">
        <v>837</v>
      </c>
    </row>
    <row r="7" spans="1:5" x14ac:dyDescent="0.2">
      <c r="A7" s="154"/>
      <c r="B7" s="148"/>
      <c r="C7" s="154" t="s">
        <v>58</v>
      </c>
    </row>
    <row r="8" spans="1:5" x14ac:dyDescent="0.2">
      <c r="A8" s="154"/>
      <c r="B8" s="148"/>
      <c r="C8" s="186"/>
    </row>
    <row r="9" spans="1:5" x14ac:dyDescent="0.2">
      <c r="A9" s="154">
        <v>1</v>
      </c>
      <c r="B9" s="148" t="s">
        <v>656</v>
      </c>
      <c r="C9" s="194">
        <v>10189607.997541402</v>
      </c>
      <c r="E9" s="41" t="s">
        <v>871</v>
      </c>
    </row>
    <row r="10" spans="1:5" x14ac:dyDescent="0.2">
      <c r="A10" s="154"/>
      <c r="B10" s="148"/>
      <c r="C10" s="379"/>
      <c r="E10" s="41"/>
    </row>
    <row r="11" spans="1:5" x14ac:dyDescent="0.2">
      <c r="A11" s="154">
        <f>+A9+1</f>
        <v>2</v>
      </c>
      <c r="B11" s="148" t="s">
        <v>657</v>
      </c>
      <c r="C11" s="194">
        <v>298683.79668370174</v>
      </c>
      <c r="E11" s="41" t="s">
        <v>872</v>
      </c>
    </row>
  </sheetData>
  <printOptions horizontalCentered="1"/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0.59999389629810485"/>
    <pageSetUpPr fitToPage="1"/>
  </sheetPr>
  <dimension ref="A1:E17"/>
  <sheetViews>
    <sheetView workbookViewId="0">
      <selection activeCell="A14" sqref="A14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4" width="9.140625" style="2"/>
    <col min="5" max="5" width="17.85546875" style="2" bestFit="1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350</v>
      </c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734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448" t="s">
        <v>33</v>
      </c>
      <c r="B7" s="54"/>
      <c r="C7" s="448" t="s">
        <v>527</v>
      </c>
      <c r="E7" s="498" t="s">
        <v>837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x14ac:dyDescent="0.2">
      <c r="A10" s="60">
        <v>1</v>
      </c>
      <c r="B10" s="54" t="s">
        <v>735</v>
      </c>
      <c r="C10" s="137">
        <v>400000</v>
      </c>
      <c r="E10" s="2" t="s">
        <v>841</v>
      </c>
    </row>
    <row r="11" spans="1:5" x14ac:dyDescent="0.2">
      <c r="C11" s="133"/>
    </row>
    <row r="12" spans="1:5" x14ac:dyDescent="0.25">
      <c r="A12" s="60">
        <v>2</v>
      </c>
      <c r="B12" s="54" t="s">
        <v>736</v>
      </c>
      <c r="C12" s="323">
        <v>-33756</v>
      </c>
      <c r="E12" s="2" t="s">
        <v>841</v>
      </c>
    </row>
    <row r="13" spans="1:5" x14ac:dyDescent="0.2">
      <c r="A13" s="60"/>
      <c r="B13" s="54"/>
      <c r="C13" s="137"/>
    </row>
    <row r="14" spans="1:5" ht="15.75" thickBot="1" x14ac:dyDescent="0.25">
      <c r="A14" s="60">
        <v>3</v>
      </c>
      <c r="B14" s="54" t="s">
        <v>763</v>
      </c>
      <c r="C14" s="130">
        <f>+C10+C12</f>
        <v>366244</v>
      </c>
    </row>
    <row r="15" spans="1:5" ht="15.75" thickTop="1" x14ac:dyDescent="0.2"/>
    <row r="16" spans="1:5" ht="15.75" thickBot="1" x14ac:dyDescent="0.25">
      <c r="A16" s="60">
        <v>4</v>
      </c>
      <c r="B16" s="54" t="s">
        <v>739</v>
      </c>
      <c r="C16" s="130">
        <f>+C14*1.5</f>
        <v>549366</v>
      </c>
    </row>
    <row r="17" ht="15.75" thickTop="1" x14ac:dyDescent="0.2"/>
  </sheetData>
  <printOptions horizontalCentered="1"/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0.59999389629810485"/>
    <pageSetUpPr fitToPage="1"/>
  </sheetPr>
  <dimension ref="A1:W47"/>
  <sheetViews>
    <sheetView workbookViewId="0">
      <selection activeCell="J6" sqref="J6"/>
    </sheetView>
  </sheetViews>
  <sheetFormatPr defaultColWidth="9.140625" defaultRowHeight="15" x14ac:dyDescent="0.2"/>
  <cols>
    <col min="1" max="1" width="5.5703125" style="2" customWidth="1"/>
    <col min="2" max="2" width="55.7109375" style="2" customWidth="1"/>
    <col min="3" max="3" width="15.5703125" style="2" customWidth="1"/>
    <col min="4" max="5" width="9.140625" style="2"/>
    <col min="6" max="6" width="10.7109375" style="23" customWidth="1"/>
    <col min="7" max="7" width="26.28515625" style="2" customWidth="1"/>
    <col min="8" max="8" width="14.5703125" style="2" customWidth="1"/>
    <col min="9" max="9" width="9.140625" style="2"/>
    <col min="10" max="10" width="36.42578125" style="2" customWidth="1"/>
    <col min="11" max="16" width="9.140625" style="2"/>
    <col min="17" max="22" width="12.42578125" style="2" customWidth="1"/>
    <col min="23" max="23" width="14.140625" style="2" customWidth="1"/>
    <col min="24" max="16384" width="9.140625" style="2"/>
  </cols>
  <sheetData>
    <row r="1" spans="1:23" ht="14.45" customHeight="1" x14ac:dyDescent="0.25">
      <c r="A1" s="108" t="str">
        <f>'KSM-4 p10 - Uncollectible'!A1</f>
        <v>NW Natural</v>
      </c>
      <c r="B1" s="108"/>
      <c r="C1" s="266" t="s">
        <v>816</v>
      </c>
      <c r="F1" s="2"/>
      <c r="H1" s="327" t="s">
        <v>10</v>
      </c>
      <c r="J1" s="327" t="s">
        <v>837</v>
      </c>
    </row>
    <row r="2" spans="1:23" ht="14.45" customHeight="1" x14ac:dyDescent="0.25">
      <c r="A2" s="108" t="str">
        <f>'KSM-4 p10 - Uncollectible'!A2</f>
        <v>Test Year Based on Twelve Months Ended September 30, 2018</v>
      </c>
      <c r="B2" s="108"/>
      <c r="C2" s="108"/>
      <c r="F2" s="491"/>
      <c r="G2" s="325"/>
      <c r="H2" s="487"/>
    </row>
    <row r="3" spans="1:23" ht="14.45" customHeight="1" x14ac:dyDescent="0.25">
      <c r="A3" s="126" t="s">
        <v>789</v>
      </c>
      <c r="B3" s="108"/>
      <c r="C3" s="108"/>
      <c r="F3" s="23" t="s">
        <v>766</v>
      </c>
      <c r="G3" s="2" t="s">
        <v>767</v>
      </c>
      <c r="H3" s="322">
        <v>13.026019999999997</v>
      </c>
      <c r="J3" s="41" t="s">
        <v>880</v>
      </c>
    </row>
    <row r="4" spans="1:23" ht="14.45" customHeight="1" x14ac:dyDescent="0.25">
      <c r="A4" s="108"/>
      <c r="B4" s="108"/>
      <c r="C4" s="108"/>
      <c r="F4" s="23" t="s">
        <v>766</v>
      </c>
      <c r="G4" s="2" t="s">
        <v>767</v>
      </c>
      <c r="H4" s="322">
        <v>302.66999999999996</v>
      </c>
      <c r="J4" s="2" t="s">
        <v>881</v>
      </c>
    </row>
    <row r="5" spans="1:23" ht="14.45" customHeight="1" x14ac:dyDescent="0.25">
      <c r="A5" s="108"/>
      <c r="B5" s="108"/>
      <c r="C5" s="108"/>
      <c r="F5" s="23" t="s">
        <v>766</v>
      </c>
      <c r="G5" s="2" t="s">
        <v>767</v>
      </c>
      <c r="H5" s="322">
        <v>72805.951324999987</v>
      </c>
    </row>
    <row r="6" spans="1:23" ht="14.45" customHeight="1" x14ac:dyDescent="0.25">
      <c r="A6" s="127" t="s">
        <v>17</v>
      </c>
      <c r="B6" s="108"/>
      <c r="C6" s="108"/>
      <c r="F6" s="23" t="s">
        <v>768</v>
      </c>
      <c r="G6" s="2" t="s">
        <v>769</v>
      </c>
      <c r="H6" s="322">
        <v>113860.60336499999</v>
      </c>
    </row>
    <row r="7" spans="1:23" ht="14.45" customHeight="1" x14ac:dyDescent="0.25">
      <c r="A7" s="128" t="s">
        <v>33</v>
      </c>
      <c r="B7" s="108"/>
      <c r="C7" s="128" t="s">
        <v>56</v>
      </c>
      <c r="F7" s="23" t="s">
        <v>770</v>
      </c>
      <c r="G7" s="2" t="s">
        <v>771</v>
      </c>
      <c r="H7" s="322">
        <v>0</v>
      </c>
    </row>
    <row r="8" spans="1:23" ht="14.45" customHeight="1" x14ac:dyDescent="0.25">
      <c r="A8" s="127"/>
      <c r="B8" s="108"/>
      <c r="C8" s="127" t="s">
        <v>58</v>
      </c>
      <c r="F8" s="23" t="s">
        <v>770</v>
      </c>
      <c r="G8" s="2" t="s">
        <v>771</v>
      </c>
      <c r="H8" s="322">
        <v>-433.09834999999993</v>
      </c>
    </row>
    <row r="9" spans="1:23" ht="14.45" customHeight="1" x14ac:dyDescent="0.25">
      <c r="A9" s="127"/>
      <c r="B9" s="108"/>
      <c r="C9" s="41"/>
      <c r="F9" s="23" t="s">
        <v>770</v>
      </c>
      <c r="G9" s="2" t="s">
        <v>771</v>
      </c>
      <c r="H9" s="322">
        <v>42.261700000000197</v>
      </c>
    </row>
    <row r="10" spans="1:23" ht="14.45" customHeight="1" x14ac:dyDescent="0.25">
      <c r="A10" s="127"/>
      <c r="B10" s="108"/>
      <c r="C10" s="41"/>
      <c r="F10" s="23" t="s">
        <v>770</v>
      </c>
      <c r="G10" s="2" t="s">
        <v>771</v>
      </c>
      <c r="H10" s="322">
        <v>19762.718824</v>
      </c>
    </row>
    <row r="11" spans="1:23" ht="14.45" customHeight="1" x14ac:dyDescent="0.25">
      <c r="A11" s="127">
        <v>1</v>
      </c>
      <c r="B11" s="108" t="s">
        <v>850</v>
      </c>
      <c r="C11" s="30">
        <f>+H20</f>
        <v>425738.49063899997</v>
      </c>
      <c r="F11" s="23" t="s">
        <v>772</v>
      </c>
      <c r="G11" s="2" t="s">
        <v>773</v>
      </c>
      <c r="H11" s="322">
        <v>1275.9289259999998</v>
      </c>
    </row>
    <row r="12" spans="1:23" ht="14.45" customHeight="1" thickBot="1" x14ac:dyDescent="0.3">
      <c r="A12" s="127">
        <f>+A11+1</f>
        <v>2</v>
      </c>
      <c r="B12" s="108" t="s">
        <v>844</v>
      </c>
      <c r="C12" s="480">
        <f>-C11*0.034</f>
        <v>-14475.108681726</v>
      </c>
      <c r="F12" s="23" t="s">
        <v>772</v>
      </c>
      <c r="G12" s="2" t="s">
        <v>773</v>
      </c>
      <c r="H12" s="322">
        <v>2466.1999999999994</v>
      </c>
    </row>
    <row r="13" spans="1:23" ht="14.45" customHeight="1" thickTop="1" x14ac:dyDescent="0.25">
      <c r="C13" s="29"/>
      <c r="F13" s="23" t="s">
        <v>772</v>
      </c>
      <c r="G13" s="2" t="s">
        <v>773</v>
      </c>
      <c r="H13" s="322">
        <v>16593.846877999997</v>
      </c>
      <c r="Q13" s="21"/>
      <c r="R13" s="21"/>
      <c r="S13" s="21"/>
      <c r="T13" s="321"/>
      <c r="U13" s="321"/>
      <c r="V13" s="21"/>
      <c r="W13" s="21"/>
    </row>
    <row r="14" spans="1:23" ht="14.45" customHeight="1" x14ac:dyDescent="0.25">
      <c r="A14" s="127">
        <f>+A12+1</f>
        <v>3</v>
      </c>
      <c r="B14" s="108" t="s">
        <v>850</v>
      </c>
      <c r="C14" s="29">
        <f>+H25</f>
        <v>229914.59456499998</v>
      </c>
      <c r="F14" s="23" t="s">
        <v>772</v>
      </c>
      <c r="G14" s="2" t="s">
        <v>773</v>
      </c>
      <c r="H14" s="322">
        <v>23299.849358999996</v>
      </c>
      <c r="Q14" s="21"/>
      <c r="R14" s="21"/>
      <c r="S14" s="21"/>
      <c r="T14" s="321"/>
      <c r="U14" s="321"/>
      <c r="V14" s="21"/>
      <c r="W14" s="21"/>
    </row>
    <row r="15" spans="1:23" ht="14.45" customHeight="1" thickBot="1" x14ac:dyDescent="0.3">
      <c r="A15" s="127">
        <f>+A14+1</f>
        <v>4</v>
      </c>
      <c r="B15" s="108" t="s">
        <v>845</v>
      </c>
      <c r="C15" s="480">
        <f>-C14*0.1</f>
        <v>-22991.459456500001</v>
      </c>
      <c r="F15" s="23" t="s">
        <v>774</v>
      </c>
      <c r="G15" s="2" t="s">
        <v>775</v>
      </c>
      <c r="H15" s="322">
        <v>18379.972049999997</v>
      </c>
    </row>
    <row r="16" spans="1:23" ht="14.45" customHeight="1" thickTop="1" x14ac:dyDescent="0.25">
      <c r="C16" s="29"/>
      <c r="F16" s="23" t="s">
        <v>776</v>
      </c>
      <c r="G16" s="2" t="s">
        <v>777</v>
      </c>
      <c r="H16" s="322">
        <v>45293.292043999987</v>
      </c>
    </row>
    <row r="17" spans="1:8" ht="14.45" customHeight="1" thickBot="1" x14ac:dyDescent="0.3">
      <c r="A17" s="127">
        <f>+A15+1</f>
        <v>5</v>
      </c>
      <c r="B17" s="54" t="s">
        <v>784</v>
      </c>
      <c r="C17" s="480">
        <f>+C15+C12</f>
        <v>-37466.568138226001</v>
      </c>
      <c r="F17" s="23" t="s">
        <v>778</v>
      </c>
      <c r="G17" s="2" t="s">
        <v>779</v>
      </c>
      <c r="H17" s="322">
        <v>105975.66199899999</v>
      </c>
    </row>
    <row r="18" spans="1:8" ht="14.45" customHeight="1" thickTop="1" x14ac:dyDescent="0.25">
      <c r="F18" s="23" t="s">
        <v>780</v>
      </c>
      <c r="G18" s="2" t="s">
        <v>781</v>
      </c>
      <c r="H18" s="323">
        <v>6099.6064989999986</v>
      </c>
    </row>
    <row r="19" spans="1:8" ht="14.45" customHeight="1" x14ac:dyDescent="0.25">
      <c r="F19" s="491"/>
      <c r="G19" s="325"/>
      <c r="H19" s="322"/>
    </row>
    <row r="20" spans="1:8" ht="14.45" customHeight="1" thickBot="1" x14ac:dyDescent="0.3">
      <c r="A20" s="325"/>
      <c r="F20" s="491"/>
      <c r="G20" s="325" t="s">
        <v>805</v>
      </c>
      <c r="H20" s="507">
        <f>SUM(H3:H19)</f>
        <v>425738.49063899997</v>
      </c>
    </row>
    <row r="21" spans="1:8" ht="14.45" customHeight="1" thickTop="1" x14ac:dyDescent="0.25">
      <c r="A21" s="2" t="s">
        <v>287</v>
      </c>
      <c r="B21" s="325" t="s">
        <v>843</v>
      </c>
      <c r="C21" s="41"/>
    </row>
    <row r="22" spans="1:8" ht="14.45" customHeight="1" x14ac:dyDescent="0.2"/>
    <row r="23" spans="1:8" ht="14.45" customHeight="1" x14ac:dyDescent="0.2">
      <c r="F23" s="23" t="s">
        <v>770</v>
      </c>
      <c r="G23" s="2" t="s">
        <v>771</v>
      </c>
      <c r="H23" s="75">
        <v>229914.59456499998</v>
      </c>
    </row>
    <row r="24" spans="1:8" ht="14.45" customHeight="1" x14ac:dyDescent="0.2"/>
    <row r="25" spans="1:8" ht="14.45" customHeight="1" thickBot="1" x14ac:dyDescent="0.3">
      <c r="G25" s="325" t="s">
        <v>806</v>
      </c>
      <c r="H25" s="506">
        <f>+H23</f>
        <v>229914.59456499998</v>
      </c>
    </row>
    <row r="26" spans="1:8" ht="14.45" customHeight="1" thickTop="1" x14ac:dyDescent="0.2"/>
    <row r="27" spans="1:8" ht="14.45" customHeight="1" x14ac:dyDescent="0.2"/>
    <row r="28" spans="1:8" ht="14.45" customHeight="1" x14ac:dyDescent="0.2"/>
    <row r="29" spans="1:8" ht="14.45" customHeight="1" x14ac:dyDescent="0.2"/>
    <row r="30" spans="1:8" ht="14.45" customHeight="1" x14ac:dyDescent="0.2"/>
    <row r="31" spans="1:8" ht="14.45" customHeight="1" x14ac:dyDescent="0.2"/>
    <row r="32" spans="1:8" ht="14.45" customHeight="1" x14ac:dyDescent="0.2"/>
    <row r="33" spans="1:4" ht="14.45" customHeight="1" x14ac:dyDescent="0.2"/>
    <row r="34" spans="1:4" ht="14.45" customHeight="1" x14ac:dyDescent="0.2"/>
    <row r="35" spans="1:4" ht="14.45" customHeight="1" x14ac:dyDescent="0.2"/>
    <row r="36" spans="1:4" ht="14.45" customHeight="1" x14ac:dyDescent="0.2"/>
    <row r="37" spans="1:4" ht="14.45" customHeight="1" x14ac:dyDescent="0.2"/>
    <row r="38" spans="1:4" ht="14.45" customHeight="1" x14ac:dyDescent="0.2"/>
    <row r="39" spans="1:4" ht="14.45" customHeight="1" x14ac:dyDescent="0.2"/>
    <row r="40" spans="1:4" ht="14.45" customHeight="1" x14ac:dyDescent="0.2"/>
    <row r="41" spans="1:4" ht="14.45" customHeight="1" x14ac:dyDescent="0.25">
      <c r="D41" s="321"/>
    </row>
    <row r="42" spans="1:4" ht="14.45" customHeight="1" x14ac:dyDescent="0.25">
      <c r="A42" s="325"/>
      <c r="B42" s="325"/>
      <c r="C42" s="322"/>
      <c r="D42" s="321"/>
    </row>
    <row r="43" spans="1:4" ht="14.45" customHeight="1" x14ac:dyDescent="0.2">
      <c r="A43" s="41"/>
      <c r="B43" s="41"/>
      <c r="C43" s="41"/>
    </row>
    <row r="44" spans="1:4" ht="14.45" customHeight="1" x14ac:dyDescent="0.2"/>
    <row r="45" spans="1:4" ht="14.45" customHeight="1" x14ac:dyDescent="0.2"/>
    <row r="46" spans="1:4" ht="14.45" customHeight="1" x14ac:dyDescent="0.2"/>
    <row r="47" spans="1:4" ht="14.45" customHeight="1" x14ac:dyDescent="0.2"/>
  </sheetData>
  <printOptions horizontalCentered="1"/>
  <pageMargins left="0.7" right="0.7" top="0.75" bottom="0.75" header="0.3" footer="0.3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0.59999389629810485"/>
    <pageSetUpPr fitToPage="1"/>
  </sheetPr>
  <dimension ref="A1:E31"/>
  <sheetViews>
    <sheetView workbookViewId="0">
      <selection activeCell="A15" sqref="A15"/>
    </sheetView>
  </sheetViews>
  <sheetFormatPr defaultColWidth="8.7109375" defaultRowHeight="12.75" x14ac:dyDescent="0.2"/>
  <cols>
    <col min="1" max="1" width="5.5703125" style="481" customWidth="1"/>
    <col min="2" max="2" width="50.5703125" style="481" customWidth="1"/>
    <col min="3" max="3" width="15.5703125" style="481" customWidth="1"/>
    <col min="4" max="4" width="8.7109375" style="481"/>
    <col min="5" max="5" width="17.42578125" style="481" customWidth="1"/>
    <col min="6" max="16384" width="8.7109375" style="481"/>
  </cols>
  <sheetData>
    <row r="1" spans="1:5" ht="14.45" customHeight="1" x14ac:dyDescent="0.2">
      <c r="A1" s="108" t="str">
        <f>'KSM-4 p10 - Uncollectible'!A1</f>
        <v>NW Natural</v>
      </c>
      <c r="B1" s="108"/>
      <c r="C1" s="266" t="s">
        <v>815</v>
      </c>
    </row>
    <row r="2" spans="1:5" ht="14.45" customHeight="1" x14ac:dyDescent="0.2">
      <c r="A2" s="108" t="str">
        <f>'KSM-4 p10 - Uncollectible'!A2</f>
        <v>Test Year Based on Twelve Months Ended September 30, 2018</v>
      </c>
      <c r="B2" s="108"/>
      <c r="C2" s="108"/>
    </row>
    <row r="3" spans="1:5" ht="14.45" customHeight="1" x14ac:dyDescent="0.2">
      <c r="A3" s="126" t="s">
        <v>790</v>
      </c>
      <c r="B3" s="108"/>
      <c r="C3" s="108"/>
    </row>
    <row r="4" spans="1:5" ht="14.45" customHeight="1" x14ac:dyDescent="0.2">
      <c r="A4" s="108"/>
      <c r="B4" s="108"/>
      <c r="C4" s="108"/>
    </row>
    <row r="5" spans="1:5" ht="14.45" customHeight="1" x14ac:dyDescent="0.2">
      <c r="A5" s="108"/>
      <c r="B5" s="108"/>
      <c r="C5" s="108"/>
    </row>
    <row r="6" spans="1:5" ht="14.45" customHeight="1" x14ac:dyDescent="0.2">
      <c r="A6" s="127" t="s">
        <v>17</v>
      </c>
      <c r="B6" s="108"/>
      <c r="C6" s="108"/>
    </row>
    <row r="7" spans="1:5" ht="14.45" customHeight="1" x14ac:dyDescent="0.2">
      <c r="A7" s="128" t="s">
        <v>33</v>
      </c>
      <c r="B7" s="108"/>
      <c r="C7" s="128" t="s">
        <v>56</v>
      </c>
      <c r="E7" s="518" t="s">
        <v>837</v>
      </c>
    </row>
    <row r="8" spans="1:5" ht="14.45" customHeight="1" x14ac:dyDescent="0.2">
      <c r="A8" s="127"/>
      <c r="B8" s="108"/>
      <c r="C8" s="127" t="s">
        <v>58</v>
      </c>
      <c r="E8" s="482"/>
    </row>
    <row r="9" spans="1:5" ht="14.45" customHeight="1" x14ac:dyDescent="0.2">
      <c r="A9" s="127"/>
      <c r="B9" s="108"/>
      <c r="C9" s="41"/>
      <c r="E9" s="482"/>
    </row>
    <row r="10" spans="1:5" ht="14.45" customHeight="1" x14ac:dyDescent="0.2">
      <c r="A10" s="127"/>
      <c r="B10" s="108"/>
      <c r="C10" s="41"/>
      <c r="E10" s="482"/>
    </row>
    <row r="11" spans="1:5" ht="14.45" customHeight="1" x14ac:dyDescent="0.2">
      <c r="A11" s="127">
        <v>1</v>
      </c>
      <c r="B11" s="108" t="s">
        <v>782</v>
      </c>
      <c r="C11" s="483">
        <v>229914.59456499998</v>
      </c>
      <c r="E11" s="482" t="s">
        <v>858</v>
      </c>
    </row>
    <row r="12" spans="1:5" ht="14.45" customHeight="1" x14ac:dyDescent="0.2">
      <c r="E12" s="482"/>
    </row>
    <row r="13" spans="1:5" ht="14.45" customHeight="1" x14ac:dyDescent="0.2">
      <c r="A13" s="127">
        <f>+A11+1</f>
        <v>2</v>
      </c>
      <c r="B13" s="484" t="s">
        <v>783</v>
      </c>
      <c r="C13" s="483">
        <f>+C11/12</f>
        <v>19159.54954708333</v>
      </c>
      <c r="E13" s="482"/>
    </row>
    <row r="14" spans="1:5" ht="14.45" customHeight="1" x14ac:dyDescent="0.2">
      <c r="A14" s="41"/>
      <c r="B14" s="484"/>
      <c r="E14" s="482"/>
    </row>
    <row r="15" spans="1:5" ht="14.45" customHeight="1" thickBot="1" x14ac:dyDescent="0.25">
      <c r="A15" s="127">
        <v>3</v>
      </c>
      <c r="B15" s="484" t="s">
        <v>785</v>
      </c>
      <c r="C15" s="497">
        <f>+C13</f>
        <v>19159.54954708333</v>
      </c>
      <c r="E15" s="482"/>
    </row>
    <row r="16" spans="1:5" ht="14.45" customHeight="1" thickTop="1" x14ac:dyDescent="0.2">
      <c r="E16" s="482"/>
    </row>
    <row r="17" spans="5:5" ht="14.45" customHeight="1" x14ac:dyDescent="0.2">
      <c r="E17" s="482"/>
    </row>
    <row r="18" spans="5:5" ht="14.45" customHeight="1" x14ac:dyDescent="0.2">
      <c r="E18" s="482"/>
    </row>
    <row r="19" spans="5:5" ht="14.45" customHeight="1" x14ac:dyDescent="0.2">
      <c r="E19" s="482"/>
    </row>
    <row r="20" spans="5:5" ht="14.45" customHeight="1" x14ac:dyDescent="0.2">
      <c r="E20" s="482"/>
    </row>
    <row r="21" spans="5:5" ht="14.45" customHeight="1" x14ac:dyDescent="0.2">
      <c r="E21" s="482"/>
    </row>
    <row r="22" spans="5:5" ht="14.45" customHeight="1" x14ac:dyDescent="0.2">
      <c r="E22" s="482"/>
    </row>
    <row r="23" spans="5:5" ht="14.45" customHeight="1" x14ac:dyDescent="0.2">
      <c r="E23" s="482"/>
    </row>
    <row r="24" spans="5:5" ht="14.45" customHeight="1" x14ac:dyDescent="0.2">
      <c r="E24" s="482"/>
    </row>
    <row r="25" spans="5:5" x14ac:dyDescent="0.2">
      <c r="E25" s="482"/>
    </row>
    <row r="26" spans="5:5" x14ac:dyDescent="0.2">
      <c r="E26" s="482"/>
    </row>
    <row r="27" spans="5:5" x14ac:dyDescent="0.2">
      <c r="E27" s="482"/>
    </row>
    <row r="28" spans="5:5" x14ac:dyDescent="0.2">
      <c r="E28" s="482"/>
    </row>
    <row r="29" spans="5:5" x14ac:dyDescent="0.2">
      <c r="E29" s="482"/>
    </row>
    <row r="30" spans="5:5" x14ac:dyDescent="0.2">
      <c r="E30" s="482"/>
    </row>
    <row r="31" spans="5:5" x14ac:dyDescent="0.2">
      <c r="E31" s="482"/>
    </row>
  </sheetData>
  <printOptions horizontalCentered="1"/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I34"/>
  <sheetViews>
    <sheetView workbookViewId="0">
      <selection activeCell="D21" sqref="D21"/>
    </sheetView>
  </sheetViews>
  <sheetFormatPr defaultColWidth="9.140625" defaultRowHeight="15" x14ac:dyDescent="0.2"/>
  <cols>
    <col min="1" max="1" width="23.28515625" style="2" customWidth="1"/>
    <col min="2" max="2" width="9.140625" style="2"/>
    <col min="3" max="5" width="15.7109375" style="2" customWidth="1"/>
    <col min="6" max="6" width="7.140625" style="2" customWidth="1"/>
    <col min="7" max="9" width="15.7109375" style="2" customWidth="1"/>
    <col min="10" max="16384" width="9.140625" style="2"/>
  </cols>
  <sheetData>
    <row r="2" spans="1:9" x14ac:dyDescent="0.2">
      <c r="A2" s="148" t="s">
        <v>758</v>
      </c>
      <c r="B2" s="278"/>
      <c r="C2" s="186"/>
      <c r="D2" s="186"/>
      <c r="E2" s="186"/>
      <c r="F2" s="186"/>
      <c r="G2" s="186"/>
      <c r="H2" s="186"/>
      <c r="I2" s="186"/>
    </row>
    <row r="3" spans="1:9" x14ac:dyDescent="0.2">
      <c r="A3" s="148"/>
      <c r="B3" s="40"/>
      <c r="C3" s="277" t="s">
        <v>228</v>
      </c>
      <c r="D3" s="277" t="s">
        <v>214</v>
      </c>
      <c r="E3" s="277" t="s">
        <v>66</v>
      </c>
      <c r="F3" s="186"/>
      <c r="G3" s="186"/>
      <c r="H3" s="186"/>
      <c r="I3" s="186"/>
    </row>
    <row r="4" spans="1:9" x14ac:dyDescent="0.2">
      <c r="A4" s="469" t="s">
        <v>658</v>
      </c>
      <c r="B4" s="40"/>
      <c r="C4" s="452">
        <v>171510.1807300956</v>
      </c>
      <c r="D4" s="452">
        <f>+D21</f>
        <v>-39734922.948159337</v>
      </c>
      <c r="E4" s="452">
        <f>+C4+D4</f>
        <v>-39563412.76742924</v>
      </c>
      <c r="F4" s="186"/>
      <c r="G4" s="186"/>
      <c r="H4" s="186"/>
      <c r="I4" s="186"/>
    </row>
    <row r="5" spans="1:9" x14ac:dyDescent="0.2">
      <c r="A5" s="469" t="s">
        <v>712</v>
      </c>
      <c r="B5" s="40"/>
      <c r="C5" s="452">
        <v>220909.23070688272</v>
      </c>
      <c r="D5" s="452">
        <f>+G33</f>
        <v>-38545271.35184221</v>
      </c>
      <c r="E5" s="452">
        <f>+C5+D5</f>
        <v>-38324362.121135324</v>
      </c>
      <c r="F5" s="186"/>
      <c r="G5" s="186"/>
      <c r="H5" s="186"/>
      <c r="I5" s="186"/>
    </row>
    <row r="6" spans="1:9" x14ac:dyDescent="0.2">
      <c r="A6" s="186"/>
      <c r="B6" s="278"/>
      <c r="C6" s="186"/>
      <c r="D6" s="186"/>
      <c r="E6" s="186"/>
      <c r="F6" s="186"/>
      <c r="G6" s="186"/>
      <c r="H6" s="186"/>
      <c r="I6" s="186"/>
    </row>
    <row r="7" spans="1:9" x14ac:dyDescent="0.2">
      <c r="A7" s="148" t="s">
        <v>759</v>
      </c>
      <c r="B7" s="278"/>
      <c r="C7" s="186"/>
      <c r="D7" s="186"/>
      <c r="E7" s="186"/>
      <c r="F7" s="186"/>
      <c r="G7" s="186"/>
      <c r="H7" s="186"/>
      <c r="I7" s="186"/>
    </row>
    <row r="8" spans="1:9" x14ac:dyDescent="0.2">
      <c r="A8" s="148"/>
      <c r="B8" s="40"/>
      <c r="C8" s="277" t="s">
        <v>228</v>
      </c>
      <c r="D8" s="277" t="s">
        <v>214</v>
      </c>
      <c r="E8" s="277" t="s">
        <v>66</v>
      </c>
      <c r="F8" s="186"/>
      <c r="G8" s="186"/>
      <c r="H8" s="186"/>
      <c r="I8" s="186"/>
    </row>
    <row r="9" spans="1:9" x14ac:dyDescent="0.2">
      <c r="A9" s="469" t="s">
        <v>658</v>
      </c>
      <c r="B9" s="40"/>
      <c r="C9" s="452"/>
      <c r="D9" s="452">
        <f>+D18</f>
        <v>-430947126.47000003</v>
      </c>
      <c r="E9" s="452">
        <f>+C9+D9</f>
        <v>-430947126.47000003</v>
      </c>
      <c r="F9" s="186"/>
      <c r="G9" s="186"/>
      <c r="H9" s="186"/>
      <c r="I9" s="186"/>
    </row>
    <row r="10" spans="1:9" x14ac:dyDescent="0.2">
      <c r="A10" s="469" t="s">
        <v>712</v>
      </c>
      <c r="B10" s="40"/>
      <c r="C10" s="452"/>
      <c r="D10" s="452">
        <f>+E33</f>
        <v>-433208188.78534251</v>
      </c>
      <c r="E10" s="452">
        <f>+C10+D10</f>
        <v>-433208188.78534251</v>
      </c>
      <c r="F10" s="186"/>
      <c r="G10" s="186"/>
      <c r="H10" s="186"/>
      <c r="I10" s="186"/>
    </row>
    <row r="11" spans="1:9" x14ac:dyDescent="0.2">
      <c r="A11" s="469"/>
      <c r="B11" s="40"/>
      <c r="C11" s="186"/>
      <c r="D11" s="186"/>
      <c r="E11" s="186"/>
      <c r="F11" s="186"/>
      <c r="G11" s="186"/>
      <c r="H11" s="186"/>
      <c r="I11" s="186"/>
    </row>
    <row r="12" spans="1:9" x14ac:dyDescent="0.2">
      <c r="A12" s="186"/>
      <c r="B12" s="40"/>
      <c r="C12" s="186"/>
      <c r="D12" s="186"/>
      <c r="E12" s="186"/>
      <c r="F12" s="186"/>
      <c r="G12" s="186"/>
      <c r="H12" s="186"/>
      <c r="I12" s="186"/>
    </row>
    <row r="13" spans="1:9" x14ac:dyDescent="0.2">
      <c r="A13" s="148" t="s">
        <v>755</v>
      </c>
      <c r="B13" s="40"/>
      <c r="D13" s="449">
        <f>+'KSM-3 p4 - Factors'!D30</f>
        <v>0.10374888431519907</v>
      </c>
      <c r="E13" s="186"/>
      <c r="F13" s="186"/>
      <c r="G13" s="186"/>
      <c r="H13" s="186"/>
      <c r="I13" s="186"/>
    </row>
    <row r="14" spans="1:9" ht="15.75" thickBot="1" x14ac:dyDescent="0.25">
      <c r="B14" s="40"/>
      <c r="C14" s="186"/>
      <c r="D14" s="186"/>
      <c r="E14" s="186"/>
      <c r="F14" s="186"/>
      <c r="G14" s="186"/>
      <c r="H14" s="186"/>
      <c r="I14" s="186"/>
    </row>
    <row r="15" spans="1:9" x14ac:dyDescent="0.2">
      <c r="A15" s="459" t="s">
        <v>658</v>
      </c>
      <c r="B15" s="460"/>
      <c r="C15" s="460"/>
      <c r="D15" s="461"/>
      <c r="E15" s="186"/>
      <c r="F15" s="186"/>
      <c r="G15" s="186"/>
      <c r="H15" s="186"/>
      <c r="I15" s="186"/>
    </row>
    <row r="16" spans="1:9" x14ac:dyDescent="0.2">
      <c r="A16" s="462" t="s">
        <v>741</v>
      </c>
      <c r="B16" s="278" t="s">
        <v>756</v>
      </c>
      <c r="C16" s="278" t="s">
        <v>742</v>
      </c>
      <c r="D16" s="463">
        <v>-357168974.47000003</v>
      </c>
      <c r="E16" s="186"/>
      <c r="F16" s="186"/>
      <c r="G16" s="186"/>
      <c r="H16" s="186"/>
      <c r="I16" s="186"/>
    </row>
    <row r="17" spans="1:9" x14ac:dyDescent="0.2">
      <c r="A17" s="462" t="s">
        <v>741</v>
      </c>
      <c r="B17" s="278" t="s">
        <v>757</v>
      </c>
      <c r="C17" s="278" t="s">
        <v>743</v>
      </c>
      <c r="D17" s="472">
        <v>-73778152</v>
      </c>
      <c r="E17" s="186"/>
      <c r="F17" s="186"/>
      <c r="G17" s="186"/>
      <c r="H17" s="186"/>
      <c r="I17" s="186"/>
    </row>
    <row r="18" spans="1:9" x14ac:dyDescent="0.2">
      <c r="A18" s="462"/>
      <c r="B18" s="278"/>
      <c r="C18" s="278"/>
      <c r="D18" s="463">
        <f>SUM(D16:D17)</f>
        <v>-430947126.47000003</v>
      </c>
      <c r="E18" s="186"/>
      <c r="F18" s="186"/>
      <c r="G18" s="186"/>
      <c r="H18" s="186"/>
      <c r="I18" s="186"/>
    </row>
    <row r="19" spans="1:9" x14ac:dyDescent="0.2">
      <c r="A19" s="462"/>
      <c r="B19" s="278"/>
      <c r="C19" s="278"/>
      <c r="D19" s="464"/>
      <c r="E19" s="186"/>
      <c r="F19" s="186"/>
      <c r="G19" s="186"/>
      <c r="H19" s="186"/>
      <c r="I19" s="186"/>
    </row>
    <row r="20" spans="1:9" x14ac:dyDescent="0.2">
      <c r="A20" s="462"/>
      <c r="B20" s="278"/>
      <c r="C20" s="278" t="s">
        <v>753</v>
      </c>
      <c r="D20" s="463">
        <f>+D16+D17*0.35</f>
        <v>-382991327.67000002</v>
      </c>
      <c r="E20" s="186"/>
      <c r="F20" s="186"/>
      <c r="G20" s="186"/>
      <c r="H20" s="186"/>
      <c r="I20" s="186"/>
    </row>
    <row r="21" spans="1:9" ht="15.75" thickBot="1" x14ac:dyDescent="0.25">
      <c r="A21" s="465"/>
      <c r="B21" s="466"/>
      <c r="C21" s="466" t="s">
        <v>754</v>
      </c>
      <c r="D21" s="467">
        <f>+D20*D13</f>
        <v>-39734922.948159337</v>
      </c>
      <c r="E21" s="186"/>
      <c r="F21" s="186"/>
      <c r="G21" s="186"/>
      <c r="H21" s="186"/>
      <c r="I21" s="186"/>
    </row>
    <row r="22" spans="1:9" x14ac:dyDescent="0.2">
      <c r="A22" s="186"/>
      <c r="B22" s="278"/>
      <c r="C22" s="186"/>
      <c r="D22" s="186"/>
      <c r="E22" s="186"/>
      <c r="F22" s="186"/>
      <c r="G22" s="186"/>
      <c r="H22" s="186"/>
      <c r="I22" s="186"/>
    </row>
    <row r="23" spans="1:9" x14ac:dyDescent="0.2">
      <c r="A23" s="186"/>
      <c r="B23" s="278"/>
      <c r="C23" s="186"/>
      <c r="D23" s="186"/>
      <c r="E23" s="186"/>
      <c r="F23" s="186"/>
      <c r="G23" s="186"/>
      <c r="H23" s="186"/>
      <c r="I23" s="186"/>
    </row>
    <row r="24" spans="1:9" x14ac:dyDescent="0.2">
      <c r="A24" s="152" t="s">
        <v>744</v>
      </c>
      <c r="B24" s="278"/>
      <c r="C24" s="453"/>
      <c r="D24" s="453"/>
      <c r="E24" s="453" t="s">
        <v>745</v>
      </c>
      <c r="F24" s="453"/>
      <c r="G24" s="453" t="s">
        <v>10</v>
      </c>
      <c r="H24" s="152"/>
      <c r="I24" s="152"/>
    </row>
    <row r="25" spans="1:9" x14ac:dyDescent="0.2">
      <c r="A25" s="152"/>
      <c r="B25" s="278"/>
      <c r="C25" s="454" t="s">
        <v>131</v>
      </c>
      <c r="D25" s="454" t="s">
        <v>128</v>
      </c>
      <c r="E25" s="454" t="s">
        <v>66</v>
      </c>
      <c r="F25" s="453"/>
      <c r="G25" s="454" t="s">
        <v>51</v>
      </c>
      <c r="H25" s="152"/>
      <c r="I25" s="152"/>
    </row>
    <row r="26" spans="1:9" ht="15.75" thickBot="1" x14ac:dyDescent="0.25">
      <c r="A26" s="152"/>
      <c r="B26" s="278"/>
      <c r="C26" s="455"/>
      <c r="D26" s="455"/>
      <c r="E26" s="455"/>
      <c r="F26" s="455"/>
      <c r="G26" s="455"/>
      <c r="H26" s="455"/>
      <c r="I26" s="152"/>
    </row>
    <row r="27" spans="1:9" ht="15.75" thickBot="1" x14ac:dyDescent="0.25">
      <c r="A27" s="152" t="s">
        <v>746</v>
      </c>
      <c r="B27" s="278"/>
      <c r="C27" s="452">
        <v>-217460814</v>
      </c>
      <c r="D27" s="452">
        <v>-75091273</v>
      </c>
      <c r="E27" s="452">
        <v>-292552087</v>
      </c>
      <c r="F27" s="452"/>
      <c r="G27" s="452">
        <f>(C27+D27*0.21)*H27</f>
        <v>-24197350.35184221</v>
      </c>
      <c r="H27" s="456">
        <f>+D13</f>
        <v>0.10374888431519907</v>
      </c>
      <c r="I27" s="450" t="s">
        <v>747</v>
      </c>
    </row>
    <row r="28" spans="1:9" x14ac:dyDescent="0.2">
      <c r="A28" s="152" t="s">
        <v>748</v>
      </c>
      <c r="B28" s="278"/>
      <c r="C28" s="452">
        <v>-191300509</v>
      </c>
      <c r="D28" s="452"/>
      <c r="E28" s="452">
        <v>-191300509</v>
      </c>
      <c r="F28" s="452"/>
      <c r="G28" s="452">
        <f>-14347921*(1/(1-0.21))</f>
        <v>-18161925.316455696</v>
      </c>
      <c r="H28" s="152"/>
      <c r="I28" s="451" t="s">
        <v>749</v>
      </c>
    </row>
    <row r="29" spans="1:9" x14ac:dyDescent="0.2">
      <c r="A29" s="152"/>
      <c r="B29" s="278"/>
      <c r="C29" s="452"/>
      <c r="D29" s="452"/>
      <c r="E29" s="452"/>
      <c r="F29" s="452"/>
      <c r="G29" s="452"/>
      <c r="H29" s="152"/>
      <c r="I29" s="451"/>
    </row>
    <row r="30" spans="1:9" x14ac:dyDescent="0.2">
      <c r="A30" s="152" t="s">
        <v>750</v>
      </c>
      <c r="B30" s="278"/>
      <c r="C30" s="452">
        <v>37389596.677116372</v>
      </c>
      <c r="D30" s="452"/>
      <c r="E30" s="452">
        <v>50644407.214657471</v>
      </c>
      <c r="F30" s="452"/>
      <c r="G30" s="468">
        <f>0.21*-G28</f>
        <v>3814004.3164556958</v>
      </c>
      <c r="H30" s="152"/>
      <c r="I30" s="451" t="s">
        <v>751</v>
      </c>
    </row>
    <row r="31" spans="1:9" x14ac:dyDescent="0.2">
      <c r="A31" s="152"/>
      <c r="B31" s="278"/>
      <c r="C31" s="452"/>
      <c r="D31" s="452"/>
      <c r="E31" s="452"/>
      <c r="F31" s="452"/>
      <c r="G31" s="452"/>
      <c r="H31" s="455"/>
      <c r="I31" s="152"/>
    </row>
    <row r="32" spans="1:9" x14ac:dyDescent="0.2">
      <c r="A32" s="152"/>
      <c r="B32" s="278"/>
      <c r="C32" s="452"/>
      <c r="D32" s="452"/>
      <c r="E32" s="452"/>
      <c r="F32" s="452"/>
      <c r="G32" s="452"/>
      <c r="H32" s="152"/>
      <c r="I32" s="152"/>
    </row>
    <row r="33" spans="1:9" x14ac:dyDescent="0.2">
      <c r="A33" s="152" t="s">
        <v>752</v>
      </c>
      <c r="B33" s="278"/>
      <c r="C33" s="457">
        <v>-371371726.32288361</v>
      </c>
      <c r="D33" s="457">
        <v>-61836462.462458901</v>
      </c>
      <c r="E33" s="457">
        <v>-433208188.78534251</v>
      </c>
      <c r="F33" s="458"/>
      <c r="G33" s="457">
        <f>+SUM(G27:G31)</f>
        <v>-38545271.35184221</v>
      </c>
      <c r="H33" s="152"/>
      <c r="I33" s="152"/>
    </row>
    <row r="34" spans="1:9" x14ac:dyDescent="0.2">
      <c r="A34" s="186"/>
      <c r="B34" s="278"/>
      <c r="C34" s="278"/>
      <c r="D34" s="186"/>
      <c r="E34" s="186"/>
      <c r="F34" s="186"/>
      <c r="G34" s="186"/>
      <c r="H34" s="186"/>
      <c r="I34" s="186"/>
    </row>
  </sheetData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A1:I112"/>
  <sheetViews>
    <sheetView workbookViewId="0">
      <selection activeCell="I13" sqref="I13"/>
    </sheetView>
  </sheetViews>
  <sheetFormatPr defaultColWidth="8.85546875" defaultRowHeight="15" x14ac:dyDescent="0.2"/>
  <cols>
    <col min="1" max="3" width="5.7109375" style="245" customWidth="1"/>
    <col min="4" max="4" width="50.5703125" style="245" bestFit="1" customWidth="1"/>
    <col min="5" max="7" width="14.7109375" style="246" customWidth="1"/>
    <col min="8" max="8" width="8.85546875" style="2"/>
    <col min="9" max="9" width="36.28515625" style="246" customWidth="1"/>
    <col min="10" max="16384" width="8.85546875" style="246"/>
  </cols>
  <sheetData>
    <row r="1" spans="1:9" x14ac:dyDescent="0.2">
      <c r="A1" s="148" t="s">
        <v>0</v>
      </c>
      <c r="B1" s="148"/>
      <c r="C1" s="148"/>
      <c r="D1" s="148"/>
      <c r="E1" s="186"/>
      <c r="F1" s="186"/>
      <c r="G1" s="152"/>
      <c r="H1" s="246"/>
    </row>
    <row r="2" spans="1:9" x14ac:dyDescent="0.2">
      <c r="A2" s="148" t="s">
        <v>385</v>
      </c>
      <c r="B2" s="148"/>
      <c r="C2" s="148"/>
      <c r="D2" s="148"/>
      <c r="E2" s="186"/>
      <c r="F2" s="186"/>
      <c r="G2" s="152"/>
      <c r="H2" s="246"/>
    </row>
    <row r="3" spans="1:9" x14ac:dyDescent="0.2">
      <c r="A3" s="148" t="s">
        <v>386</v>
      </c>
      <c r="B3" s="148"/>
      <c r="C3" s="148"/>
      <c r="D3" s="148"/>
      <c r="E3" s="186"/>
      <c r="F3" s="186"/>
      <c r="G3" s="152"/>
      <c r="H3" s="246"/>
    </row>
    <row r="4" spans="1:9" x14ac:dyDescent="0.2">
      <c r="A4" s="148" t="s">
        <v>637</v>
      </c>
      <c r="B4" s="148"/>
      <c r="C4" s="148"/>
      <c r="D4" s="148"/>
      <c r="E4" s="148"/>
      <c r="F4" s="186"/>
      <c r="G4" s="152"/>
      <c r="H4" s="246"/>
    </row>
    <row r="5" spans="1:9" x14ac:dyDescent="0.2">
      <c r="A5" s="148"/>
      <c r="B5" s="148"/>
      <c r="C5" s="148"/>
      <c r="D5" s="148"/>
      <c r="E5" s="148"/>
      <c r="F5" s="186"/>
      <c r="G5" s="152"/>
      <c r="H5" s="246"/>
    </row>
    <row r="6" spans="1:9" x14ac:dyDescent="0.2">
      <c r="A6" s="148"/>
      <c r="B6" s="148"/>
      <c r="C6" s="148"/>
      <c r="D6" s="148"/>
      <c r="E6" s="277" t="s">
        <v>9</v>
      </c>
      <c r="F6" s="277" t="s">
        <v>10</v>
      </c>
      <c r="G6" s="277" t="s">
        <v>11</v>
      </c>
      <c r="H6" s="246"/>
      <c r="I6" s="128" t="s">
        <v>837</v>
      </c>
    </row>
    <row r="7" spans="1:9" x14ac:dyDescent="0.2">
      <c r="A7" s="148" t="s">
        <v>387</v>
      </c>
      <c r="B7" s="148"/>
      <c r="C7" s="148"/>
      <c r="D7" s="148"/>
      <c r="E7" s="186"/>
      <c r="F7" s="186"/>
      <c r="G7" s="186"/>
      <c r="H7" s="246"/>
    </row>
    <row r="8" spans="1:9" x14ac:dyDescent="0.2">
      <c r="A8" s="148"/>
      <c r="B8" s="148" t="s">
        <v>388</v>
      </c>
      <c r="C8" s="148"/>
      <c r="D8" s="148"/>
      <c r="E8" s="186"/>
      <c r="F8" s="186"/>
      <c r="G8" s="186"/>
      <c r="H8" s="246"/>
    </row>
    <row r="9" spans="1:9" x14ac:dyDescent="0.2">
      <c r="A9" s="148"/>
      <c r="B9" s="148"/>
      <c r="C9" s="148" t="s">
        <v>389</v>
      </c>
      <c r="D9" s="148"/>
      <c r="E9" s="186"/>
      <c r="F9" s="186"/>
      <c r="G9" s="186"/>
      <c r="H9" s="246"/>
    </row>
    <row r="10" spans="1:9" x14ac:dyDescent="0.2">
      <c r="A10" s="148"/>
      <c r="B10" s="148"/>
      <c r="C10" s="148" t="s">
        <v>390</v>
      </c>
      <c r="D10" s="148" t="s">
        <v>391</v>
      </c>
      <c r="E10" s="173">
        <v>291773.74999999994</v>
      </c>
      <c r="F10" s="173">
        <v>30402.824749999985</v>
      </c>
      <c r="G10" s="173">
        <v>261370.92524999997</v>
      </c>
      <c r="H10" s="246"/>
      <c r="I10" s="520" t="s">
        <v>861</v>
      </c>
    </row>
    <row r="11" spans="1:9" x14ac:dyDescent="0.2">
      <c r="A11" s="148"/>
      <c r="B11" s="148"/>
      <c r="C11" s="148" t="s">
        <v>392</v>
      </c>
      <c r="D11" s="148" t="s">
        <v>393</v>
      </c>
      <c r="E11" s="173">
        <v>73077.67</v>
      </c>
      <c r="F11" s="173">
        <v>7614.6932139999972</v>
      </c>
      <c r="G11" s="173">
        <v>65462.976785999999</v>
      </c>
      <c r="H11" s="246"/>
    </row>
    <row r="12" spans="1:9" x14ac:dyDescent="0.2">
      <c r="A12" s="148"/>
      <c r="B12" s="148"/>
      <c r="C12" s="148" t="s">
        <v>394</v>
      </c>
      <c r="D12" s="148" t="s">
        <v>395</v>
      </c>
      <c r="E12" s="173">
        <v>2626828.3900000006</v>
      </c>
      <c r="F12" s="173">
        <v>272282.4249655999</v>
      </c>
      <c r="G12" s="173">
        <v>2354545.9650344006</v>
      </c>
      <c r="H12" s="246"/>
    </row>
    <row r="13" spans="1:9" x14ac:dyDescent="0.2">
      <c r="A13" s="148"/>
      <c r="B13" s="148"/>
      <c r="C13" s="148" t="s">
        <v>396</v>
      </c>
      <c r="D13" s="148" t="s">
        <v>397</v>
      </c>
      <c r="E13" s="173">
        <v>20987.289999999997</v>
      </c>
      <c r="F13" s="173">
        <v>2138.275153999999</v>
      </c>
      <c r="G13" s="173">
        <v>18849.014845999998</v>
      </c>
      <c r="H13" s="246"/>
    </row>
    <row r="14" spans="1:9" x14ac:dyDescent="0.2">
      <c r="A14" s="148"/>
      <c r="B14" s="148"/>
      <c r="C14" s="148"/>
      <c r="D14" s="148"/>
      <c r="E14" s="173"/>
      <c r="F14" s="173"/>
      <c r="G14" s="173"/>
    </row>
    <row r="15" spans="1:9" x14ac:dyDescent="0.2">
      <c r="A15" s="148"/>
      <c r="B15" s="148"/>
      <c r="C15" s="148" t="s">
        <v>398</v>
      </c>
      <c r="D15" s="148"/>
      <c r="E15" s="173"/>
      <c r="F15" s="173"/>
      <c r="G15" s="173"/>
      <c r="H15" s="246"/>
    </row>
    <row r="16" spans="1:9" x14ac:dyDescent="0.2">
      <c r="A16" s="148"/>
      <c r="B16" s="148"/>
      <c r="C16" s="148" t="s">
        <v>399</v>
      </c>
      <c r="D16" s="148" t="s">
        <v>391</v>
      </c>
      <c r="E16" s="165">
        <v>237433.8</v>
      </c>
      <c r="F16" s="165">
        <v>24740.601959999989</v>
      </c>
      <c r="G16" s="165">
        <v>212693.19803999999</v>
      </c>
      <c r="H16" s="246"/>
    </row>
    <row r="17" spans="1:8" x14ac:dyDescent="0.2">
      <c r="A17" s="148"/>
      <c r="B17" s="148"/>
      <c r="C17" s="279">
        <v>834</v>
      </c>
      <c r="D17" s="148" t="s">
        <v>638</v>
      </c>
      <c r="E17" s="168">
        <v>232439.48999999993</v>
      </c>
      <c r="F17" s="168">
        <v>24220.194857999988</v>
      </c>
      <c r="G17" s="168">
        <v>208219.29514199996</v>
      </c>
      <c r="H17" s="246"/>
    </row>
    <row r="18" spans="1:8" x14ac:dyDescent="0.2">
      <c r="A18" s="148"/>
      <c r="B18" s="148"/>
      <c r="C18" s="148"/>
      <c r="D18" s="148" t="s">
        <v>400</v>
      </c>
      <c r="E18" s="173">
        <v>3482540.39</v>
      </c>
      <c r="F18" s="173">
        <v>361399.01490159985</v>
      </c>
      <c r="G18" s="173">
        <v>3121141.3750984007</v>
      </c>
    </row>
    <row r="19" spans="1:8" x14ac:dyDescent="0.2">
      <c r="A19" s="148"/>
      <c r="B19" s="148"/>
      <c r="C19" s="148"/>
      <c r="D19" s="148"/>
      <c r="E19" s="173"/>
      <c r="F19" s="173"/>
      <c r="G19" s="173"/>
      <c r="H19" s="246"/>
    </row>
    <row r="20" spans="1:8" x14ac:dyDescent="0.2">
      <c r="A20" s="148"/>
      <c r="B20" s="148" t="s">
        <v>401</v>
      </c>
      <c r="C20" s="148"/>
      <c r="D20" s="148"/>
      <c r="E20" s="173"/>
      <c r="F20" s="173"/>
      <c r="G20" s="173"/>
      <c r="H20" s="246"/>
    </row>
    <row r="21" spans="1:8" x14ac:dyDescent="0.2">
      <c r="A21" s="148"/>
      <c r="B21" s="148"/>
      <c r="C21" s="148" t="s">
        <v>389</v>
      </c>
      <c r="D21" s="148"/>
      <c r="E21" s="173"/>
      <c r="F21" s="173"/>
      <c r="G21" s="173"/>
      <c r="H21" s="246"/>
    </row>
    <row r="22" spans="1:8" x14ac:dyDescent="0.2">
      <c r="A22" s="148"/>
      <c r="B22" s="148"/>
      <c r="C22" s="148" t="s">
        <v>402</v>
      </c>
      <c r="D22" s="148" t="s">
        <v>403</v>
      </c>
      <c r="E22" s="168">
        <v>172056.93000000002</v>
      </c>
      <c r="F22" s="168">
        <v>17928.332105999994</v>
      </c>
      <c r="G22" s="168">
        <v>154128.59789400004</v>
      </c>
      <c r="H22" s="246"/>
    </row>
    <row r="23" spans="1:8" x14ac:dyDescent="0.2">
      <c r="A23" s="148"/>
      <c r="B23" s="148"/>
      <c r="C23" s="148"/>
      <c r="D23" s="148" t="s">
        <v>404</v>
      </c>
      <c r="E23" s="173">
        <v>172056.93000000002</v>
      </c>
      <c r="F23" s="173">
        <v>17928.332105999994</v>
      </c>
      <c r="G23" s="173">
        <v>154128.59789400004</v>
      </c>
    </row>
    <row r="24" spans="1:8" x14ac:dyDescent="0.2">
      <c r="A24" s="148"/>
      <c r="B24" s="148"/>
      <c r="C24" s="148"/>
      <c r="D24" s="148"/>
      <c r="E24" s="173"/>
      <c r="F24" s="173"/>
      <c r="G24" s="173"/>
      <c r="H24" s="246"/>
    </row>
    <row r="25" spans="1:8" x14ac:dyDescent="0.2">
      <c r="A25" s="148"/>
      <c r="B25" s="148" t="s">
        <v>405</v>
      </c>
      <c r="C25" s="148"/>
      <c r="D25" s="148"/>
      <c r="E25" s="173"/>
      <c r="F25" s="173"/>
      <c r="G25" s="173"/>
      <c r="H25" s="246"/>
    </row>
    <row r="26" spans="1:8" x14ac:dyDescent="0.2">
      <c r="A26" s="148"/>
      <c r="B26" s="148"/>
      <c r="C26" s="148" t="s">
        <v>389</v>
      </c>
      <c r="D26" s="148"/>
      <c r="E26" s="173"/>
      <c r="F26" s="173"/>
      <c r="G26" s="173"/>
      <c r="H26" s="246"/>
    </row>
    <row r="27" spans="1:8" x14ac:dyDescent="0.2">
      <c r="A27" s="148"/>
      <c r="B27" s="148"/>
      <c r="C27" s="148" t="s">
        <v>406</v>
      </c>
      <c r="D27" s="148" t="s">
        <v>403</v>
      </c>
      <c r="E27" s="173">
        <v>1892076.6600000001</v>
      </c>
      <c r="F27" s="173">
        <v>197154.38797199994</v>
      </c>
      <c r="G27" s="173">
        <v>1694922.2720280001</v>
      </c>
    </row>
    <row r="28" spans="1:8" x14ac:dyDescent="0.2">
      <c r="A28" s="148"/>
      <c r="B28" s="148"/>
      <c r="C28" s="148" t="s">
        <v>639</v>
      </c>
      <c r="D28" s="148" t="s">
        <v>640</v>
      </c>
      <c r="E28" s="173">
        <v>-100562.02000000002</v>
      </c>
      <c r="F28" s="173">
        <v>-10478.562483999998</v>
      </c>
      <c r="G28" s="173">
        <v>-90083.457516000024</v>
      </c>
      <c r="H28" s="246"/>
    </row>
    <row r="29" spans="1:8" x14ac:dyDescent="0.2">
      <c r="A29" s="148"/>
      <c r="B29" s="148"/>
      <c r="C29" s="148"/>
      <c r="D29" s="148"/>
      <c r="E29" s="173"/>
      <c r="F29" s="173"/>
      <c r="G29" s="173"/>
      <c r="H29" s="246"/>
    </row>
    <row r="30" spans="1:8" x14ac:dyDescent="0.2">
      <c r="A30" s="148"/>
      <c r="B30" s="148"/>
      <c r="C30" s="148" t="s">
        <v>398</v>
      </c>
      <c r="D30" s="148"/>
      <c r="E30" s="173"/>
      <c r="F30" s="173"/>
      <c r="G30" s="173"/>
      <c r="H30" s="246"/>
    </row>
    <row r="31" spans="1:8" x14ac:dyDescent="0.2">
      <c r="A31" s="148"/>
      <c r="B31" s="148"/>
      <c r="C31" s="148" t="s">
        <v>407</v>
      </c>
      <c r="D31" s="148" t="s">
        <v>403</v>
      </c>
      <c r="E31" s="168">
        <v>1117824.45</v>
      </c>
      <c r="F31" s="168">
        <v>116477.30768999996</v>
      </c>
      <c r="G31" s="168">
        <v>1001347.14231</v>
      </c>
      <c r="H31" s="246"/>
    </row>
    <row r="32" spans="1:8" x14ac:dyDescent="0.2">
      <c r="A32" s="148"/>
      <c r="B32" s="148"/>
      <c r="C32" s="148"/>
      <c r="D32" s="148" t="s">
        <v>408</v>
      </c>
      <c r="E32" s="173">
        <v>2909339.09</v>
      </c>
      <c r="F32" s="173">
        <v>303153.13317799987</v>
      </c>
      <c r="G32" s="173">
        <v>2606185.956822</v>
      </c>
      <c r="H32" s="246"/>
    </row>
    <row r="33" spans="1:8" x14ac:dyDescent="0.2">
      <c r="A33" s="148"/>
      <c r="B33" s="148"/>
      <c r="C33" s="148"/>
      <c r="D33" s="148"/>
      <c r="E33" s="168"/>
      <c r="F33" s="168"/>
      <c r="G33" s="168"/>
    </row>
    <row r="34" spans="1:8" x14ac:dyDescent="0.2">
      <c r="A34" s="148"/>
      <c r="B34" s="148"/>
      <c r="C34" s="148"/>
      <c r="D34" s="148" t="s">
        <v>409</v>
      </c>
      <c r="E34" s="173">
        <v>6563936.4100000001</v>
      </c>
      <c r="F34" s="173">
        <v>682480.48018559976</v>
      </c>
      <c r="G34" s="173">
        <v>5881455.9298144002</v>
      </c>
      <c r="H34" s="246"/>
    </row>
    <row r="35" spans="1:8" x14ac:dyDescent="0.2">
      <c r="A35" s="148"/>
      <c r="B35" s="148"/>
      <c r="C35" s="148"/>
      <c r="D35" s="148"/>
      <c r="E35" s="173"/>
      <c r="F35" s="173"/>
      <c r="G35" s="173"/>
      <c r="H35" s="246"/>
    </row>
    <row r="36" spans="1:8" x14ac:dyDescent="0.2">
      <c r="A36" s="148" t="s">
        <v>410</v>
      </c>
      <c r="B36" s="148"/>
      <c r="C36" s="148"/>
      <c r="D36" s="148"/>
      <c r="E36" s="173"/>
      <c r="F36" s="173"/>
      <c r="G36" s="173"/>
      <c r="H36" s="246"/>
    </row>
    <row r="37" spans="1:8" x14ac:dyDescent="0.2">
      <c r="A37" s="148"/>
      <c r="B37" s="148"/>
      <c r="C37" s="148" t="s">
        <v>389</v>
      </c>
      <c r="D37" s="148"/>
      <c r="E37" s="173"/>
      <c r="F37" s="173"/>
      <c r="G37" s="173"/>
    </row>
    <row r="38" spans="1:8" x14ac:dyDescent="0.2">
      <c r="A38" s="148"/>
      <c r="B38" s="148"/>
      <c r="C38" s="148" t="s">
        <v>411</v>
      </c>
      <c r="D38" s="148" t="s">
        <v>412</v>
      </c>
      <c r="E38" s="173">
        <v>1998784.92</v>
      </c>
      <c r="F38" s="173">
        <v>136822.59582411998</v>
      </c>
      <c r="G38" s="173">
        <v>1861962.3241758798</v>
      </c>
      <c r="H38" s="246"/>
    </row>
    <row r="39" spans="1:8" x14ac:dyDescent="0.2">
      <c r="A39" s="148"/>
      <c r="B39" s="148"/>
      <c r="C39" s="148"/>
      <c r="D39" s="148"/>
      <c r="E39" s="173"/>
      <c r="F39" s="173"/>
      <c r="G39" s="173"/>
      <c r="H39" s="246"/>
    </row>
    <row r="40" spans="1:8" x14ac:dyDescent="0.2">
      <c r="A40" s="148"/>
      <c r="B40" s="148"/>
      <c r="C40" s="148" t="s">
        <v>398</v>
      </c>
      <c r="D40" s="148"/>
      <c r="E40" s="173"/>
      <c r="F40" s="173"/>
      <c r="G40" s="173"/>
      <c r="H40" s="246"/>
    </row>
    <row r="41" spans="1:8" x14ac:dyDescent="0.2">
      <c r="A41" s="148"/>
      <c r="B41" s="148"/>
      <c r="C41" s="148" t="s">
        <v>413</v>
      </c>
      <c r="D41" s="148" t="s">
        <v>414</v>
      </c>
      <c r="E41" s="168">
        <v>166376.11000000002</v>
      </c>
      <c r="F41" s="168">
        <v>18635.184115999997</v>
      </c>
      <c r="G41" s="168">
        <v>147740.92588400003</v>
      </c>
    </row>
    <row r="42" spans="1:8" x14ac:dyDescent="0.2">
      <c r="A42" s="148"/>
      <c r="B42" s="148"/>
      <c r="C42" s="148"/>
      <c r="D42" s="148" t="s">
        <v>415</v>
      </c>
      <c r="E42" s="173">
        <v>2165161.0299999998</v>
      </c>
      <c r="F42" s="173">
        <v>155457.77994011997</v>
      </c>
      <c r="G42" s="173">
        <v>2009703.2500598799</v>
      </c>
      <c r="H42" s="246"/>
    </row>
    <row r="43" spans="1:8" x14ac:dyDescent="0.2">
      <c r="A43" s="148"/>
      <c r="B43" s="148"/>
      <c r="C43" s="148"/>
      <c r="D43" s="148"/>
      <c r="E43" s="173"/>
      <c r="F43" s="173"/>
      <c r="G43" s="173"/>
      <c r="H43" s="246"/>
    </row>
    <row r="44" spans="1:8" x14ac:dyDescent="0.2">
      <c r="A44" s="148" t="s">
        <v>416</v>
      </c>
      <c r="B44" s="148"/>
      <c r="C44" s="148"/>
      <c r="D44" s="148"/>
      <c r="E44" s="173"/>
      <c r="F44" s="173"/>
      <c r="G44" s="173"/>
      <c r="H44" s="246"/>
    </row>
    <row r="45" spans="1:8" x14ac:dyDescent="0.2">
      <c r="A45" s="148"/>
      <c r="B45" s="148"/>
      <c r="C45" s="148" t="s">
        <v>389</v>
      </c>
      <c r="D45" s="148"/>
      <c r="E45" s="173"/>
      <c r="F45" s="173"/>
      <c r="G45" s="173"/>
      <c r="H45" s="246"/>
    </row>
    <row r="46" spans="1:8" x14ac:dyDescent="0.2">
      <c r="A46" s="148"/>
      <c r="B46" s="148"/>
      <c r="C46" s="148" t="s">
        <v>417</v>
      </c>
      <c r="D46" s="148" t="s">
        <v>403</v>
      </c>
      <c r="E46" s="173">
        <v>3497211.93</v>
      </c>
      <c r="F46" s="173">
        <v>302733.34368400002</v>
      </c>
      <c r="G46" s="173">
        <v>3194478.5863160002</v>
      </c>
      <c r="H46" s="246"/>
    </row>
    <row r="47" spans="1:8" x14ac:dyDescent="0.2">
      <c r="A47" s="148"/>
      <c r="B47" s="148"/>
      <c r="C47" s="148" t="s">
        <v>418</v>
      </c>
      <c r="D47" s="148" t="s">
        <v>419</v>
      </c>
      <c r="E47" s="173">
        <v>12875978.76</v>
      </c>
      <c r="F47" s="173">
        <v>1505881.1811969699</v>
      </c>
      <c r="G47" s="173">
        <v>11370097.578803029</v>
      </c>
      <c r="H47" s="246"/>
    </row>
    <row r="48" spans="1:8" x14ac:dyDescent="0.2">
      <c r="A48" s="148"/>
      <c r="B48" s="148"/>
      <c r="C48" s="148" t="s">
        <v>420</v>
      </c>
      <c r="D48" s="148" t="s">
        <v>421</v>
      </c>
      <c r="E48" s="173">
        <v>199446.18999999997</v>
      </c>
      <c r="F48" s="173">
        <v>20981.845694361698</v>
      </c>
      <c r="G48" s="173">
        <v>178464.34430563828</v>
      </c>
      <c r="H48" s="246"/>
    </row>
    <row r="49" spans="1:8" x14ac:dyDescent="0.2">
      <c r="A49" s="148"/>
      <c r="B49" s="148"/>
      <c r="C49" s="148" t="s">
        <v>422</v>
      </c>
      <c r="D49" s="148" t="s">
        <v>423</v>
      </c>
      <c r="E49" s="173">
        <v>504446.95</v>
      </c>
      <c r="F49" s="173">
        <v>43949.740302000006</v>
      </c>
      <c r="G49" s="173">
        <v>460497.20969799999</v>
      </c>
      <c r="H49" s="246"/>
    </row>
    <row r="50" spans="1:8" x14ac:dyDescent="0.2">
      <c r="A50" s="148"/>
      <c r="B50" s="148"/>
      <c r="C50" s="148" t="s">
        <v>424</v>
      </c>
      <c r="D50" s="148" t="s">
        <v>425</v>
      </c>
      <c r="E50" s="173">
        <v>6022667.0600000005</v>
      </c>
      <c r="F50" s="173">
        <v>670318.8257126502</v>
      </c>
      <c r="G50" s="173">
        <v>5352348.2342873504</v>
      </c>
      <c r="H50" s="246"/>
    </row>
    <row r="51" spans="1:8" x14ac:dyDescent="0.2">
      <c r="A51" s="148"/>
      <c r="B51" s="148"/>
      <c r="C51" s="148" t="s">
        <v>426</v>
      </c>
      <c r="D51" s="148" t="s">
        <v>427</v>
      </c>
      <c r="E51" s="173">
        <v>11036725.700000001</v>
      </c>
      <c r="F51" s="173">
        <v>1229188.0305282103</v>
      </c>
      <c r="G51" s="173">
        <v>9807537.669471791</v>
      </c>
      <c r="H51" s="246"/>
    </row>
    <row r="52" spans="1:8" x14ac:dyDescent="0.2">
      <c r="A52" s="148"/>
      <c r="B52" s="148"/>
      <c r="C52" s="148" t="s">
        <v>428</v>
      </c>
      <c r="D52" s="148" t="s">
        <v>429</v>
      </c>
      <c r="E52" s="173">
        <v>1778613.6499999997</v>
      </c>
      <c r="F52" s="173">
        <v>182701.40316823003</v>
      </c>
      <c r="G52" s="173">
        <v>1595912.2468317696</v>
      </c>
    </row>
    <row r="53" spans="1:8" x14ac:dyDescent="0.2">
      <c r="A53" s="148"/>
      <c r="B53" s="148"/>
      <c r="C53" s="148" t="s">
        <v>430</v>
      </c>
      <c r="D53" s="148" t="s">
        <v>431</v>
      </c>
      <c r="E53" s="173">
        <v>224750.72999999998</v>
      </c>
      <c r="F53" s="173">
        <v>31096.358330999989</v>
      </c>
      <c r="G53" s="173">
        <v>193654.37166899999</v>
      </c>
    </row>
    <row r="54" spans="1:8" x14ac:dyDescent="0.2">
      <c r="A54" s="148"/>
      <c r="B54" s="148"/>
      <c r="C54" s="148"/>
      <c r="D54" s="148"/>
      <c r="E54" s="173"/>
      <c r="F54" s="173"/>
      <c r="G54" s="173"/>
      <c r="H54" s="246"/>
    </row>
    <row r="55" spans="1:8" x14ac:dyDescent="0.2">
      <c r="A55" s="148"/>
      <c r="B55" s="148"/>
      <c r="C55" s="148"/>
      <c r="D55" s="148"/>
      <c r="E55" s="173"/>
      <c r="F55" s="173"/>
      <c r="G55" s="173"/>
      <c r="H55" s="246"/>
    </row>
    <row r="56" spans="1:8" x14ac:dyDescent="0.2">
      <c r="A56" s="148"/>
      <c r="B56" s="148"/>
      <c r="C56" s="148" t="s">
        <v>398</v>
      </c>
      <c r="D56" s="148"/>
      <c r="E56" s="173"/>
      <c r="F56" s="173"/>
      <c r="G56" s="173"/>
      <c r="H56" s="246"/>
    </row>
    <row r="57" spans="1:8" x14ac:dyDescent="0.2">
      <c r="A57" s="148"/>
      <c r="B57" s="148"/>
      <c r="C57" s="148" t="s">
        <v>432</v>
      </c>
      <c r="D57" s="148" t="s">
        <v>403</v>
      </c>
      <c r="E57" s="173">
        <v>7357253.8700000001</v>
      </c>
      <c r="F57" s="173">
        <v>345761.29012436001</v>
      </c>
      <c r="G57" s="173">
        <v>7011492.5798756406</v>
      </c>
      <c r="H57" s="246"/>
    </row>
    <row r="58" spans="1:8" x14ac:dyDescent="0.2">
      <c r="A58" s="148"/>
      <c r="B58" s="148"/>
      <c r="C58" s="148" t="s">
        <v>433</v>
      </c>
      <c r="D58" s="148" t="s">
        <v>434</v>
      </c>
      <c r="E58" s="173">
        <v>3229684.62</v>
      </c>
      <c r="F58" s="173">
        <v>167524.01034713001</v>
      </c>
      <c r="G58" s="173">
        <v>3062160.6096528703</v>
      </c>
      <c r="H58" s="246"/>
    </row>
    <row r="59" spans="1:8" x14ac:dyDescent="0.2">
      <c r="A59" s="148"/>
      <c r="B59" s="148"/>
      <c r="C59" s="148" t="s">
        <v>435</v>
      </c>
      <c r="D59" s="148" t="s">
        <v>421</v>
      </c>
      <c r="E59" s="173">
        <v>1499233.73</v>
      </c>
      <c r="F59" s="173">
        <v>136354.73894695743</v>
      </c>
      <c r="G59" s="173">
        <v>1362878.9910530425</v>
      </c>
      <c r="H59" s="246"/>
    </row>
    <row r="60" spans="1:8" x14ac:dyDescent="0.2">
      <c r="A60" s="148"/>
      <c r="B60" s="148"/>
      <c r="C60" s="148" t="s">
        <v>436</v>
      </c>
      <c r="D60" s="148" t="s">
        <v>423</v>
      </c>
      <c r="E60" s="173">
        <v>201537.63999999996</v>
      </c>
      <c r="F60" s="173">
        <v>14444.813570999999</v>
      </c>
      <c r="G60" s="173">
        <v>187092.82642899995</v>
      </c>
      <c r="H60" s="246"/>
    </row>
    <row r="61" spans="1:8" x14ac:dyDescent="0.2">
      <c r="A61" s="148"/>
      <c r="B61" s="148"/>
      <c r="C61" s="148" t="s">
        <v>437</v>
      </c>
      <c r="D61" s="148" t="s">
        <v>438</v>
      </c>
      <c r="E61" s="173">
        <v>689871.3</v>
      </c>
      <c r="F61" s="173">
        <v>51310.784413049994</v>
      </c>
      <c r="G61" s="173">
        <v>638560.51558695</v>
      </c>
      <c r="H61" s="246"/>
    </row>
    <row r="62" spans="1:8" x14ac:dyDescent="0.2">
      <c r="A62" s="148"/>
      <c r="B62" s="148"/>
      <c r="C62" s="148" t="s">
        <v>439</v>
      </c>
      <c r="D62" s="148" t="s">
        <v>440</v>
      </c>
      <c r="E62" s="173">
        <v>2834504.5</v>
      </c>
      <c r="F62" s="173">
        <v>282506.31269333011</v>
      </c>
      <c r="G62" s="173">
        <v>2551998.18730667</v>
      </c>
      <c r="H62" s="246"/>
    </row>
    <row r="63" spans="1:8" x14ac:dyDescent="0.2">
      <c r="A63" s="148"/>
      <c r="B63" s="148"/>
      <c r="C63" s="148" t="s">
        <v>441</v>
      </c>
      <c r="D63" s="148" t="s">
        <v>442</v>
      </c>
      <c r="E63" s="168">
        <v>70468.14</v>
      </c>
      <c r="F63" s="168">
        <v>2289.1923009999996</v>
      </c>
      <c r="G63" s="168">
        <v>68178.947698999997</v>
      </c>
    </row>
    <row r="64" spans="1:8" x14ac:dyDescent="0.2">
      <c r="A64" s="148"/>
      <c r="B64" s="148"/>
      <c r="C64" s="148"/>
      <c r="D64" s="148" t="s">
        <v>443</v>
      </c>
      <c r="E64" s="173">
        <v>52022394.769999988</v>
      </c>
      <c r="F64" s="173">
        <v>4987041.8710142495</v>
      </c>
      <c r="G64" s="173">
        <v>47035352.898985758</v>
      </c>
      <c r="H64" s="246"/>
    </row>
    <row r="65" spans="1:8" x14ac:dyDescent="0.2">
      <c r="A65" s="148"/>
      <c r="B65" s="148"/>
      <c r="C65" s="148"/>
      <c r="D65" s="148"/>
      <c r="E65" s="173"/>
      <c r="F65" s="173"/>
      <c r="G65" s="173"/>
      <c r="H65" s="246"/>
    </row>
    <row r="66" spans="1:8" x14ac:dyDescent="0.2">
      <c r="A66" s="148" t="s">
        <v>444</v>
      </c>
      <c r="B66" s="148"/>
      <c r="C66" s="148"/>
      <c r="D66" s="148"/>
      <c r="E66" s="173"/>
      <c r="F66" s="173"/>
      <c r="G66" s="173"/>
      <c r="H66" s="246"/>
    </row>
    <row r="67" spans="1:8" x14ac:dyDescent="0.2">
      <c r="A67" s="148"/>
      <c r="B67" s="148"/>
      <c r="C67" s="148" t="s">
        <v>389</v>
      </c>
      <c r="D67" s="148"/>
      <c r="E67" s="173"/>
      <c r="F67" s="173"/>
      <c r="G67" s="173"/>
      <c r="H67" s="246"/>
    </row>
    <row r="68" spans="1:8" x14ac:dyDescent="0.2">
      <c r="A68" s="148"/>
      <c r="B68" s="148"/>
      <c r="C68" s="148" t="s">
        <v>445</v>
      </c>
      <c r="D68" s="148" t="s">
        <v>446</v>
      </c>
      <c r="E68" s="173">
        <v>1718145.9500000002</v>
      </c>
      <c r="F68" s="173">
        <v>191745.08802000008</v>
      </c>
      <c r="G68" s="173">
        <v>1526400.86198</v>
      </c>
      <c r="H68" s="246"/>
    </row>
    <row r="69" spans="1:8" x14ac:dyDescent="0.2">
      <c r="A69" s="148"/>
      <c r="B69" s="148"/>
      <c r="C69" s="148" t="s">
        <v>447</v>
      </c>
      <c r="D69" s="148" t="s">
        <v>448</v>
      </c>
      <c r="E69" s="173">
        <v>890733.68</v>
      </c>
      <c r="F69" s="173">
        <v>99320.238044460028</v>
      </c>
      <c r="G69" s="173">
        <v>791413.44195553998</v>
      </c>
      <c r="H69" s="246"/>
    </row>
    <row r="70" spans="1:8" x14ac:dyDescent="0.2">
      <c r="A70" s="148"/>
      <c r="B70" s="148"/>
      <c r="C70" s="148" t="s">
        <v>449</v>
      </c>
      <c r="D70" s="148" t="s">
        <v>450</v>
      </c>
      <c r="E70" s="173">
        <v>18222749.409999996</v>
      </c>
      <c r="F70" s="173">
        <v>2023143.9559762403</v>
      </c>
      <c r="G70" s="173">
        <v>16199605.454023756</v>
      </c>
      <c r="H70" s="246"/>
    </row>
    <row r="71" spans="1:8" x14ac:dyDescent="0.2">
      <c r="A71" s="148"/>
      <c r="B71" s="148"/>
      <c r="C71" s="148" t="s">
        <v>451</v>
      </c>
      <c r="D71" s="148" t="s">
        <v>452</v>
      </c>
      <c r="E71" s="168">
        <v>525403.72000000009</v>
      </c>
      <c r="F71" s="168">
        <v>58165.898717000018</v>
      </c>
      <c r="G71" s="168">
        <v>467237.82128300006</v>
      </c>
    </row>
    <row r="72" spans="1:8" x14ac:dyDescent="0.2">
      <c r="A72" s="148"/>
      <c r="B72" s="148"/>
      <c r="C72" s="148"/>
      <c r="D72" s="148" t="s">
        <v>453</v>
      </c>
      <c r="E72" s="173">
        <v>21357032.759999994</v>
      </c>
      <c r="F72" s="173">
        <v>2372375.1807577005</v>
      </c>
      <c r="G72" s="173">
        <v>18984657.579242297</v>
      </c>
      <c r="H72" s="246"/>
    </row>
    <row r="73" spans="1:8" x14ac:dyDescent="0.2">
      <c r="A73" s="148"/>
      <c r="B73" s="148"/>
      <c r="C73" s="148"/>
      <c r="D73" s="148"/>
      <c r="E73" s="173"/>
      <c r="F73" s="173"/>
      <c r="G73" s="173"/>
      <c r="H73" s="246"/>
    </row>
    <row r="74" spans="1:8" x14ac:dyDescent="0.2">
      <c r="A74" s="148" t="s">
        <v>454</v>
      </c>
      <c r="B74" s="148"/>
      <c r="C74" s="148"/>
      <c r="D74" s="148"/>
      <c r="E74" s="173"/>
      <c r="F74" s="173"/>
      <c r="G74" s="173"/>
      <c r="H74" s="246"/>
    </row>
    <row r="75" spans="1:8" x14ac:dyDescent="0.2">
      <c r="A75" s="148"/>
      <c r="B75" s="148"/>
      <c r="C75" s="148" t="s">
        <v>389</v>
      </c>
      <c r="D75" s="148"/>
      <c r="E75" s="173"/>
      <c r="F75" s="173"/>
      <c r="G75" s="173"/>
      <c r="H75" s="246"/>
    </row>
    <row r="76" spans="1:8" x14ac:dyDescent="0.2">
      <c r="A76" s="148"/>
      <c r="B76" s="148"/>
      <c r="C76" s="148" t="s">
        <v>455</v>
      </c>
      <c r="D76" s="148" t="s">
        <v>446</v>
      </c>
      <c r="E76" s="173">
        <v>2697.02</v>
      </c>
      <c r="F76" s="173">
        <v>303.95415400000007</v>
      </c>
      <c r="G76" s="173">
        <v>2393.065846</v>
      </c>
      <c r="H76" s="246"/>
    </row>
    <row r="77" spans="1:8" x14ac:dyDescent="0.2">
      <c r="A77" s="148"/>
      <c r="B77" s="148"/>
      <c r="C77" s="148" t="s">
        <v>456</v>
      </c>
      <c r="D77" s="148" t="s">
        <v>457</v>
      </c>
      <c r="E77" s="173">
        <v>2330245.9300000002</v>
      </c>
      <c r="F77" s="173">
        <v>278562.35634000006</v>
      </c>
      <c r="G77" s="173">
        <v>2051683.5736600002</v>
      </c>
      <c r="H77" s="246"/>
    </row>
    <row r="78" spans="1:8" x14ac:dyDescent="0.2">
      <c r="A78" s="148"/>
      <c r="B78" s="148"/>
      <c r="C78" s="279">
        <v>909</v>
      </c>
      <c r="D78" s="148" t="s">
        <v>458</v>
      </c>
      <c r="E78" s="173">
        <v>3040742.6</v>
      </c>
      <c r="F78" s="173">
        <v>339346.87416000012</v>
      </c>
      <c r="G78" s="173">
        <v>2701395.72584</v>
      </c>
      <c r="H78" s="246"/>
    </row>
    <row r="79" spans="1:8" x14ac:dyDescent="0.2">
      <c r="A79" s="148"/>
      <c r="B79" s="148"/>
      <c r="C79" s="148" t="s">
        <v>459</v>
      </c>
      <c r="D79" s="148" t="s">
        <v>460</v>
      </c>
      <c r="E79" s="168">
        <v>247275.72</v>
      </c>
      <c r="F79" s="168">
        <v>27866.793651000007</v>
      </c>
      <c r="G79" s="168">
        <v>219408.92634899999</v>
      </c>
    </row>
    <row r="80" spans="1:8" x14ac:dyDescent="0.2">
      <c r="A80" s="148"/>
      <c r="B80" s="148"/>
      <c r="C80" s="148"/>
      <c r="D80" s="148" t="s">
        <v>461</v>
      </c>
      <c r="E80" s="173">
        <v>5620961.2700000005</v>
      </c>
      <c r="F80" s="173">
        <v>646079.97830500023</v>
      </c>
      <c r="G80" s="173">
        <v>4974881.2916950006</v>
      </c>
      <c r="H80" s="246"/>
    </row>
    <row r="81" spans="1:8" x14ac:dyDescent="0.2">
      <c r="A81" s="148"/>
      <c r="B81" s="148"/>
      <c r="C81" s="148"/>
      <c r="D81" s="148"/>
      <c r="E81" s="173"/>
      <c r="F81" s="173"/>
      <c r="G81" s="173"/>
      <c r="H81" s="246"/>
    </row>
    <row r="82" spans="1:8" x14ac:dyDescent="0.2">
      <c r="A82" s="148" t="s">
        <v>462</v>
      </c>
      <c r="B82" s="148"/>
      <c r="C82" s="148"/>
      <c r="D82" s="148"/>
      <c r="E82" s="173"/>
      <c r="F82" s="173"/>
      <c r="G82" s="173"/>
      <c r="H82" s="246"/>
    </row>
    <row r="83" spans="1:8" x14ac:dyDescent="0.2">
      <c r="A83" s="148"/>
      <c r="B83" s="148"/>
      <c r="C83" s="148" t="s">
        <v>389</v>
      </c>
      <c r="D83" s="148"/>
      <c r="E83" s="173"/>
      <c r="F83" s="173"/>
      <c r="G83" s="173"/>
      <c r="H83" s="246"/>
    </row>
    <row r="84" spans="1:8" x14ac:dyDescent="0.2">
      <c r="A84" s="148"/>
      <c r="B84" s="148"/>
      <c r="C84" s="148" t="s">
        <v>463</v>
      </c>
      <c r="D84" s="148" t="s">
        <v>446</v>
      </c>
      <c r="E84" s="173">
        <v>162705.07999999999</v>
      </c>
      <c r="F84" s="173">
        <v>18157.886928000004</v>
      </c>
      <c r="G84" s="173">
        <v>144547.19307199999</v>
      </c>
      <c r="H84" s="246"/>
    </row>
    <row r="85" spans="1:8" x14ac:dyDescent="0.2">
      <c r="A85" s="148"/>
      <c r="B85" s="148"/>
      <c r="C85" s="148" t="s">
        <v>464</v>
      </c>
      <c r="D85" s="148" t="s">
        <v>465</v>
      </c>
      <c r="E85" s="173">
        <v>3675850.33</v>
      </c>
      <c r="F85" s="173">
        <v>407173.96651060018</v>
      </c>
      <c r="G85" s="173">
        <v>3268676.3634893997</v>
      </c>
      <c r="H85" s="246"/>
    </row>
    <row r="86" spans="1:8" x14ac:dyDescent="0.2">
      <c r="A86" s="148"/>
      <c r="B86" s="148"/>
      <c r="C86" s="148" t="s">
        <v>466</v>
      </c>
      <c r="D86" s="148" t="s">
        <v>467</v>
      </c>
      <c r="E86" s="173">
        <v>452073.36000000004</v>
      </c>
      <c r="F86" s="173">
        <v>50451.423276000016</v>
      </c>
      <c r="G86" s="173">
        <v>401621.93672400003</v>
      </c>
      <c r="H86" s="246"/>
    </row>
    <row r="87" spans="1:8" x14ac:dyDescent="0.2">
      <c r="A87" s="148"/>
      <c r="B87" s="148"/>
      <c r="C87" s="148" t="s">
        <v>468</v>
      </c>
      <c r="D87" s="148" t="s">
        <v>469</v>
      </c>
      <c r="E87" s="168">
        <v>0</v>
      </c>
      <c r="F87" s="168">
        <v>0</v>
      </c>
      <c r="G87" s="168">
        <v>0</v>
      </c>
    </row>
    <row r="88" spans="1:8" x14ac:dyDescent="0.2">
      <c r="A88" s="148"/>
      <c r="B88" s="148"/>
      <c r="C88" s="148"/>
      <c r="D88" s="148" t="s">
        <v>470</v>
      </c>
      <c r="E88" s="173">
        <v>4290628.7700000005</v>
      </c>
      <c r="F88" s="173">
        <v>475783.27671460022</v>
      </c>
      <c r="G88" s="173">
        <v>3814845.4932853999</v>
      </c>
      <c r="H88" s="246"/>
    </row>
    <row r="89" spans="1:8" x14ac:dyDescent="0.2">
      <c r="A89" s="148"/>
      <c r="B89" s="148"/>
      <c r="C89" s="148"/>
      <c r="D89" s="148"/>
      <c r="E89" s="173"/>
      <c r="F89" s="173"/>
      <c r="G89" s="173"/>
      <c r="H89" s="246"/>
    </row>
    <row r="90" spans="1:8" x14ac:dyDescent="0.2">
      <c r="A90" s="148" t="s">
        <v>471</v>
      </c>
      <c r="B90" s="148"/>
      <c r="C90" s="148"/>
      <c r="D90" s="148"/>
      <c r="E90" s="173"/>
      <c r="F90" s="173"/>
      <c r="G90" s="173"/>
      <c r="H90" s="246"/>
    </row>
    <row r="91" spans="1:8" x14ac:dyDescent="0.2">
      <c r="A91" s="148"/>
      <c r="B91" s="148"/>
      <c r="C91" s="148" t="s">
        <v>389</v>
      </c>
      <c r="D91" s="148"/>
      <c r="E91" s="173"/>
      <c r="F91" s="173"/>
      <c r="G91" s="173"/>
      <c r="H91" s="246"/>
    </row>
    <row r="92" spans="1:8" x14ac:dyDescent="0.2">
      <c r="A92" s="148"/>
      <c r="B92" s="148"/>
      <c r="C92" s="148" t="s">
        <v>472</v>
      </c>
      <c r="D92" s="148" t="s">
        <v>473</v>
      </c>
      <c r="E92" s="173">
        <v>62735082.86999999</v>
      </c>
      <c r="F92" s="173">
        <v>7368438.4739488</v>
      </c>
      <c r="G92" s="173">
        <v>55366644.396051191</v>
      </c>
      <c r="H92" s="246"/>
    </row>
    <row r="93" spans="1:8" x14ac:dyDescent="0.2">
      <c r="A93" s="148"/>
      <c r="B93" s="148"/>
      <c r="C93" s="148" t="s">
        <v>474</v>
      </c>
      <c r="D93" s="148" t="s">
        <v>475</v>
      </c>
      <c r="E93" s="173">
        <v>-20271975.780000001</v>
      </c>
      <c r="F93" s="173">
        <v>-2526442.0295370002</v>
      </c>
      <c r="G93" s="173">
        <v>-17745533.750463001</v>
      </c>
      <c r="H93" s="246"/>
    </row>
    <row r="94" spans="1:8" x14ac:dyDescent="0.2">
      <c r="A94" s="148"/>
      <c r="B94" s="148"/>
      <c r="C94" s="148" t="s">
        <v>476</v>
      </c>
      <c r="D94" s="148" t="s">
        <v>477</v>
      </c>
      <c r="E94" s="173">
        <v>3182476.4</v>
      </c>
      <c r="F94" s="173">
        <v>356755.60443999991</v>
      </c>
      <c r="G94" s="173">
        <v>2825720.79556</v>
      </c>
      <c r="H94" s="246"/>
    </row>
    <row r="95" spans="1:8" x14ac:dyDescent="0.2">
      <c r="A95" s="148"/>
      <c r="B95" s="148"/>
      <c r="C95" s="148" t="s">
        <v>478</v>
      </c>
      <c r="D95" s="148" t="s">
        <v>479</v>
      </c>
      <c r="E95" s="173">
        <v>267744.71999999997</v>
      </c>
      <c r="F95" s="173">
        <v>30014.123111999994</v>
      </c>
      <c r="G95" s="173">
        <v>237730.59688799997</v>
      </c>
      <c r="H95" s="246"/>
    </row>
    <row r="96" spans="1:8" x14ac:dyDescent="0.2">
      <c r="A96" s="148"/>
      <c r="B96" s="148"/>
      <c r="C96" s="148" t="s">
        <v>480</v>
      </c>
      <c r="D96" s="148" t="s">
        <v>481</v>
      </c>
      <c r="E96" s="173">
        <v>4898086.389999995</v>
      </c>
      <c r="F96" s="173">
        <v>1826251.0834637992</v>
      </c>
      <c r="G96" s="173">
        <v>3071835.3065361958</v>
      </c>
      <c r="H96" s="246"/>
    </row>
    <row r="97" spans="1:8" x14ac:dyDescent="0.2">
      <c r="A97" s="148"/>
      <c r="B97" s="148"/>
      <c r="C97" s="148" t="s">
        <v>482</v>
      </c>
      <c r="D97" s="148" t="s">
        <v>483</v>
      </c>
      <c r="E97" s="173">
        <v>0</v>
      </c>
      <c r="F97" s="173">
        <v>0</v>
      </c>
      <c r="G97" s="173">
        <v>0</v>
      </c>
      <c r="H97" s="246"/>
    </row>
    <row r="98" spans="1:8" x14ac:dyDescent="0.2">
      <c r="A98" s="148"/>
      <c r="B98" s="148"/>
      <c r="C98" s="148" t="s">
        <v>484</v>
      </c>
      <c r="D98" s="148" t="s">
        <v>485</v>
      </c>
      <c r="E98" s="173">
        <v>3226982.92</v>
      </c>
      <c r="F98" s="173">
        <v>361744.78533199994</v>
      </c>
      <c r="G98" s="173">
        <v>2865238.134668</v>
      </c>
    </row>
    <row r="99" spans="1:8" x14ac:dyDescent="0.2">
      <c r="A99" s="148"/>
      <c r="B99" s="148"/>
      <c r="C99" s="148" t="s">
        <v>486</v>
      </c>
      <c r="D99" s="148" t="s">
        <v>431</v>
      </c>
      <c r="E99" s="173">
        <v>4775371.9099999992</v>
      </c>
      <c r="F99" s="173">
        <v>529184.17018899985</v>
      </c>
      <c r="G99" s="173">
        <v>4246187.7398109995</v>
      </c>
      <c r="H99" s="246"/>
    </row>
    <row r="100" spans="1:8" x14ac:dyDescent="0.2">
      <c r="A100" s="148"/>
      <c r="B100" s="148"/>
      <c r="C100" s="148"/>
      <c r="D100" s="148"/>
      <c r="E100" s="173"/>
      <c r="F100" s="173"/>
      <c r="G100" s="173"/>
      <c r="H100" s="246"/>
    </row>
    <row r="101" spans="1:8" x14ac:dyDescent="0.2">
      <c r="A101" s="148"/>
      <c r="B101" s="148"/>
      <c r="C101" s="148" t="s">
        <v>398</v>
      </c>
      <c r="D101" s="148"/>
      <c r="E101" s="173"/>
      <c r="F101" s="173"/>
      <c r="G101" s="173"/>
      <c r="H101" s="246"/>
    </row>
    <row r="102" spans="1:8" x14ac:dyDescent="0.2">
      <c r="A102" s="148"/>
      <c r="B102" s="148"/>
      <c r="C102" s="148" t="s">
        <v>487</v>
      </c>
      <c r="D102" s="148" t="s">
        <v>488</v>
      </c>
      <c r="E102" s="173">
        <v>3990022.01</v>
      </c>
      <c r="F102" s="173">
        <v>433139.84969399992</v>
      </c>
      <c r="G102" s="173">
        <v>3556882.1603059997</v>
      </c>
      <c r="H102" s="246"/>
    </row>
    <row r="103" spans="1:8" x14ac:dyDescent="0.2">
      <c r="A103" s="148"/>
      <c r="B103" s="148"/>
      <c r="C103" s="148"/>
      <c r="D103" s="148"/>
      <c r="E103" s="168"/>
      <c r="F103" s="168"/>
      <c r="G103" s="168"/>
      <c r="H103" s="246"/>
    </row>
    <row r="104" spans="1:8" x14ac:dyDescent="0.2">
      <c r="A104" s="148"/>
      <c r="B104" s="148"/>
      <c r="C104" s="148"/>
      <c r="D104" s="148" t="s">
        <v>489</v>
      </c>
      <c r="E104" s="173">
        <v>62803791.439999975</v>
      </c>
      <c r="F104" s="173">
        <v>8379086.0606425973</v>
      </c>
      <c r="G104" s="173">
        <v>54424705.37935739</v>
      </c>
      <c r="H104" s="246"/>
    </row>
    <row r="105" spans="1:8" x14ac:dyDescent="0.2">
      <c r="A105" s="148"/>
      <c r="B105" s="148"/>
      <c r="C105" s="148"/>
      <c r="D105" s="148"/>
      <c r="E105" s="168"/>
      <c r="F105" s="168"/>
      <c r="G105" s="168"/>
      <c r="H105" s="246"/>
    </row>
    <row r="106" spans="1:8" ht="15.75" thickBot="1" x14ac:dyDescent="0.25">
      <c r="A106" s="148"/>
      <c r="B106" s="148"/>
      <c r="C106" s="148"/>
      <c r="D106" s="148" t="s">
        <v>490</v>
      </c>
      <c r="E106" s="490">
        <v>154823906.44999996</v>
      </c>
      <c r="F106" s="490">
        <v>17698304.627559867</v>
      </c>
      <c r="G106" s="490">
        <v>137125601.82244012</v>
      </c>
    </row>
    <row r="107" spans="1:8" ht="15.75" thickTop="1" x14ac:dyDescent="0.2">
      <c r="A107" s="148"/>
      <c r="B107" s="148"/>
      <c r="C107" s="148"/>
      <c r="D107" s="148"/>
      <c r="E107" s="165"/>
      <c r="F107" s="165"/>
      <c r="G107" s="165"/>
    </row>
    <row r="108" spans="1:8" x14ac:dyDescent="0.2">
      <c r="D108" s="245" t="s">
        <v>807</v>
      </c>
      <c r="F108" s="493">
        <f>+F106/E106</f>
        <v>0.11431247947018761</v>
      </c>
      <c r="G108" s="493">
        <f>+G106/E106</f>
        <v>0.88568752052981259</v>
      </c>
    </row>
    <row r="110" spans="1:8" x14ac:dyDescent="0.2">
      <c r="A110" s="245" t="s">
        <v>797</v>
      </c>
      <c r="B110" s="375" t="s">
        <v>798</v>
      </c>
      <c r="C110" s="376"/>
      <c r="D110" s="376"/>
    </row>
    <row r="111" spans="1:8" x14ac:dyDescent="0.2">
      <c r="B111" s="375" t="s">
        <v>683</v>
      </c>
      <c r="C111" s="376"/>
      <c r="D111" s="376"/>
    </row>
    <row r="112" spans="1:8" x14ac:dyDescent="0.2">
      <c r="B112" s="245" t="s">
        <v>799</v>
      </c>
    </row>
  </sheetData>
  <phoneticPr fontId="4" type="noConversion"/>
  <printOptions horizontalCentered="1"/>
  <pageMargins left="0.75" right="0.75" top="1" bottom="1" header="0.5" footer="0.5"/>
  <pageSetup scale="71" fitToHeight="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50"/>
  <sheetViews>
    <sheetView zoomScaleNormal="100" workbookViewId="0">
      <selection activeCell="E28" sqref="E28"/>
    </sheetView>
  </sheetViews>
  <sheetFormatPr defaultColWidth="9.140625" defaultRowHeight="15" x14ac:dyDescent="0.2"/>
  <cols>
    <col min="1" max="1" width="6.85546875" style="2" customWidth="1"/>
    <col min="2" max="2" width="3.7109375" style="2" customWidth="1"/>
    <col min="3" max="3" width="24.85546875" style="2" customWidth="1"/>
    <col min="4" max="7" width="14.7109375" style="2" customWidth="1"/>
    <col min="8" max="8" width="18.7109375" style="2" customWidth="1"/>
    <col min="9" max="9" width="9.140625" style="2"/>
    <col min="10" max="10" width="36.85546875" style="2" bestFit="1" customWidth="1"/>
    <col min="11" max="11" width="13.28515625" style="2" customWidth="1"/>
    <col min="12" max="16384" width="9.140625" style="2"/>
  </cols>
  <sheetData>
    <row r="1" spans="1:10" x14ac:dyDescent="0.2">
      <c r="A1" s="54" t="str">
        <f>+'KSM-2 p1 - Rev Req'!A1</f>
        <v>NW Natural</v>
      </c>
    </row>
    <row r="2" spans="1:10" x14ac:dyDescent="0.2">
      <c r="A2" s="54" t="str">
        <f>+'KSM-2 p1 - Rev Req'!A2</f>
        <v>Washington Rate Case</v>
      </c>
    </row>
    <row r="3" spans="1:10" x14ac:dyDescent="0.2">
      <c r="A3" s="54" t="str">
        <f>+'KSM-3 p1 - Test Year Results'!A3</f>
        <v>Test Year Based on Twelve Months Ended September 30, 2018</v>
      </c>
    </row>
    <row r="4" spans="1:10" x14ac:dyDescent="0.2">
      <c r="A4" s="54" t="s">
        <v>318</v>
      </c>
    </row>
    <row r="6" spans="1:10" x14ac:dyDescent="0.2">
      <c r="A6" s="23" t="s">
        <v>17</v>
      </c>
      <c r="C6" s="54"/>
      <c r="D6" s="54"/>
      <c r="E6" s="96" t="s">
        <v>10</v>
      </c>
      <c r="F6" s="96" t="s">
        <v>11</v>
      </c>
      <c r="G6" s="96" t="s">
        <v>9</v>
      </c>
      <c r="H6" s="97" t="s">
        <v>319</v>
      </c>
      <c r="J6" s="501" t="s">
        <v>837</v>
      </c>
    </row>
    <row r="7" spans="1:10" x14ac:dyDescent="0.2">
      <c r="A7" s="98" t="s">
        <v>33</v>
      </c>
      <c r="C7" s="74"/>
      <c r="D7" s="54"/>
      <c r="E7" s="74"/>
      <c r="F7" s="74"/>
      <c r="G7" s="74"/>
      <c r="H7" s="97"/>
    </row>
    <row r="8" spans="1:10" x14ac:dyDescent="0.2">
      <c r="B8" s="74" t="s">
        <v>257</v>
      </c>
      <c r="C8" s="74"/>
      <c r="D8" s="54"/>
      <c r="E8" s="74"/>
      <c r="F8" s="74"/>
      <c r="G8" s="74"/>
      <c r="H8" s="97"/>
    </row>
    <row r="9" spans="1:10" x14ac:dyDescent="0.2">
      <c r="A9" s="23">
        <v>1</v>
      </c>
      <c r="C9" s="74" t="s">
        <v>306</v>
      </c>
      <c r="D9" s="54"/>
      <c r="E9" s="30">
        <f>+'KSM-4 p7 - Misc Rev Adjs'!P18</f>
        <v>54150</v>
      </c>
      <c r="F9" s="30">
        <f>+'KSM-4 p7 - Misc Rev Adjs'!Q18</f>
        <v>555055.90999999992</v>
      </c>
      <c r="G9" s="30">
        <f>+E9+F9</f>
        <v>609205.90999999992</v>
      </c>
      <c r="H9" s="99" t="s">
        <v>111</v>
      </c>
      <c r="J9" s="2" t="s">
        <v>532</v>
      </c>
    </row>
    <row r="10" spans="1:10" x14ac:dyDescent="0.2">
      <c r="A10" s="23">
        <f t="shared" ref="A10:A18" si="0">+A9+1</f>
        <v>2</v>
      </c>
      <c r="C10" s="74" t="s">
        <v>307</v>
      </c>
      <c r="D10" s="54"/>
      <c r="E10" s="30">
        <f>+'KSM-4 p7 - Misc Rev Adjs'!P19</f>
        <v>89244.34</v>
      </c>
      <c r="F10" s="30">
        <f>+'KSM-4 p7 - Misc Rev Adjs'!Q19</f>
        <v>1952953.45</v>
      </c>
      <c r="G10" s="30">
        <f t="shared" ref="G10:G16" si="1">+E10+F10</f>
        <v>2042197.79</v>
      </c>
      <c r="H10" s="99" t="s">
        <v>111</v>
      </c>
      <c r="J10" s="2" t="s">
        <v>532</v>
      </c>
    </row>
    <row r="11" spans="1:10" x14ac:dyDescent="0.2">
      <c r="A11" s="23">
        <f t="shared" si="0"/>
        <v>3</v>
      </c>
      <c r="C11" s="74" t="s">
        <v>308</v>
      </c>
      <c r="D11" s="54"/>
      <c r="E11" s="30">
        <f>+'KSM-4 p7 - Misc Rev Adjs'!P20</f>
        <v>5722.5</v>
      </c>
      <c r="F11" s="30">
        <f>+'KSM-4 p7 - Misc Rev Adjs'!Q20</f>
        <v>34640</v>
      </c>
      <c r="G11" s="30">
        <f t="shared" si="1"/>
        <v>40362.5</v>
      </c>
      <c r="H11" s="99" t="s">
        <v>111</v>
      </c>
      <c r="J11" s="2" t="s">
        <v>532</v>
      </c>
    </row>
    <row r="12" spans="1:10" x14ac:dyDescent="0.2">
      <c r="A12" s="23">
        <f t="shared" si="0"/>
        <v>4</v>
      </c>
      <c r="C12" s="74" t="s">
        <v>309</v>
      </c>
      <c r="D12" s="54"/>
      <c r="E12" s="30">
        <f>+'KSM-4 p7 - Misc Rev Adjs'!P21</f>
        <v>11657.5</v>
      </c>
      <c r="F12" s="30">
        <f>+'KSM-4 p7 - Misc Rev Adjs'!Q21</f>
        <v>106545</v>
      </c>
      <c r="G12" s="30">
        <f t="shared" si="1"/>
        <v>118202.5</v>
      </c>
      <c r="H12" s="99" t="s">
        <v>111</v>
      </c>
      <c r="J12" s="2" t="s">
        <v>532</v>
      </c>
    </row>
    <row r="13" spans="1:10" x14ac:dyDescent="0.2">
      <c r="A13" s="23">
        <f t="shared" si="0"/>
        <v>5</v>
      </c>
      <c r="C13" s="74" t="s">
        <v>310</v>
      </c>
      <c r="D13" s="54"/>
      <c r="E13" s="30">
        <f>+'KSM-4 p7 - Misc Rev Adjs'!P22</f>
        <v>33220</v>
      </c>
      <c r="F13" s="30">
        <f>+'KSM-4 p7 - Misc Rev Adjs'!Q22</f>
        <v>346530</v>
      </c>
      <c r="G13" s="30">
        <f t="shared" si="1"/>
        <v>379750</v>
      </c>
      <c r="H13" s="99" t="s">
        <v>111</v>
      </c>
      <c r="J13" s="2" t="s">
        <v>532</v>
      </c>
    </row>
    <row r="14" spans="1:10" x14ac:dyDescent="0.2">
      <c r="A14" s="23">
        <f t="shared" si="0"/>
        <v>6</v>
      </c>
      <c r="C14" s="74" t="s">
        <v>311</v>
      </c>
      <c r="D14" s="54"/>
      <c r="E14" s="30">
        <f>+'KSM-4 p7 - Misc Rev Adjs'!P23</f>
        <v>18356.309999999998</v>
      </c>
      <c r="F14" s="30">
        <f>+'KSM-4 p7 - Misc Rev Adjs'!Q23</f>
        <v>169005.28</v>
      </c>
      <c r="G14" s="30">
        <f t="shared" si="1"/>
        <v>187361.59</v>
      </c>
      <c r="H14" s="99" t="s">
        <v>111</v>
      </c>
      <c r="J14" s="2" t="s">
        <v>532</v>
      </c>
    </row>
    <row r="15" spans="1:10" x14ac:dyDescent="0.2">
      <c r="A15" s="23">
        <f t="shared" si="0"/>
        <v>7</v>
      </c>
      <c r="C15" s="74" t="s">
        <v>312</v>
      </c>
      <c r="D15" s="54"/>
      <c r="E15" s="30">
        <f>+'KSM-4 p7 - Misc Rev Adjs'!P24</f>
        <v>74464.737622999979</v>
      </c>
      <c r="F15" s="30">
        <f>+'KSM-4 p7 - Misc Rev Adjs'!Q24</f>
        <v>715230.08237700001</v>
      </c>
      <c r="G15" s="30">
        <f t="shared" si="1"/>
        <v>789694.82</v>
      </c>
      <c r="H15" s="100" t="s">
        <v>324</v>
      </c>
      <c r="J15" s="2" t="s">
        <v>532</v>
      </c>
    </row>
    <row r="16" spans="1:10" x14ac:dyDescent="0.2">
      <c r="A16" s="23">
        <f t="shared" si="0"/>
        <v>8</v>
      </c>
      <c r="C16" s="74" t="s">
        <v>620</v>
      </c>
      <c r="D16" s="54"/>
      <c r="E16" s="35">
        <f>+'KSM-4 p7 - Misc Rev Adjs'!P25</f>
        <v>1983</v>
      </c>
      <c r="F16" s="35">
        <f>+'KSM-4 p7 - Misc Rev Adjs'!Q25</f>
        <v>377811.82</v>
      </c>
      <c r="G16" s="35">
        <f t="shared" si="1"/>
        <v>379794.82</v>
      </c>
      <c r="H16" s="99" t="s">
        <v>111</v>
      </c>
      <c r="J16" s="2" t="s">
        <v>532</v>
      </c>
    </row>
    <row r="17" spans="1:10" x14ac:dyDescent="0.2">
      <c r="A17" s="23">
        <f t="shared" si="0"/>
        <v>9</v>
      </c>
      <c r="C17" s="74" t="s">
        <v>694</v>
      </c>
      <c r="D17" s="54"/>
      <c r="E17" s="101">
        <f>+'KSM-4 p7 - Misc Rev Adjs'!C13</f>
        <v>-2337162.4599999995</v>
      </c>
      <c r="F17" s="101">
        <f>+G17-E17</f>
        <v>-17672.900000000373</v>
      </c>
      <c r="G17" s="101">
        <v>-2354835.36</v>
      </c>
      <c r="H17" s="99" t="s">
        <v>111</v>
      </c>
      <c r="J17" s="2" t="s">
        <v>794</v>
      </c>
    </row>
    <row r="18" spans="1:10" x14ac:dyDescent="0.2">
      <c r="A18" s="23">
        <f t="shared" si="0"/>
        <v>10</v>
      </c>
      <c r="C18" s="102" t="s">
        <v>313</v>
      </c>
      <c r="D18" s="54"/>
      <c r="E18" s="29">
        <f>SUM(E9:E17)</f>
        <v>-2048364.0723769995</v>
      </c>
      <c r="F18" s="29">
        <f>SUM(F9:F17)</f>
        <v>4240098.6423769994</v>
      </c>
      <c r="G18" s="29">
        <f>SUM(G9:G17)</f>
        <v>2191734.5699999998</v>
      </c>
      <c r="H18" s="99"/>
    </row>
    <row r="19" spans="1:10" x14ac:dyDescent="0.2">
      <c r="C19" s="74"/>
      <c r="D19" s="54"/>
      <c r="E19" s="33"/>
      <c r="F19" s="33"/>
      <c r="G19" s="33"/>
      <c r="H19" s="103"/>
    </row>
    <row r="20" spans="1:10" x14ac:dyDescent="0.2">
      <c r="B20" s="74" t="s">
        <v>185</v>
      </c>
      <c r="C20" s="74"/>
      <c r="D20" s="54"/>
      <c r="E20" s="33"/>
      <c r="F20" s="33"/>
      <c r="G20" s="29"/>
      <c r="H20" s="23"/>
    </row>
    <row r="21" spans="1:10" x14ac:dyDescent="0.2">
      <c r="A21" s="23">
        <f>+A18+1</f>
        <v>11</v>
      </c>
      <c r="C21" s="74" t="s">
        <v>314</v>
      </c>
      <c r="D21" s="54"/>
      <c r="E21" s="105">
        <v>1541124</v>
      </c>
      <c r="F21" s="106">
        <f>+G21-E21</f>
        <v>19739684.739999998</v>
      </c>
      <c r="G21" s="105">
        <v>21280808.739999998</v>
      </c>
      <c r="H21" s="99" t="s">
        <v>111</v>
      </c>
      <c r="J21" s="41" t="s">
        <v>878</v>
      </c>
    </row>
    <row r="22" spans="1:10" x14ac:dyDescent="0.2">
      <c r="A22" s="23">
        <f>+A21+1</f>
        <v>12</v>
      </c>
      <c r="C22" s="74" t="s">
        <v>315</v>
      </c>
      <c r="D22" s="54"/>
      <c r="E22" s="105">
        <v>2759453.359045567</v>
      </c>
      <c r="F22" s="106">
        <v>14839281.250954432</v>
      </c>
      <c r="G22" s="105">
        <f>+E22+F22</f>
        <v>17598734.609999999</v>
      </c>
      <c r="H22" s="99" t="s">
        <v>111</v>
      </c>
      <c r="J22" s="41" t="s">
        <v>878</v>
      </c>
    </row>
    <row r="23" spans="1:10" x14ac:dyDescent="0.2">
      <c r="A23" s="23">
        <f t="shared" ref="A23:A28" si="2">+A22+1</f>
        <v>13</v>
      </c>
      <c r="C23" s="74" t="s">
        <v>25</v>
      </c>
      <c r="D23" s="54"/>
      <c r="E23" s="30">
        <f>+G23*'KSM-3 p4 - Factors'!D16</f>
        <v>667911.73281353654</v>
      </c>
      <c r="F23" s="30">
        <f>+G23-E23</f>
        <v>5540837.2671864638</v>
      </c>
      <c r="G23" s="105">
        <v>6208749</v>
      </c>
      <c r="H23" s="100" t="s">
        <v>25</v>
      </c>
      <c r="J23" s="41" t="s">
        <v>878</v>
      </c>
    </row>
    <row r="24" spans="1:10" x14ac:dyDescent="0.2">
      <c r="A24" s="23">
        <f t="shared" si="2"/>
        <v>14</v>
      </c>
      <c r="C24" s="74" t="s">
        <v>316</v>
      </c>
      <c r="D24" s="54"/>
      <c r="E24" s="30">
        <v>147229.99</v>
      </c>
      <c r="F24" s="29">
        <v>1790395.18</v>
      </c>
      <c r="G24" s="105">
        <f>+E24+F24</f>
        <v>1937625.17</v>
      </c>
      <c r="H24" s="99" t="s">
        <v>111</v>
      </c>
      <c r="J24" s="41" t="s">
        <v>878</v>
      </c>
    </row>
    <row r="25" spans="1:10" x14ac:dyDescent="0.2">
      <c r="A25" s="23">
        <f t="shared" si="2"/>
        <v>15</v>
      </c>
      <c r="C25" s="74" t="s">
        <v>704</v>
      </c>
      <c r="D25" s="54"/>
      <c r="E25" s="30">
        <v>0</v>
      </c>
      <c r="F25" s="30">
        <v>854967.01</v>
      </c>
      <c r="G25" s="105">
        <f>+E25+F25</f>
        <v>854967.01</v>
      </c>
      <c r="H25" s="99" t="s">
        <v>111</v>
      </c>
      <c r="J25" s="41" t="s">
        <v>878</v>
      </c>
    </row>
    <row r="26" spans="1:10" x14ac:dyDescent="0.2">
      <c r="A26" s="23">
        <f t="shared" si="2"/>
        <v>16</v>
      </c>
      <c r="C26" s="54" t="s">
        <v>713</v>
      </c>
      <c r="E26" s="30">
        <v>0</v>
      </c>
      <c r="F26" s="30">
        <v>752182.84000000008</v>
      </c>
      <c r="G26" s="105">
        <f>+E26+F26</f>
        <v>752182.84000000008</v>
      </c>
      <c r="H26" s="99" t="s">
        <v>111</v>
      </c>
      <c r="J26" s="41" t="s">
        <v>878</v>
      </c>
    </row>
    <row r="27" spans="1:10" x14ac:dyDescent="0.2">
      <c r="A27" s="23">
        <f t="shared" si="2"/>
        <v>17</v>
      </c>
      <c r="C27" s="74" t="s">
        <v>228</v>
      </c>
      <c r="D27" s="54"/>
      <c r="E27" s="66">
        <v>113632.75245</v>
      </c>
      <c r="F27" s="66">
        <v>162151.22754999998</v>
      </c>
      <c r="G27" s="107">
        <f>+E27+F27</f>
        <v>275783.98</v>
      </c>
      <c r="H27" s="99" t="s">
        <v>703</v>
      </c>
      <c r="J27" s="41" t="s">
        <v>878</v>
      </c>
    </row>
    <row r="28" spans="1:10" x14ac:dyDescent="0.2">
      <c r="A28" s="23">
        <f t="shared" si="2"/>
        <v>18</v>
      </c>
      <c r="C28" s="102" t="s">
        <v>185</v>
      </c>
      <c r="D28" s="54"/>
      <c r="E28" s="29">
        <f>SUM(E21:E27)</f>
        <v>5229351.834309103</v>
      </c>
      <c r="F28" s="29">
        <f>SUM(F21:F27)</f>
        <v>43679499.515690893</v>
      </c>
      <c r="G28" s="29">
        <f>SUM(G21:G27)</f>
        <v>48908851.349999994</v>
      </c>
      <c r="H28" s="99"/>
    </row>
    <row r="29" spans="1:10" x14ac:dyDescent="0.2">
      <c r="C29" s="54"/>
      <c r="E29" s="104"/>
      <c r="F29" s="104"/>
      <c r="G29" s="104"/>
      <c r="H29" s="23"/>
    </row>
    <row r="30" spans="1:10" x14ac:dyDescent="0.2">
      <c r="B30" s="108" t="s">
        <v>317</v>
      </c>
      <c r="C30" s="108"/>
      <c r="D30" s="41"/>
      <c r="F30" s="41"/>
      <c r="G30" s="41"/>
      <c r="H30" s="41"/>
    </row>
    <row r="31" spans="1:10" x14ac:dyDescent="0.2">
      <c r="A31" s="23">
        <f>+A28+1</f>
        <v>19</v>
      </c>
      <c r="B31" s="108"/>
      <c r="C31" s="108" t="s">
        <v>542</v>
      </c>
      <c r="E31" s="137">
        <v>328852.00234800013</v>
      </c>
      <c r="F31" s="137">
        <v>2617850.5276520001</v>
      </c>
      <c r="G31" s="137">
        <v>2946702.5300000003</v>
      </c>
      <c r="H31" s="399" t="s">
        <v>698</v>
      </c>
      <c r="J31" s="41" t="s">
        <v>876</v>
      </c>
    </row>
    <row r="32" spans="1:10" x14ac:dyDescent="0.2">
      <c r="A32" s="23">
        <f t="shared" ref="A32:A40" si="3">+A31+1</f>
        <v>20</v>
      </c>
      <c r="B32" s="108"/>
      <c r="C32" s="108" t="s">
        <v>543</v>
      </c>
      <c r="E32" s="137">
        <v>0</v>
      </c>
      <c r="F32" s="137">
        <v>0</v>
      </c>
      <c r="G32" s="137">
        <v>0</v>
      </c>
      <c r="H32" s="399" t="s">
        <v>111</v>
      </c>
      <c r="J32" s="41" t="s">
        <v>876</v>
      </c>
    </row>
    <row r="33" spans="1:11" x14ac:dyDescent="0.2">
      <c r="A33" s="23">
        <f t="shared" si="3"/>
        <v>21</v>
      </c>
      <c r="B33" s="108"/>
      <c r="C33" s="108" t="s">
        <v>192</v>
      </c>
      <c r="E33" s="137">
        <v>0</v>
      </c>
      <c r="F33" s="137">
        <v>-0.01</v>
      </c>
      <c r="G33" s="137">
        <v>-0.01</v>
      </c>
      <c r="H33" s="399" t="s">
        <v>111</v>
      </c>
      <c r="J33" s="41" t="s">
        <v>876</v>
      </c>
    </row>
    <row r="34" spans="1:11" x14ac:dyDescent="0.2">
      <c r="A34" s="23">
        <f t="shared" si="3"/>
        <v>22</v>
      </c>
      <c r="B34" s="108"/>
      <c r="C34" s="108" t="s">
        <v>193</v>
      </c>
      <c r="E34" s="137">
        <v>22855.56</v>
      </c>
      <c r="F34" s="137">
        <v>5002725.6000000015</v>
      </c>
      <c r="G34" s="137">
        <v>5025581.1600000011</v>
      </c>
      <c r="H34" s="399" t="s">
        <v>111</v>
      </c>
      <c r="J34" s="41" t="s">
        <v>876</v>
      </c>
    </row>
    <row r="35" spans="1:11" x14ac:dyDescent="0.2">
      <c r="A35" s="23">
        <f t="shared" si="3"/>
        <v>23</v>
      </c>
      <c r="B35" s="108"/>
      <c r="C35" s="108" t="s">
        <v>194</v>
      </c>
      <c r="E35" s="137">
        <v>7311854.9399999995</v>
      </c>
      <c r="F35" s="137">
        <v>50917777.290000007</v>
      </c>
      <c r="G35" s="137">
        <v>58229632.230000004</v>
      </c>
      <c r="H35" s="399" t="s">
        <v>111</v>
      </c>
      <c r="J35" s="41" t="s">
        <v>876</v>
      </c>
    </row>
    <row r="36" spans="1:11" x14ac:dyDescent="0.2">
      <c r="A36" s="23">
        <f t="shared" si="3"/>
        <v>24</v>
      </c>
      <c r="B36" s="108"/>
      <c r="C36" s="108" t="s">
        <v>208</v>
      </c>
      <c r="E36" s="137">
        <v>850935.77032499958</v>
      </c>
      <c r="F36" s="137">
        <v>6739927.4796749987</v>
      </c>
      <c r="G36" s="137">
        <v>7590863.2499999981</v>
      </c>
      <c r="H36" s="400" t="s">
        <v>699</v>
      </c>
      <c r="J36" s="41" t="s">
        <v>876</v>
      </c>
    </row>
    <row r="37" spans="1:11" x14ac:dyDescent="0.2">
      <c r="A37" s="23">
        <f t="shared" si="3"/>
        <v>25</v>
      </c>
      <c r="B37" s="108"/>
      <c r="C37" s="108" t="s">
        <v>696</v>
      </c>
      <c r="E37" s="137">
        <v>107220.26314643772</v>
      </c>
      <c r="F37" s="137">
        <v>1070520.8768535624</v>
      </c>
      <c r="G37" s="137">
        <v>1177741.1400000001</v>
      </c>
      <c r="H37" s="401" t="s">
        <v>700</v>
      </c>
      <c r="J37" s="41" t="s">
        <v>876</v>
      </c>
    </row>
    <row r="38" spans="1:11" x14ac:dyDescent="0.2">
      <c r="A38" s="23">
        <f t="shared" si="3"/>
        <v>26</v>
      </c>
      <c r="B38" s="110"/>
      <c r="C38" s="108" t="s">
        <v>229</v>
      </c>
      <c r="E38" s="137">
        <v>700659.24756799964</v>
      </c>
      <c r="F38" s="137">
        <v>6881517.792431999</v>
      </c>
      <c r="G38" s="137">
        <v>7582177.0399999991</v>
      </c>
      <c r="H38" s="399" t="s">
        <v>701</v>
      </c>
      <c r="J38" s="41" t="s">
        <v>876</v>
      </c>
    </row>
    <row r="39" spans="1:11" x14ac:dyDescent="0.2">
      <c r="A39" s="23">
        <f t="shared" si="3"/>
        <v>27</v>
      </c>
      <c r="B39" s="108"/>
      <c r="C39" s="108" t="s">
        <v>325</v>
      </c>
      <c r="E39" s="129">
        <v>3557.3231079999996</v>
      </c>
      <c r="F39" s="129">
        <v>28176.156892000003</v>
      </c>
      <c r="G39" s="129">
        <v>31733.480000000003</v>
      </c>
      <c r="H39" s="400" t="s">
        <v>699</v>
      </c>
      <c r="J39" s="41" t="s">
        <v>876</v>
      </c>
    </row>
    <row r="40" spans="1:11" x14ac:dyDescent="0.2">
      <c r="A40" s="23">
        <f t="shared" si="3"/>
        <v>28</v>
      </c>
      <c r="C40" s="54" t="s">
        <v>697</v>
      </c>
      <c r="E40" s="137">
        <v>9325935.1064954381</v>
      </c>
      <c r="F40" s="137">
        <v>73258495.713504568</v>
      </c>
      <c r="G40" s="137">
        <v>82584430.820000008</v>
      </c>
      <c r="J40" s="397"/>
      <c r="K40" s="398"/>
    </row>
    <row r="41" spans="1:11" x14ac:dyDescent="0.2">
      <c r="A41" s="23"/>
      <c r="J41" s="397"/>
      <c r="K41" s="398"/>
    </row>
    <row r="42" spans="1:11" x14ac:dyDescent="0.2">
      <c r="A42" s="23"/>
      <c r="B42" s="54" t="s">
        <v>621</v>
      </c>
      <c r="G42" s="23"/>
    </row>
    <row r="43" spans="1:11" x14ac:dyDescent="0.2">
      <c r="A43" s="23">
        <f>+A40+1</f>
        <v>29</v>
      </c>
      <c r="C43" s="54" t="s">
        <v>603</v>
      </c>
      <c r="E43" s="29">
        <v>17934916.686987024</v>
      </c>
      <c r="F43" s="30">
        <v>176291227.76301301</v>
      </c>
      <c r="G43" s="30">
        <v>194226144.45000002</v>
      </c>
      <c r="J43" s="41" t="s">
        <v>877</v>
      </c>
    </row>
    <row r="44" spans="1:11" x14ac:dyDescent="0.2">
      <c r="A44" s="23">
        <f t="shared" ref="A44:A49" si="4">+A43+1</f>
        <v>30</v>
      </c>
      <c r="C44" s="54" t="s">
        <v>604</v>
      </c>
      <c r="E44" s="29">
        <v>1921134.0599999996</v>
      </c>
      <c r="F44" s="30">
        <v>14110567.839999998</v>
      </c>
      <c r="G44" s="30">
        <v>16031701.899999999</v>
      </c>
      <c r="J44" s="41" t="s">
        <v>877</v>
      </c>
    </row>
    <row r="45" spans="1:11" x14ac:dyDescent="0.2">
      <c r="A45" s="23">
        <f t="shared" si="4"/>
        <v>31</v>
      </c>
      <c r="C45" s="54" t="s">
        <v>605</v>
      </c>
      <c r="E45" s="29">
        <v>8258451.6835999945</v>
      </c>
      <c r="F45" s="30">
        <v>70495465.40640001</v>
      </c>
      <c r="G45" s="30">
        <v>78753917.090000004</v>
      </c>
      <c r="J45" s="41" t="s">
        <v>877</v>
      </c>
    </row>
    <row r="46" spans="1:11" x14ac:dyDescent="0.2">
      <c r="A46" s="23">
        <f t="shared" si="4"/>
        <v>32</v>
      </c>
      <c r="C46" s="54" t="s">
        <v>606</v>
      </c>
      <c r="E46" s="29">
        <v>512245.37999999983</v>
      </c>
      <c r="F46" s="30">
        <v>4362862.53</v>
      </c>
      <c r="G46" s="30">
        <v>4875107.91</v>
      </c>
      <c r="J46" s="41" t="s">
        <v>877</v>
      </c>
    </row>
    <row r="47" spans="1:11" x14ac:dyDescent="0.2">
      <c r="A47" s="23">
        <f t="shared" si="4"/>
        <v>33</v>
      </c>
      <c r="C47" s="54" t="s">
        <v>607</v>
      </c>
      <c r="E47" s="29">
        <v>-2854665.26</v>
      </c>
      <c r="F47" s="30">
        <v>-14665139.009999998</v>
      </c>
      <c r="G47" s="30">
        <v>-17519804.269999996</v>
      </c>
      <c r="J47" s="41" t="s">
        <v>877</v>
      </c>
    </row>
    <row r="48" spans="1:11" x14ac:dyDescent="0.2">
      <c r="A48" s="23">
        <f t="shared" si="4"/>
        <v>34</v>
      </c>
      <c r="C48" s="54" t="s">
        <v>608</v>
      </c>
      <c r="E48" s="66"/>
      <c r="F48" s="101"/>
      <c r="G48" s="101">
        <v>661882.18999999994</v>
      </c>
      <c r="J48" s="41" t="s">
        <v>877</v>
      </c>
    </row>
    <row r="49" spans="1:7" x14ac:dyDescent="0.2">
      <c r="A49" s="23">
        <f t="shared" si="4"/>
        <v>35</v>
      </c>
      <c r="C49" s="225" t="s">
        <v>622</v>
      </c>
      <c r="E49" s="30">
        <v>25772082.550587013</v>
      </c>
      <c r="F49" s="30">
        <v>250594984.52941301</v>
      </c>
      <c r="G49" s="30">
        <v>277028949.2700001</v>
      </c>
    </row>
    <row r="50" spans="1:7" x14ac:dyDescent="0.2">
      <c r="E50" s="25"/>
      <c r="F50" s="25"/>
      <c r="G50" s="207"/>
    </row>
  </sheetData>
  <phoneticPr fontId="4" type="noConversion"/>
  <printOptions horizontalCentered="1"/>
  <pageMargins left="0.5" right="0.5" top="0.5" bottom="0.5" header="0.25" footer="0.25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K30"/>
  <sheetViews>
    <sheetView zoomScaleNormal="100" workbookViewId="0">
      <selection activeCell="D16" sqref="D16"/>
    </sheetView>
  </sheetViews>
  <sheetFormatPr defaultColWidth="9.140625" defaultRowHeight="15" x14ac:dyDescent="0.2"/>
  <cols>
    <col min="1" max="1" width="4.7109375" style="54" customWidth="1"/>
    <col min="2" max="2" width="36.7109375" style="54" customWidth="1"/>
    <col min="3" max="4" width="16.7109375" style="2" customWidth="1"/>
    <col min="5" max="5" width="9.140625" style="2"/>
    <col min="6" max="6" width="36" style="2" customWidth="1"/>
    <col min="7" max="16384" width="9.140625" style="2"/>
  </cols>
  <sheetData>
    <row r="1" spans="1:11" x14ac:dyDescent="0.2">
      <c r="A1" s="42" t="s">
        <v>201</v>
      </c>
      <c r="B1" s="43"/>
      <c r="C1" s="44" t="s">
        <v>11</v>
      </c>
      <c r="D1" s="44" t="s">
        <v>10</v>
      </c>
      <c r="F1" s="500" t="s">
        <v>837</v>
      </c>
    </row>
    <row r="2" spans="1:11" x14ac:dyDescent="0.2">
      <c r="A2" s="45"/>
      <c r="B2" s="46"/>
      <c r="C2" s="47"/>
      <c r="D2" s="48"/>
    </row>
    <row r="3" spans="1:11" x14ac:dyDescent="0.2">
      <c r="A3" s="45"/>
      <c r="B3" s="31" t="s">
        <v>55</v>
      </c>
      <c r="C3" s="49">
        <v>0.88839999999999997</v>
      </c>
      <c r="D3" s="49">
        <v>0.11160000000000003</v>
      </c>
      <c r="F3" s="2" t="s">
        <v>862</v>
      </c>
      <c r="G3" s="318"/>
      <c r="H3" s="318"/>
      <c r="I3" s="318"/>
      <c r="J3" s="318"/>
      <c r="K3" s="419"/>
    </row>
    <row r="4" spans="1:11" x14ac:dyDescent="0.2">
      <c r="A4" s="45"/>
      <c r="B4" s="31" t="s">
        <v>534</v>
      </c>
      <c r="C4" s="49">
        <v>0.88729999999999998</v>
      </c>
      <c r="D4" s="49">
        <v>0.11270000000000002</v>
      </c>
      <c r="F4" s="318"/>
      <c r="G4" s="318"/>
      <c r="H4" s="318"/>
      <c r="I4" s="318"/>
      <c r="J4" s="318"/>
      <c r="K4" s="419"/>
    </row>
    <row r="5" spans="1:11" x14ac:dyDescent="0.2">
      <c r="A5" s="45"/>
      <c r="B5" s="31" t="s">
        <v>535</v>
      </c>
      <c r="C5" s="49">
        <v>0.89880000000000004</v>
      </c>
      <c r="D5" s="49">
        <v>0.10119999999999996</v>
      </c>
      <c r="F5" s="318"/>
      <c r="G5" s="318"/>
      <c r="H5" s="318"/>
      <c r="I5" s="318"/>
      <c r="J5" s="318"/>
      <c r="K5" s="419"/>
    </row>
    <row r="6" spans="1:11" x14ac:dyDescent="0.2">
      <c r="A6" s="45"/>
      <c r="B6" s="31" t="s">
        <v>536</v>
      </c>
      <c r="C6" s="49">
        <v>0.91610000000000003</v>
      </c>
      <c r="D6" s="49">
        <v>8.3899999999999975E-2</v>
      </c>
      <c r="F6" s="318"/>
      <c r="G6" s="318"/>
      <c r="H6" s="318"/>
      <c r="I6" s="318"/>
      <c r="J6" s="318"/>
      <c r="K6" s="419"/>
    </row>
    <row r="7" spans="1:11" x14ac:dyDescent="0.2">
      <c r="A7" s="45"/>
      <c r="B7" s="31" t="s">
        <v>203</v>
      </c>
      <c r="C7" s="49">
        <v>0.74850000000000005</v>
      </c>
      <c r="D7" s="49">
        <v>0.25149999999999995</v>
      </c>
      <c r="F7" s="318"/>
      <c r="G7" s="318"/>
      <c r="H7" s="318"/>
      <c r="I7" s="318"/>
      <c r="J7" s="318"/>
      <c r="K7" s="419"/>
    </row>
    <row r="8" spans="1:11" x14ac:dyDescent="0.2">
      <c r="A8" s="45"/>
      <c r="B8" s="31" t="s">
        <v>105</v>
      </c>
      <c r="C8" s="49">
        <v>0.88790000000000002</v>
      </c>
      <c r="D8" s="49">
        <v>0.11209999999999998</v>
      </c>
      <c r="F8" s="318"/>
      <c r="G8" s="318"/>
      <c r="H8" s="318"/>
      <c r="I8" s="318"/>
      <c r="J8" s="318"/>
      <c r="K8" s="419"/>
    </row>
    <row r="9" spans="1:11" x14ac:dyDescent="0.2">
      <c r="A9" s="45"/>
      <c r="B9" s="31" t="s">
        <v>204</v>
      </c>
      <c r="C9" s="49">
        <v>0.89580000000000004</v>
      </c>
      <c r="D9" s="49">
        <v>0.10419999999999996</v>
      </c>
      <c r="F9" s="318"/>
      <c r="G9" s="318"/>
      <c r="H9" s="318"/>
      <c r="I9" s="318"/>
      <c r="J9" s="318"/>
      <c r="K9" s="419"/>
    </row>
    <row r="10" spans="1:11" x14ac:dyDescent="0.2">
      <c r="A10" s="45"/>
      <c r="B10" s="31" t="s">
        <v>205</v>
      </c>
      <c r="C10" s="49">
        <v>0.9012</v>
      </c>
      <c r="D10" s="49">
        <v>9.8799999999999999E-2</v>
      </c>
      <c r="F10" s="318"/>
      <c r="G10" s="318"/>
      <c r="H10" s="318"/>
      <c r="I10" s="318"/>
      <c r="J10" s="318"/>
      <c r="K10" s="419"/>
    </row>
    <row r="11" spans="1:11" x14ac:dyDescent="0.2">
      <c r="A11" s="45"/>
      <c r="B11" s="31" t="s">
        <v>206</v>
      </c>
      <c r="C11" s="49">
        <v>0.91639999999999999</v>
      </c>
      <c r="D11" s="49">
        <v>8.3600000000000008E-2</v>
      </c>
      <c r="F11" s="318"/>
      <c r="G11" s="318"/>
      <c r="H11" s="318"/>
      <c r="I11" s="318"/>
      <c r="J11" s="318"/>
      <c r="K11" s="419"/>
    </row>
    <row r="12" spans="1:11" x14ac:dyDescent="0.2">
      <c r="A12" s="45"/>
      <c r="B12" s="31" t="s">
        <v>207</v>
      </c>
      <c r="C12" s="49">
        <v>0.90880000000000005</v>
      </c>
      <c r="D12" s="49">
        <v>9.1199999999999948E-2</v>
      </c>
      <c r="F12" s="318"/>
      <c r="G12" s="318"/>
      <c r="H12" s="318"/>
      <c r="I12" s="318"/>
      <c r="J12" s="318"/>
      <c r="K12" s="419"/>
    </row>
    <row r="13" spans="1:11" x14ac:dyDescent="0.2">
      <c r="A13" s="45"/>
      <c r="B13" s="31" t="s">
        <v>537</v>
      </c>
      <c r="C13" s="49">
        <v>0.84709999999999996</v>
      </c>
      <c r="D13" s="49">
        <v>0.15290000000000004</v>
      </c>
      <c r="F13" s="318"/>
      <c r="G13" s="318"/>
      <c r="H13" s="318"/>
      <c r="I13" s="318"/>
      <c r="J13" s="318"/>
      <c r="K13" s="419"/>
    </row>
    <row r="14" spans="1:11" x14ac:dyDescent="0.2">
      <c r="A14" s="45"/>
      <c r="B14" s="31" t="s">
        <v>538</v>
      </c>
      <c r="C14" s="51">
        <v>0.87770000000000004</v>
      </c>
      <c r="D14" s="51">
        <v>0.12229999999999996</v>
      </c>
      <c r="F14" s="318"/>
      <c r="G14" s="318"/>
      <c r="H14" s="318"/>
      <c r="I14" s="318"/>
      <c r="J14" s="318"/>
      <c r="K14" s="419"/>
    </row>
    <row r="15" spans="1:11" x14ac:dyDescent="0.2">
      <c r="A15" s="45"/>
      <c r="B15" s="31" t="s">
        <v>539</v>
      </c>
      <c r="C15" s="51">
        <v>0.84989999999999999</v>
      </c>
      <c r="D15" s="51">
        <v>0.15010000000000001</v>
      </c>
      <c r="F15" s="318"/>
      <c r="G15" s="318"/>
      <c r="H15" s="318"/>
      <c r="I15" s="318"/>
      <c r="J15" s="318"/>
      <c r="K15" s="419"/>
    </row>
    <row r="16" spans="1:11" x14ac:dyDescent="0.2">
      <c r="A16" s="45"/>
      <c r="B16" s="31" t="s">
        <v>25</v>
      </c>
      <c r="C16" s="50">
        <v>0.89242923605103563</v>
      </c>
      <c r="D16" s="51">
        <v>0.10757589537176274</v>
      </c>
      <c r="F16" s="318"/>
      <c r="G16" s="318"/>
      <c r="H16" s="318"/>
      <c r="I16" s="318"/>
      <c r="J16" s="318"/>
      <c r="K16" s="419"/>
    </row>
    <row r="17" spans="1:11" x14ac:dyDescent="0.2">
      <c r="A17" s="45"/>
      <c r="B17" s="31" t="s">
        <v>540</v>
      </c>
      <c r="C17" s="50">
        <v>0.86973999999999996</v>
      </c>
      <c r="D17" s="51">
        <v>0.13026000000000004</v>
      </c>
      <c r="F17" s="318"/>
      <c r="G17" s="318"/>
      <c r="H17" s="318"/>
      <c r="I17" s="318"/>
      <c r="J17" s="318"/>
      <c r="K17" s="419"/>
    </row>
    <row r="18" spans="1:11" x14ac:dyDescent="0.2">
      <c r="A18" s="45"/>
      <c r="B18" s="1" t="s">
        <v>158</v>
      </c>
      <c r="C18" s="50">
        <v>0.88792000000000004</v>
      </c>
      <c r="D18" s="51">
        <v>0.11207999999999996</v>
      </c>
      <c r="F18" s="318"/>
      <c r="G18" s="318"/>
      <c r="H18" s="318"/>
      <c r="I18" s="318"/>
      <c r="J18" s="318"/>
      <c r="K18" s="419"/>
    </row>
    <row r="19" spans="1:11" x14ac:dyDescent="0.2">
      <c r="A19" s="45"/>
      <c r="B19" s="46" t="s">
        <v>209</v>
      </c>
      <c r="C19" s="51">
        <v>0.7</v>
      </c>
      <c r="D19" s="51">
        <v>0.30000000000000004</v>
      </c>
      <c r="F19" s="318"/>
      <c r="G19" s="318"/>
      <c r="H19" s="318"/>
      <c r="I19" s="318"/>
      <c r="J19" s="318"/>
      <c r="K19" s="419"/>
    </row>
    <row r="20" spans="1:11" x14ac:dyDescent="0.2">
      <c r="A20" s="45"/>
      <c r="B20" s="46" t="s">
        <v>210</v>
      </c>
      <c r="C20" s="51">
        <v>0.87234042553191493</v>
      </c>
      <c r="D20" s="49">
        <v>0.12765957446808507</v>
      </c>
      <c r="F20" s="318"/>
      <c r="G20" s="318"/>
      <c r="H20" s="318"/>
      <c r="I20" s="318"/>
      <c r="J20" s="318"/>
      <c r="K20" s="419"/>
    </row>
    <row r="21" spans="1:11" x14ac:dyDescent="0.2">
      <c r="A21" s="45"/>
      <c r="B21" s="31" t="s">
        <v>211</v>
      </c>
      <c r="C21" s="51">
        <v>0</v>
      </c>
      <c r="D21" s="49">
        <v>1</v>
      </c>
      <c r="F21" s="318"/>
      <c r="G21" s="318"/>
      <c r="H21" s="318"/>
      <c r="I21" s="318"/>
      <c r="J21" s="318"/>
      <c r="K21" s="419"/>
    </row>
    <row r="22" spans="1:11" x14ac:dyDescent="0.2">
      <c r="A22" s="45"/>
      <c r="B22" s="31" t="s">
        <v>212</v>
      </c>
      <c r="C22" s="51">
        <v>1</v>
      </c>
      <c r="D22" s="49">
        <v>0</v>
      </c>
      <c r="F22" s="318"/>
      <c r="G22" s="318"/>
      <c r="H22" s="318"/>
      <c r="I22" s="318"/>
      <c r="J22" s="318"/>
      <c r="K22" s="419"/>
    </row>
    <row r="23" spans="1:11" x14ac:dyDescent="0.2">
      <c r="A23" s="45"/>
      <c r="B23" s="46" t="s">
        <v>213</v>
      </c>
      <c r="C23" s="49">
        <v>0.88419999999999999</v>
      </c>
      <c r="D23" s="49">
        <v>0.11580000000000001</v>
      </c>
      <c r="F23" s="318"/>
      <c r="G23" s="318"/>
      <c r="H23" s="318"/>
      <c r="I23" s="318"/>
      <c r="J23" s="318"/>
      <c r="K23" s="419"/>
    </row>
    <row r="24" spans="1:11" x14ac:dyDescent="0.2">
      <c r="A24" s="45"/>
      <c r="B24" s="46" t="s">
        <v>193</v>
      </c>
      <c r="C24" s="49">
        <v>0.98860000000000003</v>
      </c>
      <c r="D24" s="49">
        <v>1.2E-2</v>
      </c>
      <c r="F24" s="318"/>
      <c r="G24" s="318"/>
      <c r="H24" s="318"/>
      <c r="I24" s="318"/>
      <c r="J24" s="318"/>
      <c r="K24" s="419"/>
    </row>
    <row r="25" spans="1:11" x14ac:dyDescent="0.2">
      <c r="A25" s="52"/>
      <c r="B25" s="53" t="s">
        <v>214</v>
      </c>
      <c r="C25" s="50">
        <v>0.88707393132221091</v>
      </c>
      <c r="D25" s="50">
        <v>0.11292606867778904</v>
      </c>
      <c r="F25" s="318"/>
      <c r="G25" s="318"/>
      <c r="H25" s="318"/>
      <c r="I25" s="318"/>
      <c r="J25" s="318"/>
      <c r="K25" s="419"/>
    </row>
    <row r="26" spans="1:11" x14ac:dyDescent="0.2">
      <c r="A26" s="52"/>
      <c r="B26" s="53" t="s">
        <v>191</v>
      </c>
      <c r="C26" s="50">
        <v>0.87988297503264945</v>
      </c>
      <c r="D26" s="50">
        <v>0.12011702496735058</v>
      </c>
      <c r="F26" s="318"/>
      <c r="G26" s="318"/>
      <c r="H26" s="318"/>
      <c r="I26" s="318"/>
      <c r="J26" s="318"/>
      <c r="K26" s="419"/>
    </row>
    <row r="27" spans="1:11" x14ac:dyDescent="0.2">
      <c r="B27" s="54" t="s">
        <v>194</v>
      </c>
      <c r="C27" s="55">
        <v>0.8736527232725414</v>
      </c>
      <c r="D27" s="55">
        <v>0.1263472767274586</v>
      </c>
      <c r="F27" s="318"/>
      <c r="G27" s="318"/>
      <c r="H27" s="318"/>
      <c r="I27" s="318"/>
      <c r="J27" s="318"/>
      <c r="K27" s="419"/>
    </row>
    <row r="28" spans="1:11" x14ac:dyDescent="0.2">
      <c r="B28" s="54" t="s">
        <v>541</v>
      </c>
      <c r="C28" s="55">
        <v>0.93478300000000003</v>
      </c>
      <c r="D28" s="55">
        <v>6.5216999999999997E-2</v>
      </c>
      <c r="F28" s="318"/>
      <c r="G28" s="318"/>
      <c r="H28" s="318"/>
      <c r="I28" s="318"/>
      <c r="J28" s="318"/>
      <c r="K28" s="419"/>
    </row>
    <row r="30" spans="1:11" x14ac:dyDescent="0.2">
      <c r="B30" s="54" t="s">
        <v>96</v>
      </c>
      <c r="D30" s="25">
        <f>+'KSM-3 p6 &amp; p7 - AMA Rate Base'!Q77/'KSM-3 p6 &amp; p7 - AMA Rate Base'!Q34</f>
        <v>0.10374888431519907</v>
      </c>
    </row>
  </sheetData>
  <phoneticPr fontId="0" type="noConversion"/>
  <printOptions horizontalCentered="1"/>
  <pageMargins left="0.5" right="0.5" top="0.5" bottom="0.5" header="0.25" footer="0.25"/>
  <pageSetup scale="66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I46"/>
  <sheetViews>
    <sheetView topLeftCell="A10" workbookViewId="0">
      <selection activeCell="E32" sqref="E32"/>
    </sheetView>
  </sheetViews>
  <sheetFormatPr defaultColWidth="9.140625" defaultRowHeight="15" x14ac:dyDescent="0.2"/>
  <cols>
    <col min="1" max="1" width="5.7109375" style="54" customWidth="1"/>
    <col min="2" max="2" width="45.7109375" style="54" customWidth="1"/>
    <col min="3" max="3" width="14.7109375" style="2" customWidth="1"/>
    <col min="4" max="4" width="12.28515625" style="2" customWidth="1"/>
    <col min="5" max="5" width="36.5703125" style="2" customWidth="1"/>
    <col min="6" max="6" width="4.140625" style="2" customWidth="1"/>
    <col min="7" max="7" width="5.7109375" style="2" customWidth="1"/>
    <col min="8" max="8" width="45.7109375" style="2" customWidth="1"/>
    <col min="9" max="9" width="14.7109375" style="2" customWidth="1"/>
    <col min="10" max="16384" width="9.140625" style="2"/>
  </cols>
  <sheetData>
    <row r="1" spans="1:9" s="54" customFormat="1" x14ac:dyDescent="0.2">
      <c r="A1" s="54" t="s">
        <v>0</v>
      </c>
    </row>
    <row r="2" spans="1:9" s="54" customFormat="1" x14ac:dyDescent="0.2">
      <c r="A2" s="54" t="str">
        <f>'KSM-4 p2 &amp; p3 - Adjust Issues'!A3</f>
        <v>Test Year Based on Twelve Months Ended September 30, 2018</v>
      </c>
    </row>
    <row r="3" spans="1:9" s="54" customFormat="1" x14ac:dyDescent="0.2">
      <c r="A3" s="54" t="s">
        <v>5</v>
      </c>
    </row>
    <row r="4" spans="1:9" s="54" customFormat="1" x14ac:dyDescent="0.2"/>
    <row r="5" spans="1:9" s="54" customFormat="1" x14ac:dyDescent="0.2">
      <c r="A5" s="524" t="s">
        <v>10</v>
      </c>
      <c r="B5" s="524"/>
      <c r="C5" s="524"/>
      <c r="G5" s="524" t="s">
        <v>9</v>
      </c>
      <c r="H5" s="524"/>
      <c r="I5" s="524"/>
    </row>
    <row r="6" spans="1:9" s="54" customFormat="1" x14ac:dyDescent="0.2"/>
    <row r="7" spans="1:9" s="54" customFormat="1" x14ac:dyDescent="0.2">
      <c r="A7" s="60" t="s">
        <v>17</v>
      </c>
      <c r="G7" s="60" t="s">
        <v>17</v>
      </c>
    </row>
    <row r="8" spans="1:9" s="54" customFormat="1" x14ac:dyDescent="0.2">
      <c r="A8" s="89" t="s">
        <v>33</v>
      </c>
      <c r="C8" s="89" t="s">
        <v>53</v>
      </c>
      <c r="G8" s="89" t="s">
        <v>33</v>
      </c>
      <c r="I8" s="89" t="s">
        <v>53</v>
      </c>
    </row>
    <row r="9" spans="1:9" s="54" customFormat="1" x14ac:dyDescent="0.2">
      <c r="A9" s="60"/>
      <c r="C9" s="90" t="s">
        <v>58</v>
      </c>
      <c r="I9" s="90" t="s">
        <v>58</v>
      </c>
    </row>
    <row r="10" spans="1:9" x14ac:dyDescent="0.2">
      <c r="A10" s="60"/>
    </row>
    <row r="11" spans="1:9" x14ac:dyDescent="0.2">
      <c r="A11" s="60">
        <v>1</v>
      </c>
      <c r="B11" s="54" t="s">
        <v>82</v>
      </c>
      <c r="C11" s="64">
        <f>'KSM-2 p1 - Rev Req'!C16-'KSM-2 p1 - Rev Req'!C23-'KSM-2 p1 - Rev Req'!C27-'KSM-2 p1 - Rev Req'!C28-'KSM-2 p1 - Rev Req'!C29</f>
        <v>9611355.5986715723</v>
      </c>
      <c r="G11" s="60">
        <v>1</v>
      </c>
      <c r="H11" s="54" t="s">
        <v>82</v>
      </c>
      <c r="I11" s="64">
        <f>+'KSM-3 p1 - Test Year Results'!C16-'KSM-3 p1 - Test Year Results'!C23-'KSM-3 p1 - Test Year Results'!C28-'KSM-3 p1 - Test Year Results'!C29-'KSM-3 p1 - Test Year Results'!C30</f>
        <v>111395649.00999995</v>
      </c>
    </row>
    <row r="12" spans="1:9" x14ac:dyDescent="0.2">
      <c r="A12" s="60"/>
      <c r="C12" s="33"/>
      <c r="G12" s="60"/>
      <c r="H12" s="54"/>
      <c r="I12" s="33"/>
    </row>
    <row r="13" spans="1:9" x14ac:dyDescent="0.2">
      <c r="A13" s="60">
        <v>2</v>
      </c>
      <c r="B13" s="54" t="s">
        <v>92</v>
      </c>
      <c r="C13" s="91">
        <f>'KSM-2 p1 - Rev Req'!C35*'KSM-3 p8 - Cost of Cap'!C41</f>
        <v>4124756.3278084137</v>
      </c>
      <c r="G13" s="60">
        <v>2</v>
      </c>
      <c r="H13" s="54" t="s">
        <v>92</v>
      </c>
      <c r="I13" s="91">
        <f>+'KSM-3 p1 - Test Year Results'!C36*'KSM-3 p8 - Cost of Cap'!C41</f>
        <v>32906648.406189937</v>
      </c>
    </row>
    <row r="14" spans="1:9" x14ac:dyDescent="0.2">
      <c r="A14" s="60"/>
      <c r="C14" s="33"/>
      <c r="G14" s="60"/>
      <c r="H14" s="54"/>
      <c r="I14" s="33"/>
    </row>
    <row r="15" spans="1:9" x14ac:dyDescent="0.2">
      <c r="A15" s="60">
        <v>3</v>
      </c>
      <c r="B15" s="54" t="s">
        <v>101</v>
      </c>
      <c r="C15" s="33">
        <f>C11-C13</f>
        <v>5486599.2708631586</v>
      </c>
      <c r="G15" s="60">
        <v>3</v>
      </c>
      <c r="H15" s="54" t="s">
        <v>101</v>
      </c>
      <c r="I15" s="33">
        <f>+I11-I13</f>
        <v>78489000.603810012</v>
      </c>
    </row>
    <row r="16" spans="1:9" x14ac:dyDescent="0.2">
      <c r="A16" s="60"/>
      <c r="C16" s="33"/>
      <c r="G16" s="60"/>
      <c r="H16" s="54"/>
      <c r="I16" s="33"/>
    </row>
    <row r="17" spans="1:9" x14ac:dyDescent="0.2">
      <c r="A17" s="60">
        <v>4</v>
      </c>
      <c r="B17" s="54" t="s">
        <v>171</v>
      </c>
      <c r="C17" s="234">
        <f>-C41*D17</f>
        <v>849454.73232943821</v>
      </c>
      <c r="D17" s="83">
        <f>+'KSM-3 p4 - Factors'!D25</f>
        <v>0.11292606867778904</v>
      </c>
      <c r="E17" s="92" t="s">
        <v>227</v>
      </c>
      <c r="G17" s="60">
        <v>4</v>
      </c>
      <c r="H17" s="54" t="s">
        <v>171</v>
      </c>
      <c r="I17" s="143">
        <f>-C39+C44</f>
        <v>6808024</v>
      </c>
    </row>
    <row r="18" spans="1:9" x14ac:dyDescent="0.2">
      <c r="A18" s="60"/>
      <c r="C18" s="93"/>
      <c r="G18" s="60"/>
      <c r="H18" s="54"/>
      <c r="I18" s="93"/>
    </row>
    <row r="19" spans="1:9" x14ac:dyDescent="0.2">
      <c r="A19" s="60">
        <v>5</v>
      </c>
      <c r="B19" s="54" t="s">
        <v>791</v>
      </c>
      <c r="C19" s="33">
        <f>C15+C17</f>
        <v>6336054.0031925971</v>
      </c>
      <c r="G19" s="60">
        <v>5</v>
      </c>
      <c r="H19" s="54" t="s">
        <v>791</v>
      </c>
      <c r="I19" s="33">
        <f>+I15+I17</f>
        <v>85297024.603810012</v>
      </c>
    </row>
    <row r="20" spans="1:9" x14ac:dyDescent="0.2">
      <c r="A20" s="60"/>
      <c r="C20" s="33"/>
      <c r="G20" s="60"/>
      <c r="H20" s="54"/>
      <c r="I20" s="33"/>
    </row>
    <row r="21" spans="1:9" x14ac:dyDescent="0.2">
      <c r="A21" s="60">
        <v>6</v>
      </c>
      <c r="B21" s="54" t="s">
        <v>119</v>
      </c>
      <c r="C21" s="81">
        <f>'KSM-3 p8 - Cost of Cap'!C43</f>
        <v>0.21</v>
      </c>
      <c r="G21" s="60">
        <v>6</v>
      </c>
      <c r="H21" s="54" t="s">
        <v>726</v>
      </c>
      <c r="I21" s="81">
        <v>7.5999999999999998E-2</v>
      </c>
    </row>
    <row r="22" spans="1:9" x14ac:dyDescent="0.2">
      <c r="A22" s="60"/>
      <c r="C22" s="94"/>
      <c r="G22" s="60"/>
      <c r="H22" s="54"/>
      <c r="I22" s="94"/>
    </row>
    <row r="23" spans="1:9" ht="15.75" thickBot="1" x14ac:dyDescent="0.25">
      <c r="A23" s="60">
        <v>7</v>
      </c>
      <c r="B23" s="54" t="s">
        <v>732</v>
      </c>
      <c r="C23" s="444">
        <f>+C19*C21</f>
        <v>1330571.3406704452</v>
      </c>
      <c r="G23" s="60">
        <v>7</v>
      </c>
      <c r="H23" s="54" t="s">
        <v>727</v>
      </c>
      <c r="I23" s="95">
        <f>+I19*I21</f>
        <v>6482573.8698895611</v>
      </c>
    </row>
    <row r="24" spans="1:9" ht="15.75" thickTop="1" x14ac:dyDescent="0.2">
      <c r="B24" s="2"/>
    </row>
    <row r="25" spans="1:9" x14ac:dyDescent="0.2">
      <c r="A25" s="60">
        <v>8</v>
      </c>
      <c r="B25" s="54" t="s">
        <v>724</v>
      </c>
      <c r="C25" s="234">
        <f>+D25*C46</f>
        <v>-10277.327999999998</v>
      </c>
      <c r="D25" s="83">
        <f>+'KSM-3 p4 - Factors'!D8</f>
        <v>0.11209999999999998</v>
      </c>
      <c r="E25" s="2" t="s">
        <v>699</v>
      </c>
      <c r="G25" s="60">
        <v>8</v>
      </c>
      <c r="H25" s="54" t="s">
        <v>792</v>
      </c>
      <c r="I25" s="2">
        <f>+I19-I23</f>
        <v>78814450.733920455</v>
      </c>
    </row>
    <row r="26" spans="1:9" x14ac:dyDescent="0.2">
      <c r="A26" s="60"/>
      <c r="G26" s="60"/>
    </row>
    <row r="27" spans="1:9" ht="15.75" thickBot="1" x14ac:dyDescent="0.25">
      <c r="A27" s="60">
        <v>9</v>
      </c>
      <c r="B27" s="54" t="s">
        <v>733</v>
      </c>
      <c r="C27" s="95">
        <f>+C23+C25</f>
        <v>1320294.0126704453</v>
      </c>
      <c r="G27" s="60">
        <v>9</v>
      </c>
      <c r="H27" s="54" t="s">
        <v>728</v>
      </c>
      <c r="I27" s="81">
        <v>0.21</v>
      </c>
    </row>
    <row r="28" spans="1:9" ht="15.75" thickTop="1" x14ac:dyDescent="0.2">
      <c r="G28" s="60"/>
      <c r="H28" s="54"/>
      <c r="I28" s="94"/>
    </row>
    <row r="29" spans="1:9" x14ac:dyDescent="0.2">
      <c r="G29" s="60">
        <v>10</v>
      </c>
      <c r="H29" s="54" t="s">
        <v>732</v>
      </c>
      <c r="I29" s="444">
        <f>+I25*I27</f>
        <v>16551034.654123295</v>
      </c>
    </row>
    <row r="31" spans="1:9" x14ac:dyDescent="0.25">
      <c r="G31" s="60">
        <v>11</v>
      </c>
      <c r="H31" s="54" t="s">
        <v>724</v>
      </c>
      <c r="I31" s="447">
        <f>+C46</f>
        <v>-91680</v>
      </c>
    </row>
    <row r="32" spans="1:9" x14ac:dyDescent="0.2">
      <c r="G32" s="60"/>
      <c r="H32" s="54"/>
    </row>
    <row r="33" spans="2:9" ht="15.75" thickBot="1" x14ac:dyDescent="0.25">
      <c r="G33" s="60">
        <v>12</v>
      </c>
      <c r="H33" s="54" t="s">
        <v>519</v>
      </c>
      <c r="I33" s="95">
        <f>+I29+I31</f>
        <v>16459354.654123295</v>
      </c>
    </row>
    <row r="34" spans="2:9" ht="15.75" thickTop="1" x14ac:dyDescent="0.2"/>
    <row r="37" spans="2:9" x14ac:dyDescent="0.2">
      <c r="B37" s="2"/>
      <c r="E37" s="98" t="s">
        <v>837</v>
      </c>
    </row>
    <row r="38" spans="2:9" x14ac:dyDescent="0.2">
      <c r="B38" s="2"/>
      <c r="C38" s="40"/>
    </row>
    <row r="39" spans="2:9" x14ac:dyDescent="0.25">
      <c r="B39" s="2" t="s">
        <v>729</v>
      </c>
      <c r="C39" s="445">
        <v>-7548024</v>
      </c>
      <c r="E39" s="2" t="s">
        <v>863</v>
      </c>
    </row>
    <row r="40" spans="2:9" x14ac:dyDescent="0.25">
      <c r="B40" s="2" t="s">
        <v>730</v>
      </c>
      <c r="C40" s="446">
        <v>-25804</v>
      </c>
      <c r="E40" s="2" t="s">
        <v>863</v>
      </c>
    </row>
    <row r="41" spans="2:9" x14ac:dyDescent="0.25">
      <c r="B41" s="2" t="s">
        <v>731</v>
      </c>
      <c r="C41" s="445">
        <f>+C39-C40</f>
        <v>-7522220</v>
      </c>
    </row>
    <row r="42" spans="2:9" x14ac:dyDescent="0.2">
      <c r="B42" s="2"/>
    </row>
    <row r="43" spans="2:9" x14ac:dyDescent="0.2">
      <c r="B43" s="2"/>
    </row>
    <row r="44" spans="2:9" x14ac:dyDescent="0.25">
      <c r="B44" s="443" t="s">
        <v>723</v>
      </c>
      <c r="C44" s="321">
        <v>-740000</v>
      </c>
      <c r="E44" s="2" t="s">
        <v>863</v>
      </c>
    </row>
    <row r="45" spans="2:9" x14ac:dyDescent="0.2">
      <c r="B45" s="2"/>
    </row>
    <row r="46" spans="2:9" x14ac:dyDescent="0.25">
      <c r="B46" s="443" t="s">
        <v>725</v>
      </c>
      <c r="C46" s="321">
        <v>-91680</v>
      </c>
      <c r="E46" s="2" t="s">
        <v>863</v>
      </c>
    </row>
  </sheetData>
  <mergeCells count="2">
    <mergeCell ref="A5:C5"/>
    <mergeCell ref="G5:I5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W121"/>
  <sheetViews>
    <sheetView zoomScale="90" zoomScaleNormal="90" workbookViewId="0">
      <pane xSplit="3" ySplit="8" topLeftCell="D43" activePane="bottomRight" state="frozen"/>
      <selection activeCell="I16" sqref="I16"/>
      <selection pane="topRight" activeCell="I16" sqref="I16"/>
      <selection pane="bottomLeft" activeCell="I16" sqref="I16"/>
      <selection pane="bottomRight" activeCell="Q77" sqref="Q77"/>
    </sheetView>
  </sheetViews>
  <sheetFormatPr defaultColWidth="9.140625" defaultRowHeight="15" x14ac:dyDescent="0.2"/>
  <cols>
    <col min="1" max="1" width="4.7109375" style="2" customWidth="1"/>
    <col min="2" max="2" width="30.5703125" style="2" customWidth="1"/>
    <col min="3" max="3" width="10.42578125" style="40" customWidth="1"/>
    <col min="4" max="15" width="15.7109375" style="2" customWidth="1"/>
    <col min="16" max="16" width="15.7109375" style="41" customWidth="1"/>
    <col min="17" max="17" width="15.7109375" style="2" customWidth="1"/>
    <col min="18" max="18" width="9.140625" style="2"/>
    <col min="19" max="19" width="38.5703125" style="2" customWidth="1"/>
    <col min="20" max="16384" width="9.140625" style="2"/>
  </cols>
  <sheetData>
    <row r="1" spans="1:19" ht="15" customHeight="1" x14ac:dyDescent="0.2">
      <c r="A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</row>
    <row r="2" spans="1:19" ht="15" customHeight="1" x14ac:dyDescent="0.2">
      <c r="A2" s="1" t="s">
        <v>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  <c r="Q2" s="4"/>
    </row>
    <row r="3" spans="1:19" ht="15" customHeight="1" x14ac:dyDescent="0.2">
      <c r="A3" s="5" t="str">
        <f>+'KSM-3 p1 - Test Year Results'!A3</f>
        <v>Test Year Based on Twelve Months Ended September 30, 2018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4"/>
    </row>
    <row r="4" spans="1:19" ht="15" customHeight="1" x14ac:dyDescent="0.2">
      <c r="A4" s="1" t="s">
        <v>364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</row>
    <row r="5" spans="1:19" ht="15" customHeight="1" x14ac:dyDescent="0.25">
      <c r="B5" s="4"/>
      <c r="C5" s="3"/>
      <c r="D5" s="7" t="s">
        <v>359</v>
      </c>
      <c r="E5" s="7" t="s">
        <v>360</v>
      </c>
      <c r="F5" s="7" t="s">
        <v>361</v>
      </c>
      <c r="G5" s="7" t="s">
        <v>362</v>
      </c>
      <c r="H5" s="7" t="s">
        <v>352</v>
      </c>
      <c r="I5" s="7" t="s">
        <v>353</v>
      </c>
      <c r="J5" s="7" t="s">
        <v>354</v>
      </c>
      <c r="K5" s="7" t="s">
        <v>355</v>
      </c>
      <c r="L5" s="7" t="s">
        <v>20</v>
      </c>
      <c r="M5" s="7" t="s">
        <v>356</v>
      </c>
      <c r="N5" s="7" t="s">
        <v>357</v>
      </c>
      <c r="O5" s="7" t="s">
        <v>358</v>
      </c>
      <c r="P5" s="8" t="s">
        <v>359</v>
      </c>
      <c r="Q5" s="8" t="s">
        <v>495</v>
      </c>
    </row>
    <row r="6" spans="1:19" ht="15" customHeight="1" x14ac:dyDescent="0.25">
      <c r="B6" s="4"/>
      <c r="C6" s="3"/>
      <c r="D6" s="9" t="s">
        <v>492</v>
      </c>
      <c r="E6" s="9" t="str">
        <f>+D6</f>
        <v>2017</v>
      </c>
      <c r="F6" s="9" t="str">
        <f t="shared" ref="F6:P6" si="0">+E6</f>
        <v>2017</v>
      </c>
      <c r="G6" s="9" t="str">
        <f t="shared" si="0"/>
        <v>2017</v>
      </c>
      <c r="H6" s="9">
        <v>2018</v>
      </c>
      <c r="I6" s="9">
        <f t="shared" si="0"/>
        <v>2018</v>
      </c>
      <c r="J6" s="9">
        <f t="shared" si="0"/>
        <v>2018</v>
      </c>
      <c r="K6" s="9">
        <f t="shared" si="0"/>
        <v>2018</v>
      </c>
      <c r="L6" s="9">
        <f t="shared" si="0"/>
        <v>2018</v>
      </c>
      <c r="M6" s="9">
        <f t="shared" si="0"/>
        <v>2018</v>
      </c>
      <c r="N6" s="9">
        <f t="shared" si="0"/>
        <v>2018</v>
      </c>
      <c r="O6" s="9">
        <f t="shared" si="0"/>
        <v>2018</v>
      </c>
      <c r="P6" s="470">
        <f t="shared" si="0"/>
        <v>2018</v>
      </c>
      <c r="Q6" s="10" t="s">
        <v>496</v>
      </c>
      <c r="S6" s="498" t="s">
        <v>837</v>
      </c>
    </row>
    <row r="7" spans="1:19" ht="15" customHeight="1" thickBot="1" x14ac:dyDescent="0.25">
      <c r="A7" s="525" t="s">
        <v>9</v>
      </c>
      <c r="B7" s="525"/>
      <c r="C7" s="525"/>
      <c r="D7" s="12"/>
      <c r="E7" s="12"/>
      <c r="F7" s="12"/>
      <c r="G7" s="12"/>
      <c r="H7" s="12"/>
      <c r="I7" s="4"/>
      <c r="J7" s="4"/>
      <c r="K7" s="4"/>
      <c r="L7" s="4"/>
      <c r="M7" s="4"/>
      <c r="N7" s="4"/>
      <c r="O7" s="4"/>
      <c r="P7" s="6"/>
      <c r="Q7" s="6"/>
    </row>
    <row r="8" spans="1:19" ht="15" customHeight="1" x14ac:dyDescent="0.25">
      <c r="A8" s="254" t="s">
        <v>38</v>
      </c>
      <c r="B8" s="267"/>
      <c r="C8" s="13"/>
      <c r="D8" s="14"/>
      <c r="E8" s="14"/>
      <c r="F8" s="14"/>
      <c r="G8" s="15"/>
      <c r="H8" s="12"/>
      <c r="I8" s="4"/>
      <c r="J8" s="4"/>
      <c r="K8" s="4"/>
      <c r="L8" s="4"/>
      <c r="M8" s="4"/>
      <c r="N8" s="4"/>
      <c r="O8" s="4"/>
      <c r="P8" s="6"/>
      <c r="Q8" s="6"/>
    </row>
    <row r="9" spans="1:19" ht="15" customHeight="1" x14ac:dyDescent="0.25">
      <c r="A9" s="77"/>
      <c r="B9" s="77" t="s">
        <v>542</v>
      </c>
      <c r="C9" s="16"/>
      <c r="D9" s="17">
        <v>102343776.04000001</v>
      </c>
      <c r="E9" s="17">
        <v>102795438.95</v>
      </c>
      <c r="F9" s="17">
        <v>103900995.73</v>
      </c>
      <c r="G9" s="17">
        <v>105175573.62</v>
      </c>
      <c r="H9" s="17">
        <v>105211286.91000001</v>
      </c>
      <c r="I9" s="17">
        <v>105976732.03000002</v>
      </c>
      <c r="J9" s="17">
        <v>105934961.19000001</v>
      </c>
      <c r="K9" s="17">
        <v>105959177.52000001</v>
      </c>
      <c r="L9" s="17">
        <v>105958907.17000002</v>
      </c>
      <c r="M9" s="17">
        <v>106339618.55000001</v>
      </c>
      <c r="N9" s="17">
        <v>106349582.44000001</v>
      </c>
      <c r="O9" s="17">
        <v>106337337.65000001</v>
      </c>
      <c r="P9" s="17">
        <v>110918039.63000001</v>
      </c>
      <c r="Q9" s="17">
        <f>((D9/2)+SUM(E9:O9)+(P9/2))/12</f>
        <v>105547543.29958336</v>
      </c>
      <c r="S9" s="2" t="s">
        <v>864</v>
      </c>
    </row>
    <row r="10" spans="1:19" ht="15" customHeight="1" x14ac:dyDescent="0.25">
      <c r="A10" s="77"/>
      <c r="B10" s="77" t="s">
        <v>543</v>
      </c>
      <c r="C10" s="16"/>
      <c r="D10" s="17">
        <v>84795.27</v>
      </c>
      <c r="E10" s="17">
        <v>84795.27</v>
      </c>
      <c r="F10" s="17">
        <v>84795.27</v>
      </c>
      <c r="G10" s="17">
        <v>84795.27</v>
      </c>
      <c r="H10" s="17">
        <v>84795.27</v>
      </c>
      <c r="I10" s="17">
        <v>84795.27</v>
      </c>
      <c r="J10" s="17">
        <v>84795.27</v>
      </c>
      <c r="K10" s="17">
        <v>84795.27</v>
      </c>
      <c r="L10" s="17">
        <v>84795.27</v>
      </c>
      <c r="M10" s="17">
        <v>84795.27</v>
      </c>
      <c r="N10" s="17">
        <v>84795.27</v>
      </c>
      <c r="O10" s="17">
        <v>84795.27</v>
      </c>
      <c r="P10" s="17">
        <v>84795.27</v>
      </c>
      <c r="Q10" s="17">
        <f>((D10/2)+SUM(E10:O10)+(P10/2))/12</f>
        <v>84795.27</v>
      </c>
      <c r="S10" s="2" t="s">
        <v>864</v>
      </c>
    </row>
    <row r="11" spans="1:19" ht="15" customHeight="1" x14ac:dyDescent="0.25">
      <c r="A11" s="77"/>
      <c r="B11" s="77" t="s">
        <v>192</v>
      </c>
      <c r="C11" s="16"/>
      <c r="D11" s="17">
        <v>675198</v>
      </c>
      <c r="E11" s="17">
        <v>675198</v>
      </c>
      <c r="F11" s="17">
        <v>675198</v>
      </c>
      <c r="G11" s="17">
        <v>675198</v>
      </c>
      <c r="H11" s="17">
        <v>675198</v>
      </c>
      <c r="I11" s="17">
        <v>675198</v>
      </c>
      <c r="J11" s="17">
        <v>675198</v>
      </c>
      <c r="K11" s="17">
        <v>675198</v>
      </c>
      <c r="L11" s="17">
        <v>675198</v>
      </c>
      <c r="M11" s="17">
        <v>675198</v>
      </c>
      <c r="N11" s="17">
        <v>675198</v>
      </c>
      <c r="O11" s="17">
        <v>675198</v>
      </c>
      <c r="P11" s="17">
        <v>675198</v>
      </c>
      <c r="Q11" s="17">
        <f t="shared" ref="Q11:Q73" si="1">((D11/2)+SUM(E11:O11)+(P11/2))/12</f>
        <v>675198</v>
      </c>
      <c r="S11" s="2" t="s">
        <v>864</v>
      </c>
    </row>
    <row r="12" spans="1:19" ht="15" customHeight="1" x14ac:dyDescent="0.25">
      <c r="A12" s="77"/>
      <c r="B12" s="77" t="s">
        <v>193</v>
      </c>
      <c r="C12" s="16"/>
      <c r="D12" s="17">
        <v>165102347.74999997</v>
      </c>
      <c r="E12" s="17">
        <v>165326950.46999997</v>
      </c>
      <c r="F12" s="17">
        <v>165348541.76999998</v>
      </c>
      <c r="G12" s="17">
        <v>166587143.39999998</v>
      </c>
      <c r="H12" s="17">
        <v>166646960.35999998</v>
      </c>
      <c r="I12" s="17">
        <v>166671736.08999997</v>
      </c>
      <c r="J12" s="17">
        <v>167823514.48999998</v>
      </c>
      <c r="K12" s="17">
        <v>167860782.07999998</v>
      </c>
      <c r="L12" s="17">
        <v>168195224.75999999</v>
      </c>
      <c r="M12" s="17">
        <v>168592916.39999998</v>
      </c>
      <c r="N12" s="17">
        <v>168666085.76999998</v>
      </c>
      <c r="O12" s="17">
        <v>168694326.54999998</v>
      </c>
      <c r="P12" s="17">
        <v>169634548.50999996</v>
      </c>
      <c r="Q12" s="17">
        <f t="shared" si="1"/>
        <v>167315219.18916664</v>
      </c>
      <c r="S12" s="2" t="s">
        <v>864</v>
      </c>
    </row>
    <row r="13" spans="1:19" ht="15" customHeight="1" x14ac:dyDescent="0.25">
      <c r="A13" s="77"/>
      <c r="B13" s="77" t="s">
        <v>194</v>
      </c>
      <c r="C13" s="16"/>
      <c r="D13" s="17">
        <v>2132874661.9300005</v>
      </c>
      <c r="E13" s="17">
        <v>2140000757.28</v>
      </c>
      <c r="F13" s="17">
        <v>2148386972.1500001</v>
      </c>
      <c r="G13" s="17">
        <v>2161775493.0299997</v>
      </c>
      <c r="H13" s="17">
        <v>2168079145.48</v>
      </c>
      <c r="I13" s="17">
        <v>2171328431.1499991</v>
      </c>
      <c r="J13" s="17">
        <v>2183114102.3999996</v>
      </c>
      <c r="K13" s="17">
        <v>2187035911.79</v>
      </c>
      <c r="L13" s="17">
        <v>2194049822.1999998</v>
      </c>
      <c r="M13" s="17">
        <v>2203962401.0700002</v>
      </c>
      <c r="N13" s="17">
        <v>2209442463.2499995</v>
      </c>
      <c r="O13" s="17">
        <v>2217186171.1000009</v>
      </c>
      <c r="P13" s="17">
        <v>2226387112.1399999</v>
      </c>
      <c r="Q13" s="17">
        <f t="shared" si="1"/>
        <v>2180332713.1612501</v>
      </c>
      <c r="S13" s="2" t="s">
        <v>864</v>
      </c>
    </row>
    <row r="14" spans="1:19" ht="15" customHeight="1" x14ac:dyDescent="0.25">
      <c r="A14" s="77"/>
      <c r="B14" s="77" t="s">
        <v>208</v>
      </c>
      <c r="C14" s="16"/>
      <c r="D14" s="17">
        <v>130867939.54000002</v>
      </c>
      <c r="E14" s="17">
        <v>127364703.75000001</v>
      </c>
      <c r="F14" s="17">
        <v>130898989.65000005</v>
      </c>
      <c r="G14" s="17">
        <v>132305811.64000003</v>
      </c>
      <c r="H14" s="17">
        <v>133613203.83000001</v>
      </c>
      <c r="I14" s="17">
        <v>133598610.13000001</v>
      </c>
      <c r="J14" s="17">
        <v>133842412.41000003</v>
      </c>
      <c r="K14" s="17">
        <v>133918067.51000004</v>
      </c>
      <c r="L14" s="17">
        <v>134888660.92000002</v>
      </c>
      <c r="M14" s="17">
        <v>140035829.44000003</v>
      </c>
      <c r="N14" s="17">
        <v>141966472.23000002</v>
      </c>
      <c r="O14" s="17">
        <v>142119016.06000003</v>
      </c>
      <c r="P14" s="17">
        <v>142319754.50000003</v>
      </c>
      <c r="Q14" s="17">
        <f t="shared" si="1"/>
        <v>135095468.71583334</v>
      </c>
      <c r="S14" s="2" t="s">
        <v>864</v>
      </c>
    </row>
    <row r="15" spans="1:19" ht="15" customHeight="1" x14ac:dyDescent="0.25">
      <c r="A15" s="77"/>
      <c r="B15" s="254" t="s">
        <v>544</v>
      </c>
      <c r="C15" s="16"/>
      <c r="D15" s="17">
        <v>10767907.07</v>
      </c>
      <c r="E15" s="17">
        <v>10767907.07</v>
      </c>
      <c r="F15" s="17">
        <v>10767907.07</v>
      </c>
      <c r="G15" s="17">
        <v>10767907.07</v>
      </c>
      <c r="H15" s="17">
        <v>10767907.07</v>
      </c>
      <c r="I15" s="17">
        <v>10767907.07</v>
      </c>
      <c r="J15" s="17">
        <v>10767907.07</v>
      </c>
      <c r="K15" s="17">
        <v>10767907.07</v>
      </c>
      <c r="L15" s="17">
        <v>10767907.07</v>
      </c>
      <c r="M15" s="17">
        <v>10767907.07</v>
      </c>
      <c r="N15" s="17">
        <v>10767907.07</v>
      </c>
      <c r="O15" s="17">
        <v>10767907.07</v>
      </c>
      <c r="P15" s="17">
        <v>10767907.07</v>
      </c>
      <c r="Q15" s="17">
        <f t="shared" si="1"/>
        <v>10767907.069999998</v>
      </c>
      <c r="S15" s="2" t="s">
        <v>864</v>
      </c>
    </row>
    <row r="16" spans="1:19" ht="15" customHeight="1" x14ac:dyDescent="0.25">
      <c r="A16" s="77"/>
      <c r="B16" s="254" t="s">
        <v>545</v>
      </c>
      <c r="C16" s="16"/>
      <c r="D16" s="17">
        <v>60074932.329999998</v>
      </c>
      <c r="E16" s="17">
        <v>60079511.559999995</v>
      </c>
      <c r="F16" s="17">
        <v>60090508.749999993</v>
      </c>
      <c r="G16" s="17">
        <v>60375857.269999996</v>
      </c>
      <c r="H16" s="17">
        <v>60383178.369999997</v>
      </c>
      <c r="I16" s="17">
        <v>60385021.119999997</v>
      </c>
      <c r="J16" s="17">
        <v>60386850.329999998</v>
      </c>
      <c r="K16" s="17">
        <v>60388632.869999997</v>
      </c>
      <c r="L16" s="17">
        <v>60379001.439999998</v>
      </c>
      <c r="M16" s="17">
        <v>60437190.669999994</v>
      </c>
      <c r="N16" s="17">
        <v>60438125.279999994</v>
      </c>
      <c r="O16" s="17">
        <v>60450494.389999993</v>
      </c>
      <c r="P16" s="17">
        <v>60497322.239999995</v>
      </c>
      <c r="Q16" s="17">
        <f t="shared" si="1"/>
        <v>60340041.611249991</v>
      </c>
      <c r="S16" s="2" t="s">
        <v>864</v>
      </c>
    </row>
    <row r="17" spans="1:19" ht="15" customHeight="1" x14ac:dyDescent="0.25">
      <c r="A17" s="77"/>
      <c r="B17" s="77" t="s">
        <v>229</v>
      </c>
      <c r="C17" s="16"/>
      <c r="D17" s="18">
        <v>312776311.76000011</v>
      </c>
      <c r="E17" s="18">
        <v>316309651.31000012</v>
      </c>
      <c r="F17" s="18">
        <v>316695313.43000013</v>
      </c>
      <c r="G17" s="18">
        <v>314220158.93000013</v>
      </c>
      <c r="H17" s="18">
        <v>314242930.55000013</v>
      </c>
      <c r="I17" s="18">
        <v>318058924.60000008</v>
      </c>
      <c r="J17" s="18">
        <v>318088443.41000009</v>
      </c>
      <c r="K17" s="18">
        <v>318113158.00000012</v>
      </c>
      <c r="L17" s="18">
        <v>318098137.31000012</v>
      </c>
      <c r="M17" s="18">
        <v>320408989.87000012</v>
      </c>
      <c r="N17" s="18">
        <v>320417502.40000015</v>
      </c>
      <c r="O17" s="18">
        <v>320416360.06000012</v>
      </c>
      <c r="P17" s="18">
        <v>321048969.30000013</v>
      </c>
      <c r="Q17" s="18">
        <f t="shared" si="1"/>
        <v>317665184.20000011</v>
      </c>
      <c r="S17" s="2" t="s">
        <v>864</v>
      </c>
    </row>
    <row r="18" spans="1:19" ht="15" customHeight="1" x14ac:dyDescent="0.25">
      <c r="A18" s="77"/>
      <c r="B18" s="77" t="s">
        <v>325</v>
      </c>
      <c r="C18" s="16"/>
      <c r="D18" s="19">
        <v>3790768.49</v>
      </c>
      <c r="E18" s="19">
        <v>3790768.49</v>
      </c>
      <c r="F18" s="19">
        <v>3790768.49</v>
      </c>
      <c r="G18" s="19">
        <v>3790768.49</v>
      </c>
      <c r="H18" s="19">
        <v>3790768.49</v>
      </c>
      <c r="I18" s="19">
        <v>3790768.49</v>
      </c>
      <c r="J18" s="19">
        <v>3790768.49</v>
      </c>
      <c r="K18" s="19">
        <v>3790768.49</v>
      </c>
      <c r="L18" s="19">
        <v>3790768.49</v>
      </c>
      <c r="M18" s="19">
        <v>3790768.49</v>
      </c>
      <c r="N18" s="19">
        <v>3790768.49</v>
      </c>
      <c r="O18" s="19">
        <v>3790768.49</v>
      </c>
      <c r="P18" s="19">
        <v>3790768.49</v>
      </c>
      <c r="Q18" s="19">
        <f t="shared" si="1"/>
        <v>3790768.4900000007</v>
      </c>
      <c r="S18" s="2" t="s">
        <v>864</v>
      </c>
    </row>
    <row r="19" spans="1:19" ht="15" customHeight="1" x14ac:dyDescent="0.25">
      <c r="A19" s="77"/>
      <c r="B19" s="7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9" ht="15" customHeight="1" thickBot="1" x14ac:dyDescent="0.3">
      <c r="A20" s="77"/>
      <c r="B20" s="77" t="s">
        <v>230</v>
      </c>
      <c r="C20" s="16"/>
      <c r="D20" s="20">
        <v>2919358638.1800008</v>
      </c>
      <c r="E20" s="20">
        <v>2927195682.1499996</v>
      </c>
      <c r="F20" s="20">
        <v>2940639990.3100004</v>
      </c>
      <c r="G20" s="20">
        <v>2955758706.7199998</v>
      </c>
      <c r="H20" s="20">
        <v>2963495374.3299999</v>
      </c>
      <c r="I20" s="20">
        <v>2971338123.9499989</v>
      </c>
      <c r="J20" s="20">
        <v>2984508953.0599995</v>
      </c>
      <c r="K20" s="20">
        <v>2988594398.5999999</v>
      </c>
      <c r="L20" s="20">
        <v>2996888422.6299996</v>
      </c>
      <c r="M20" s="20">
        <v>3015095614.8299999</v>
      </c>
      <c r="N20" s="20">
        <v>3022598900.1999998</v>
      </c>
      <c r="O20" s="20">
        <v>3030522374.6400003</v>
      </c>
      <c r="P20" s="20">
        <v>3046124415.1499996</v>
      </c>
      <c r="Q20" s="20">
        <f>SUM(Q9:Q19)</f>
        <v>2981614839.0070834</v>
      </c>
    </row>
    <row r="21" spans="1:19" ht="15" customHeight="1" thickTop="1" x14ac:dyDescent="0.25">
      <c r="A21" s="21"/>
      <c r="B21" s="21"/>
      <c r="C21" s="1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6"/>
    </row>
    <row r="22" spans="1:19" ht="15" customHeight="1" x14ac:dyDescent="0.25">
      <c r="A22" s="254" t="s">
        <v>546</v>
      </c>
      <c r="B22" s="26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9" ht="15" customHeight="1" x14ac:dyDescent="0.25">
      <c r="A23" s="77"/>
      <c r="B23" s="77" t="s">
        <v>542</v>
      </c>
      <c r="C23" s="16"/>
      <c r="D23" s="17">
        <v>-62524337.56000001</v>
      </c>
      <c r="E23" s="17">
        <v>-62759202.31000001</v>
      </c>
      <c r="F23" s="17">
        <v>-62996863.700000003</v>
      </c>
      <c r="G23" s="17">
        <v>-63238775.020000003</v>
      </c>
      <c r="H23" s="17">
        <v>-63483063.81000001</v>
      </c>
      <c r="I23" s="17">
        <v>-63728791.130000003</v>
      </c>
      <c r="J23" s="17">
        <v>-63975818.31000001</v>
      </c>
      <c r="K23" s="17">
        <v>-64222813.81000001</v>
      </c>
      <c r="L23" s="17">
        <v>-64469852.410000004</v>
      </c>
      <c r="M23" s="17">
        <v>-64717574.100000001</v>
      </c>
      <c r="N23" s="17">
        <v>-64965997.539999999</v>
      </c>
      <c r="O23" s="17">
        <v>-65214416.660000004</v>
      </c>
      <c r="P23" s="17">
        <v>-65471040.090000004</v>
      </c>
      <c r="Q23" s="17">
        <f>((D23/2)+SUM(E23:O23)+(P23/2))/12</f>
        <v>-63980904.802083321</v>
      </c>
      <c r="S23" s="2" t="s">
        <v>864</v>
      </c>
    </row>
    <row r="24" spans="1:19" ht="15" customHeight="1" x14ac:dyDescent="0.25">
      <c r="A24" s="77"/>
      <c r="B24" s="77" t="s">
        <v>543</v>
      </c>
      <c r="C24" s="16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f>((D24/2)+SUM(E24:O24)+(P24/2))/12</f>
        <v>0</v>
      </c>
      <c r="S24" s="2" t="s">
        <v>864</v>
      </c>
    </row>
    <row r="25" spans="1:19" ht="15" customHeight="1" x14ac:dyDescent="0.25">
      <c r="A25" s="77"/>
      <c r="B25" s="77" t="s">
        <v>192</v>
      </c>
      <c r="C25" s="16"/>
      <c r="D25" s="17">
        <v>-691035.75</v>
      </c>
      <c r="E25" s="17">
        <v>-691035.75</v>
      </c>
      <c r="F25" s="17">
        <v>-691035.75</v>
      </c>
      <c r="G25" s="17">
        <v>-691035.75</v>
      </c>
      <c r="H25" s="17">
        <v>-691035.69</v>
      </c>
      <c r="I25" s="17">
        <v>-691035.7</v>
      </c>
      <c r="J25" s="17">
        <v>-691035.7</v>
      </c>
      <c r="K25" s="17">
        <v>-691035.7</v>
      </c>
      <c r="L25" s="17">
        <v>-691035.71</v>
      </c>
      <c r="M25" s="17">
        <v>-691035.7</v>
      </c>
      <c r="N25" s="17">
        <v>-691035.7</v>
      </c>
      <c r="O25" s="17">
        <v>-691035.69</v>
      </c>
      <c r="P25" s="17">
        <v>-691035.69</v>
      </c>
      <c r="Q25" s="17">
        <f t="shared" si="1"/>
        <v>-691035.71333333326</v>
      </c>
      <c r="S25" s="2" t="s">
        <v>864</v>
      </c>
    </row>
    <row r="26" spans="1:19" ht="15" customHeight="1" x14ac:dyDescent="0.25">
      <c r="A26" s="77"/>
      <c r="B26" s="77" t="s">
        <v>193</v>
      </c>
      <c r="C26" s="16"/>
      <c r="D26" s="17">
        <v>-35198591.270000003</v>
      </c>
      <c r="E26" s="17">
        <v>-35611863.93</v>
      </c>
      <c r="F26" s="17">
        <v>-36025881.670000002</v>
      </c>
      <c r="G26" s="17">
        <v>-36441031.539999999</v>
      </c>
      <c r="H26" s="17">
        <v>-36857900.759999998</v>
      </c>
      <c r="I26" s="17">
        <v>-37276168.989999995</v>
      </c>
      <c r="J26" s="17">
        <v>-37694606.850000001</v>
      </c>
      <c r="K26" s="17">
        <v>-38115049.399999999</v>
      </c>
      <c r="L26" s="17">
        <v>-38535521.539999992</v>
      </c>
      <c r="M26" s="17">
        <v>-38957364.340000004</v>
      </c>
      <c r="N26" s="17">
        <v>-39379388.189999998</v>
      </c>
      <c r="O26" s="17">
        <v>-39801542.710000001</v>
      </c>
      <c r="P26" s="17">
        <v>-40224172.430000007</v>
      </c>
      <c r="Q26" s="17">
        <f t="shared" si="1"/>
        <v>-37700641.814166665</v>
      </c>
      <c r="S26" s="2" t="s">
        <v>864</v>
      </c>
    </row>
    <row r="27" spans="1:19" ht="15" customHeight="1" x14ac:dyDescent="0.25">
      <c r="A27" s="77"/>
      <c r="B27" s="77" t="s">
        <v>194</v>
      </c>
      <c r="C27" s="16"/>
      <c r="D27" s="17">
        <v>-990378349.65999997</v>
      </c>
      <c r="E27" s="17">
        <v>-994028244.84999979</v>
      </c>
      <c r="F27" s="17">
        <v>-997877668.97000027</v>
      </c>
      <c r="G27" s="17">
        <v>-1001460545.9400001</v>
      </c>
      <c r="H27" s="17">
        <v>-1004738481.9</v>
      </c>
      <c r="I27" s="17">
        <v>-1008257483.3</v>
      </c>
      <c r="J27" s="17">
        <v>-1011729124.3700001</v>
      </c>
      <c r="K27" s="17">
        <v>-1015259307.63</v>
      </c>
      <c r="L27" s="17">
        <v>-1019060727.45</v>
      </c>
      <c r="M27" s="17">
        <v>-1022176196.7500004</v>
      </c>
      <c r="N27" s="17">
        <v>-1025018668.8299999</v>
      </c>
      <c r="O27" s="17">
        <v>-1028199174.58</v>
      </c>
      <c r="P27" s="17">
        <v>-1032025124.5699999</v>
      </c>
      <c r="Q27" s="17">
        <f t="shared" si="1"/>
        <v>-1011583946.8070832</v>
      </c>
      <c r="S27" s="2" t="s">
        <v>864</v>
      </c>
    </row>
    <row r="28" spans="1:19" ht="15" customHeight="1" x14ac:dyDescent="0.25">
      <c r="A28" s="77"/>
      <c r="B28" s="77" t="s">
        <v>208</v>
      </c>
      <c r="C28" s="16"/>
      <c r="D28" s="17">
        <v>-54185254.540000007</v>
      </c>
      <c r="E28" s="17">
        <v>-50853849.110000014</v>
      </c>
      <c r="F28" s="17">
        <v>-51621896.509999998</v>
      </c>
      <c r="G28" s="17">
        <v>-52414707.479999997</v>
      </c>
      <c r="H28" s="17">
        <v>-53254299.859999999</v>
      </c>
      <c r="I28" s="17">
        <v>-53744783.229999997</v>
      </c>
      <c r="J28" s="17">
        <v>-54350553.569999993</v>
      </c>
      <c r="K28" s="17">
        <v>-55166222.960000008</v>
      </c>
      <c r="L28" s="17">
        <v>-55624930.510000005</v>
      </c>
      <c r="M28" s="17">
        <v>-56459605.999999993</v>
      </c>
      <c r="N28" s="17">
        <v>-57355537.299999997</v>
      </c>
      <c r="O28" s="17">
        <v>-58254318.559999995</v>
      </c>
      <c r="P28" s="17">
        <v>-59042688.969999999</v>
      </c>
      <c r="Q28" s="17">
        <f t="shared" si="1"/>
        <v>-54642889.737083323</v>
      </c>
      <c r="S28" s="2" t="s">
        <v>864</v>
      </c>
    </row>
    <row r="29" spans="1:19" ht="15" customHeight="1" x14ac:dyDescent="0.25">
      <c r="A29" s="77"/>
      <c r="B29" s="254" t="s">
        <v>544</v>
      </c>
      <c r="C29" s="16"/>
      <c r="D29" s="17">
        <v>-437351</v>
      </c>
      <c r="E29" s="17">
        <v>-437351</v>
      </c>
      <c r="F29" s="17">
        <v>-437351</v>
      </c>
      <c r="G29" s="17">
        <v>-437351</v>
      </c>
      <c r="H29" s="17">
        <v>-437351</v>
      </c>
      <c r="I29" s="17">
        <v>-437351</v>
      </c>
      <c r="J29" s="17">
        <v>-437351</v>
      </c>
      <c r="K29" s="17">
        <v>-437351</v>
      </c>
      <c r="L29" s="17">
        <v>-437351</v>
      </c>
      <c r="M29" s="17">
        <v>-437351</v>
      </c>
      <c r="N29" s="17">
        <v>-437351</v>
      </c>
      <c r="O29" s="17">
        <v>-437351</v>
      </c>
      <c r="P29" s="17">
        <v>-437351</v>
      </c>
      <c r="Q29" s="17">
        <f t="shared" si="1"/>
        <v>-437351</v>
      </c>
      <c r="S29" s="2" t="s">
        <v>864</v>
      </c>
    </row>
    <row r="30" spans="1:19" ht="15" customHeight="1" x14ac:dyDescent="0.25">
      <c r="A30" s="77"/>
      <c r="B30" s="254" t="s">
        <v>545</v>
      </c>
      <c r="C30" s="16"/>
      <c r="D30" s="17">
        <v>-10343506.77</v>
      </c>
      <c r="E30" s="17">
        <v>-10441220.700000001</v>
      </c>
      <c r="F30" s="17">
        <v>-10538947.040000001</v>
      </c>
      <c r="G30" s="17">
        <v>-10636914.34</v>
      </c>
      <c r="H30" s="17">
        <v>-10735124.210000001</v>
      </c>
      <c r="I30" s="17">
        <v>-10833342.069999998</v>
      </c>
      <c r="J30" s="17">
        <v>-10931562.66</v>
      </c>
      <c r="K30" s="17">
        <v>-11029786.49</v>
      </c>
      <c r="L30" s="17">
        <v>-11128004.02</v>
      </c>
      <c r="M30" s="17">
        <v>-11226260.76</v>
      </c>
      <c r="N30" s="17">
        <v>-11324566.17</v>
      </c>
      <c r="O30" s="17">
        <v>-11422882.860000001</v>
      </c>
      <c r="P30" s="17">
        <v>-11521247.91</v>
      </c>
      <c r="Q30" s="17">
        <f t="shared" si="1"/>
        <v>-10931749.055000002</v>
      </c>
      <c r="S30" s="2" t="s">
        <v>864</v>
      </c>
    </row>
    <row r="31" spans="1:19" ht="15" customHeight="1" x14ac:dyDescent="0.25">
      <c r="A31" s="77"/>
      <c r="B31" s="77" t="s">
        <v>229</v>
      </c>
      <c r="C31" s="16"/>
      <c r="D31" s="17">
        <v>-136434080.39999995</v>
      </c>
      <c r="E31" s="17">
        <v>-137060612.74000001</v>
      </c>
      <c r="F31" s="17">
        <v>-137688203.49999997</v>
      </c>
      <c r="G31" s="17">
        <v>-135042843.80999997</v>
      </c>
      <c r="H31" s="17">
        <v>-135668643.35999995</v>
      </c>
      <c r="I31" s="17">
        <v>-136299148.41999999</v>
      </c>
      <c r="J31" s="17">
        <v>-136931900.08000007</v>
      </c>
      <c r="K31" s="17">
        <v>-137565119.33999994</v>
      </c>
      <c r="L31" s="17">
        <v>-138197975.22</v>
      </c>
      <c r="M31" s="17">
        <v>-138833127.83999994</v>
      </c>
      <c r="N31" s="17">
        <v>-139469792.33999997</v>
      </c>
      <c r="O31" s="17">
        <v>-140106457.91000003</v>
      </c>
      <c r="P31" s="17">
        <v>-140744214.84</v>
      </c>
      <c r="Q31" s="18">
        <f t="shared" si="1"/>
        <v>-137621081.01499999</v>
      </c>
      <c r="S31" s="2" t="s">
        <v>864</v>
      </c>
    </row>
    <row r="32" spans="1:19" ht="15" customHeight="1" x14ac:dyDescent="0.25">
      <c r="A32" s="77"/>
      <c r="B32" s="77" t="s">
        <v>325</v>
      </c>
      <c r="C32" s="16"/>
      <c r="D32" s="19">
        <v>-2123803.83</v>
      </c>
      <c r="E32" s="19">
        <v>-2126448.2999999998</v>
      </c>
      <c r="F32" s="19">
        <v>-2129092.7800000003</v>
      </c>
      <c r="G32" s="19">
        <v>-2131737.2400000002</v>
      </c>
      <c r="H32" s="19">
        <v>-2134381.66</v>
      </c>
      <c r="I32" s="19">
        <v>-2137026.17</v>
      </c>
      <c r="J32" s="19">
        <v>-2139670.6100000003</v>
      </c>
      <c r="K32" s="19">
        <v>-2142315.0499999998</v>
      </c>
      <c r="L32" s="19">
        <v>-2144959.4699999997</v>
      </c>
      <c r="M32" s="19">
        <v>-2147603.98</v>
      </c>
      <c r="N32" s="19">
        <v>-2150248.4299999997</v>
      </c>
      <c r="O32" s="19">
        <v>-2152892.8899999997</v>
      </c>
      <c r="P32" s="19">
        <v>-2155537.31</v>
      </c>
      <c r="Q32" s="19">
        <f t="shared" si="1"/>
        <v>-2139670.5958333337</v>
      </c>
      <c r="S32" s="2" t="s">
        <v>864</v>
      </c>
    </row>
    <row r="33" spans="1:23" ht="15" customHeight="1" x14ac:dyDescent="0.25">
      <c r="A33" s="77"/>
      <c r="B33" s="7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23" ht="15" customHeight="1" thickBot="1" x14ac:dyDescent="0.3">
      <c r="A34" s="77"/>
      <c r="B34" s="77" t="s">
        <v>547</v>
      </c>
      <c r="C34" s="16"/>
      <c r="D34" s="20">
        <f>SUM(D23:D33)</f>
        <v>-1292316310.7799997</v>
      </c>
      <c r="E34" s="20">
        <f t="shared" ref="E34:Q34" si="2">SUM(E23:E33)</f>
        <v>-1294009828.6899998</v>
      </c>
      <c r="F34" s="20">
        <f t="shared" si="2"/>
        <v>-1300006940.9200001</v>
      </c>
      <c r="G34" s="20">
        <f t="shared" si="2"/>
        <v>-1302494942.1199999</v>
      </c>
      <c r="H34" s="20">
        <f t="shared" si="2"/>
        <v>-1308000282.25</v>
      </c>
      <c r="I34" s="20">
        <f t="shared" si="2"/>
        <v>-1313405130.01</v>
      </c>
      <c r="J34" s="20">
        <f t="shared" si="2"/>
        <v>-1318881623.1500001</v>
      </c>
      <c r="K34" s="20">
        <f t="shared" si="2"/>
        <v>-1324629001.3799999</v>
      </c>
      <c r="L34" s="20">
        <f t="shared" si="2"/>
        <v>-1330290357.3300002</v>
      </c>
      <c r="M34" s="20">
        <f t="shared" si="2"/>
        <v>-1335646120.4700003</v>
      </c>
      <c r="N34" s="20">
        <f t="shared" si="2"/>
        <v>-1340792585.5</v>
      </c>
      <c r="O34" s="20">
        <f t="shared" si="2"/>
        <v>-1346280072.8600001</v>
      </c>
      <c r="P34" s="20">
        <f t="shared" si="2"/>
        <v>-1352312412.8099999</v>
      </c>
      <c r="Q34" s="20">
        <f t="shared" si="2"/>
        <v>-1319729270.5395832</v>
      </c>
    </row>
    <row r="35" spans="1:23" ht="15" customHeight="1" thickTop="1" x14ac:dyDescent="0.2">
      <c r="A35" s="23"/>
      <c r="B35" s="24"/>
      <c r="C35" s="13"/>
      <c r="D35" s="17"/>
      <c r="E35" s="17"/>
      <c r="F35" s="17"/>
      <c r="G35" s="16"/>
      <c r="H35" s="12"/>
      <c r="I35" s="4"/>
      <c r="J35" s="4"/>
      <c r="K35" s="4"/>
      <c r="L35" s="4"/>
      <c r="M35" s="4"/>
      <c r="N35" s="4"/>
      <c r="O35" s="4"/>
      <c r="P35" s="6"/>
      <c r="Q35" s="6"/>
    </row>
    <row r="36" spans="1:23" ht="15" customHeight="1" x14ac:dyDescent="0.2">
      <c r="A36" s="23"/>
      <c r="B36" s="24" t="s">
        <v>215</v>
      </c>
      <c r="C36" s="13"/>
      <c r="D36" s="17">
        <v>14141902.34</v>
      </c>
      <c r="E36" s="17">
        <v>14139823.939999999</v>
      </c>
      <c r="F36" s="17">
        <v>14137731.6</v>
      </c>
      <c r="G36" s="17">
        <v>18488587.359999999</v>
      </c>
      <c r="H36" s="17">
        <v>18486971.060000002</v>
      </c>
      <c r="I36" s="17">
        <v>18484665.539999999</v>
      </c>
      <c r="J36" s="17">
        <v>18482827.060000002</v>
      </c>
      <c r="K36" s="17">
        <v>18480561.890000001</v>
      </c>
      <c r="L36" s="17">
        <v>18478826.470000003</v>
      </c>
      <c r="M36" s="17">
        <v>18478349.199999999</v>
      </c>
      <c r="N36" s="17">
        <v>18501807.470000003</v>
      </c>
      <c r="O36" s="17">
        <v>18500225.260000002</v>
      </c>
      <c r="P36" s="17">
        <v>18498668.720000003</v>
      </c>
      <c r="Q36" s="17">
        <f t="shared" si="1"/>
        <v>17581721.864999998</v>
      </c>
      <c r="S36" s="2" t="s">
        <v>887</v>
      </c>
    </row>
    <row r="37" spans="1:23" ht="15" customHeight="1" x14ac:dyDescent="0.2">
      <c r="A37" s="23"/>
      <c r="B37" s="24" t="s">
        <v>110</v>
      </c>
      <c r="C37" s="13"/>
      <c r="D37" s="17">
        <v>-4053176.94</v>
      </c>
      <c r="E37" s="17">
        <v>-4111810.57</v>
      </c>
      <c r="F37" s="17">
        <v>-3901897.72</v>
      </c>
      <c r="G37" s="17">
        <v>-3965148.72</v>
      </c>
      <c r="H37" s="17">
        <v>-4041490.49</v>
      </c>
      <c r="I37" s="17">
        <v>-4107884.26</v>
      </c>
      <c r="J37" s="17">
        <v>-4087078.22</v>
      </c>
      <c r="K37" s="17">
        <v>-4163333.99</v>
      </c>
      <c r="L37" s="17">
        <v>-4268622.26</v>
      </c>
      <c r="M37" s="17">
        <v>-4367024.72</v>
      </c>
      <c r="N37" s="17">
        <v>-4494193.72</v>
      </c>
      <c r="O37" s="17">
        <v>-4608549.72</v>
      </c>
      <c r="P37" s="17">
        <v>-4686796.24</v>
      </c>
      <c r="Q37" s="17">
        <f t="shared" si="1"/>
        <v>-4207251.7483333321</v>
      </c>
      <c r="S37" s="2" t="s">
        <v>887</v>
      </c>
    </row>
    <row r="38" spans="1:23" ht="15" customHeight="1" x14ac:dyDescent="0.2">
      <c r="A38" s="23"/>
      <c r="B38" s="24" t="s">
        <v>124</v>
      </c>
      <c r="C38" s="13"/>
      <c r="D38" s="17">
        <v>311029.95999999996</v>
      </c>
      <c r="E38" s="17">
        <v>289990.23000000045</v>
      </c>
      <c r="F38" s="17">
        <v>273288.64000000013</v>
      </c>
      <c r="G38" s="17">
        <v>280355.16000000015</v>
      </c>
      <c r="H38" s="17">
        <v>257039.56999999983</v>
      </c>
      <c r="I38" s="17">
        <v>233206.7200000002</v>
      </c>
      <c r="J38" s="17">
        <v>209373.87000000011</v>
      </c>
      <c r="K38" s="17">
        <v>201171.62000000011</v>
      </c>
      <c r="L38" s="17">
        <v>177425.72999999998</v>
      </c>
      <c r="M38" s="17">
        <v>156586.9299999997</v>
      </c>
      <c r="N38" s="17">
        <v>134747.03000000026</v>
      </c>
      <c r="O38" s="17">
        <v>112134.62000000011</v>
      </c>
      <c r="P38" s="17">
        <v>89428.010000000242</v>
      </c>
      <c r="Q38" s="17">
        <f t="shared" si="1"/>
        <v>210462.42541666678</v>
      </c>
      <c r="S38" s="2" t="s">
        <v>887</v>
      </c>
    </row>
    <row r="39" spans="1:23" s="41" customFormat="1" ht="15" customHeight="1" x14ac:dyDescent="0.2">
      <c r="A39" s="109"/>
      <c r="B39" s="39" t="s">
        <v>705</v>
      </c>
      <c r="C39" s="16"/>
      <c r="D39" s="17">
        <v>64227540.881361388</v>
      </c>
      <c r="E39" s="17">
        <v>63343617.152090661</v>
      </c>
      <c r="F39" s="17">
        <v>62401477.668470725</v>
      </c>
      <c r="G39" s="17">
        <v>61474177.715785049</v>
      </c>
      <c r="H39" s="17">
        <v>60379281.058799185</v>
      </c>
      <c r="I39" s="17">
        <v>59429947.92786704</v>
      </c>
      <c r="J39" s="17">
        <v>58399198.357815184</v>
      </c>
      <c r="K39" s="17">
        <v>57435594.756634399</v>
      </c>
      <c r="L39" s="17">
        <v>56459265.978967234</v>
      </c>
      <c r="M39" s="17">
        <v>55566517.431129336</v>
      </c>
      <c r="N39" s="17">
        <v>54392699.255927578</v>
      </c>
      <c r="O39" s="17">
        <v>53257965.584913865</v>
      </c>
      <c r="P39" s="17">
        <v>52190434.448521607</v>
      </c>
      <c r="Q39" s="17">
        <f t="shared" si="1"/>
        <v>58395727.546111822</v>
      </c>
      <c r="S39" s="2" t="s">
        <v>897</v>
      </c>
      <c r="V39" s="41" t="s">
        <v>899</v>
      </c>
      <c r="W39" s="523">
        <f>+Q63/Q20</f>
        <v>0.11307345043230936</v>
      </c>
    </row>
    <row r="40" spans="1:23" ht="15" customHeight="1" x14ac:dyDescent="0.2">
      <c r="A40" s="23"/>
      <c r="C40" s="13"/>
      <c r="D40" s="17"/>
      <c r="E40" s="17"/>
      <c r="F40" s="17"/>
      <c r="G40" s="16"/>
      <c r="H40" s="12"/>
      <c r="I40" s="6"/>
      <c r="J40" s="6"/>
      <c r="K40" s="6"/>
      <c r="L40" s="6"/>
      <c r="M40" s="6"/>
      <c r="N40" s="6"/>
      <c r="O40" s="6"/>
      <c r="P40" s="6"/>
      <c r="Q40" s="6"/>
      <c r="V40" s="2" t="s">
        <v>546</v>
      </c>
      <c r="W40" s="136">
        <f>+Q77/Q34</f>
        <v>0.10374888431519907</v>
      </c>
    </row>
    <row r="41" spans="1:23" s="41" customFormat="1" ht="15" customHeight="1" x14ac:dyDescent="0.2">
      <c r="A41" s="109"/>
      <c r="B41" s="39" t="s">
        <v>127</v>
      </c>
      <c r="C41" s="16"/>
      <c r="D41" s="19">
        <f>+'WP - Deferred Tax'!D18</f>
        <v>-430947126.47000003</v>
      </c>
      <c r="E41" s="19">
        <f>+D41+('WP - Deferred Tax'!$E10-'WP - Deferred Tax'!$E9)/12</f>
        <v>-431135548.3296119</v>
      </c>
      <c r="F41" s="19">
        <f>+E41+('WP - Deferred Tax'!$E10-'WP - Deferred Tax'!$E9)/12</f>
        <v>-431323970.18922377</v>
      </c>
      <c r="G41" s="19">
        <f>+F41+('WP - Deferred Tax'!$E10-'WP - Deferred Tax'!$E9)/12</f>
        <v>-431512392.04883564</v>
      </c>
      <c r="H41" s="19">
        <f>+G41+('WP - Deferred Tax'!$E10-'WP - Deferred Tax'!$E9)/12</f>
        <v>-431700813.9084475</v>
      </c>
      <c r="I41" s="19">
        <f>+H41+('WP - Deferred Tax'!$E10-'WP - Deferred Tax'!$E9)/12</f>
        <v>-431889235.76805937</v>
      </c>
      <c r="J41" s="19">
        <f>+I41+('WP - Deferred Tax'!$E10-'WP - Deferred Tax'!$E9)/12</f>
        <v>-432077657.62767124</v>
      </c>
      <c r="K41" s="19">
        <f>+J41+('WP - Deferred Tax'!$E10-'WP - Deferred Tax'!$E9)/12</f>
        <v>-432266079.48728311</v>
      </c>
      <c r="L41" s="19">
        <f>+K41+('WP - Deferred Tax'!$E10-'WP - Deferred Tax'!$E9)/12</f>
        <v>-432454501.34689498</v>
      </c>
      <c r="M41" s="19">
        <f>+L41+('WP - Deferred Tax'!$E10-'WP - Deferred Tax'!$E9)/12</f>
        <v>-432642923.20650685</v>
      </c>
      <c r="N41" s="19">
        <f>+M41+('WP - Deferred Tax'!$E10-'WP - Deferred Tax'!$E9)/12</f>
        <v>-432831345.06611872</v>
      </c>
      <c r="O41" s="19">
        <f>+N41+('WP - Deferred Tax'!$E10-'WP - Deferred Tax'!$E9)/12</f>
        <v>-433019766.92573059</v>
      </c>
      <c r="P41" s="19">
        <f>+'WP - Deferred Tax'!E33</f>
        <v>-433208188.78534251</v>
      </c>
      <c r="Q41" s="19">
        <f>+(P41+D41)/2</f>
        <v>-432077657.62767124</v>
      </c>
      <c r="S41" s="41" t="s">
        <v>860</v>
      </c>
      <c r="W41" s="523"/>
    </row>
    <row r="42" spans="1:23" ht="15" customHeight="1" x14ac:dyDescent="0.2">
      <c r="A42" s="23"/>
      <c r="B42" s="24"/>
      <c r="C42" s="13"/>
      <c r="D42" s="17"/>
      <c r="E42" s="17"/>
      <c r="F42" s="17"/>
      <c r="G42" s="26"/>
      <c r="H42" s="12"/>
      <c r="I42" s="4"/>
      <c r="J42" s="4"/>
      <c r="K42" s="4"/>
      <c r="L42" s="4"/>
      <c r="M42" s="4"/>
      <c r="N42" s="4"/>
      <c r="O42" s="4"/>
      <c r="P42" s="6"/>
      <c r="Q42" s="6"/>
      <c r="V42" s="2" t="s">
        <v>900</v>
      </c>
      <c r="W42" s="136">
        <f>+Q79/Q36</f>
        <v>0.10419999999999999</v>
      </c>
    </row>
    <row r="43" spans="1:23" ht="15" customHeight="1" thickBot="1" x14ac:dyDescent="0.25">
      <c r="A43" s="23"/>
      <c r="B43" s="27" t="s">
        <v>326</v>
      </c>
      <c r="C43" s="13"/>
      <c r="D43" s="28">
        <f>+D20+D34+D36+D37+D38+D41+D39</f>
        <v>1270722497.1713624</v>
      </c>
      <c r="E43" s="28">
        <f t="shared" ref="E43:Q43" si="3">+E20+E34+E36+E37+E38+E41+E39</f>
        <v>1275711925.8824787</v>
      </c>
      <c r="F43" s="28">
        <f t="shared" si="3"/>
        <v>1282219679.3892472</v>
      </c>
      <c r="G43" s="28">
        <f t="shared" si="3"/>
        <v>1298029344.0669494</v>
      </c>
      <c r="H43" s="28">
        <f t="shared" si="3"/>
        <v>1298876079.3703516</v>
      </c>
      <c r="I43" s="28">
        <f t="shared" si="3"/>
        <v>1300083694.0998063</v>
      </c>
      <c r="J43" s="28">
        <f t="shared" si="3"/>
        <v>1306553993.3501432</v>
      </c>
      <c r="K43" s="28">
        <f t="shared" si="3"/>
        <v>1303653312.0093515</v>
      </c>
      <c r="L43" s="28">
        <f t="shared" si="3"/>
        <v>1304990459.8720717</v>
      </c>
      <c r="M43" s="28">
        <f t="shared" si="3"/>
        <v>1316640999.9946222</v>
      </c>
      <c r="N43" s="28">
        <f t="shared" si="3"/>
        <v>1317510029.6698086</v>
      </c>
      <c r="O43" s="28">
        <f t="shared" si="3"/>
        <v>1318484310.5991833</v>
      </c>
      <c r="P43" s="28">
        <f t="shared" si="3"/>
        <v>1326695548.4931788</v>
      </c>
      <c r="Q43" s="28">
        <f t="shared" si="3"/>
        <v>1301788570.9280243</v>
      </c>
      <c r="V43" s="2" t="s">
        <v>901</v>
      </c>
      <c r="W43" s="136">
        <f>+Q81/Q38</f>
        <v>0.11209999999999996</v>
      </c>
    </row>
    <row r="44" spans="1:23" ht="15" customHeight="1" thickTop="1" x14ac:dyDescent="0.2">
      <c r="A44" s="23"/>
      <c r="B44" s="4"/>
      <c r="C44" s="3"/>
      <c r="D44" s="12"/>
      <c r="E44" s="12"/>
      <c r="F44" s="12"/>
      <c r="G44" s="12"/>
      <c r="H44" s="12"/>
      <c r="I44" s="4"/>
      <c r="J44" s="4"/>
      <c r="K44" s="4"/>
      <c r="L44" s="4"/>
      <c r="M44" s="4"/>
      <c r="N44" s="4"/>
      <c r="O44" s="4"/>
      <c r="P44" s="6"/>
      <c r="Q44" s="6"/>
    </row>
    <row r="45" spans="1:23" ht="15" customHeight="1" x14ac:dyDescent="0.2">
      <c r="A45" s="23"/>
      <c r="B45" s="1" t="s">
        <v>142</v>
      </c>
      <c r="C45" s="3"/>
      <c r="D45" s="12"/>
      <c r="E45" s="12"/>
      <c r="F45" s="12"/>
      <c r="G45" s="12"/>
      <c r="H45" s="12"/>
      <c r="I45" s="4"/>
      <c r="J45" s="4"/>
      <c r="K45" s="4"/>
      <c r="L45" s="4"/>
      <c r="M45" s="4"/>
      <c r="N45" s="4"/>
      <c r="O45" s="4"/>
      <c r="P45" s="30"/>
      <c r="Q45" s="30">
        <f>Q43</f>
        <v>1301788570.9280243</v>
      </c>
    </row>
    <row r="46" spans="1:23" ht="15" customHeight="1" x14ac:dyDescent="0.2">
      <c r="A46" s="23"/>
      <c r="B46" s="31" t="s">
        <v>144</v>
      </c>
      <c r="C46" s="3"/>
      <c r="D46" s="12"/>
      <c r="E46" s="12"/>
      <c r="F46" s="12"/>
      <c r="G46" s="12"/>
      <c r="H46" s="12"/>
      <c r="I46" s="4"/>
      <c r="J46" s="4"/>
      <c r="K46" s="4"/>
      <c r="L46" s="4"/>
      <c r="M46" s="4"/>
      <c r="N46" s="4"/>
      <c r="O46" s="4"/>
      <c r="P46" s="30"/>
      <c r="Q46" s="30">
        <f>-+Q41</f>
        <v>432077657.62767124</v>
      </c>
    </row>
    <row r="47" spans="1:23" ht="15" customHeight="1" x14ac:dyDescent="0.2">
      <c r="A47" s="23"/>
      <c r="B47" s="32" t="s">
        <v>147</v>
      </c>
      <c r="C47" s="3"/>
      <c r="D47" s="12"/>
      <c r="E47" s="12"/>
      <c r="F47" s="12"/>
      <c r="G47" s="12"/>
      <c r="H47" s="12"/>
      <c r="I47" s="4"/>
      <c r="J47" s="4"/>
      <c r="K47" s="4"/>
      <c r="L47" s="4"/>
      <c r="M47" s="4"/>
      <c r="N47" s="4"/>
      <c r="O47" s="33"/>
      <c r="P47" s="35"/>
      <c r="Q47" s="35">
        <f>+P41</f>
        <v>-433208188.78534251</v>
      </c>
    </row>
    <row r="48" spans="1:23" ht="15" customHeight="1" thickBot="1" x14ac:dyDescent="0.25">
      <c r="A48" s="23"/>
      <c r="B48" s="36" t="s">
        <v>327</v>
      </c>
      <c r="C48" s="3"/>
      <c r="D48" s="12"/>
      <c r="E48" s="12"/>
      <c r="F48" s="12"/>
      <c r="G48" s="12"/>
      <c r="H48" s="12"/>
      <c r="I48" s="4"/>
      <c r="J48" s="4"/>
      <c r="K48" s="4"/>
      <c r="L48" s="4"/>
      <c r="M48" s="4"/>
      <c r="N48" s="4"/>
      <c r="O48" s="4"/>
      <c r="P48" s="471"/>
      <c r="Q48" s="38">
        <f>SUM(Q45:Q47)</f>
        <v>1300658039.7703531</v>
      </c>
    </row>
    <row r="49" spans="1:19" ht="15" customHeight="1" thickTop="1" x14ac:dyDescent="0.2">
      <c r="A49" s="23"/>
      <c r="B49" s="4"/>
      <c r="C49" s="3"/>
      <c r="D49" s="12"/>
      <c r="E49" s="12"/>
      <c r="F49" s="12"/>
      <c r="G49" s="12"/>
      <c r="H49" s="12"/>
      <c r="I49" s="4"/>
      <c r="J49" s="4"/>
      <c r="K49" s="4"/>
      <c r="L49" s="4"/>
      <c r="M49" s="4"/>
      <c r="N49" s="4"/>
      <c r="O49" s="4"/>
      <c r="P49" s="12"/>
      <c r="Q49" s="6"/>
    </row>
    <row r="50" spans="1:19" ht="15" customHeight="1" thickBot="1" x14ac:dyDescent="0.25">
      <c r="A50" s="525" t="s">
        <v>10</v>
      </c>
      <c r="B50" s="525"/>
      <c r="C50" s="525"/>
      <c r="D50" s="12"/>
      <c r="E50" s="12"/>
      <c r="F50" s="12"/>
      <c r="G50" s="12"/>
      <c r="H50" s="12"/>
      <c r="I50" s="4"/>
      <c r="J50" s="4"/>
      <c r="K50" s="4"/>
      <c r="L50" s="4"/>
      <c r="M50" s="4"/>
      <c r="N50" s="4"/>
      <c r="O50" s="4"/>
      <c r="P50" s="6"/>
      <c r="Q50" s="6"/>
    </row>
    <row r="51" spans="1:19" ht="15" customHeight="1" x14ac:dyDescent="0.25">
      <c r="A51" s="254" t="s">
        <v>38</v>
      </c>
      <c r="B51" s="267"/>
      <c r="C51" s="13"/>
      <c r="D51" s="14"/>
      <c r="E51" s="14"/>
      <c r="F51" s="14"/>
      <c r="G51" s="15"/>
      <c r="H51" s="12"/>
      <c r="I51" s="4"/>
      <c r="J51" s="4"/>
      <c r="K51" s="4"/>
      <c r="L51" s="4"/>
      <c r="M51" s="4"/>
      <c r="N51" s="4"/>
      <c r="O51" s="4"/>
      <c r="P51" s="6"/>
      <c r="Q51" s="6"/>
    </row>
    <row r="52" spans="1:19" ht="15" customHeight="1" x14ac:dyDescent="0.25">
      <c r="A52" s="77"/>
      <c r="B52" s="77" t="s">
        <v>542</v>
      </c>
      <c r="C52" s="16"/>
      <c r="D52" s="17">
        <v>11421565.406064004</v>
      </c>
      <c r="E52" s="17">
        <v>11471970.986820003</v>
      </c>
      <c r="F52" s="17">
        <v>11595351.123468004</v>
      </c>
      <c r="G52" s="17">
        <v>11737594.015992004</v>
      </c>
      <c r="H52" s="17">
        <v>11741579.619156005</v>
      </c>
      <c r="I52" s="17">
        <v>11827003.294548005</v>
      </c>
      <c r="J52" s="17">
        <v>11822341.668804005</v>
      </c>
      <c r="K52" s="17">
        <v>11825044.211232005</v>
      </c>
      <c r="L52" s="17">
        <v>11825014.040172005</v>
      </c>
      <c r="M52" s="17">
        <v>11867501.430180004</v>
      </c>
      <c r="N52" s="17">
        <v>11868613.400304005</v>
      </c>
      <c r="O52" s="17">
        <v>11867246.881740004</v>
      </c>
      <c r="P52" s="17">
        <v>12378453.222708005</v>
      </c>
      <c r="Q52" s="17">
        <f t="shared" si="1"/>
        <v>11779105.832233503</v>
      </c>
      <c r="S52" s="2" t="s">
        <v>864</v>
      </c>
    </row>
    <row r="53" spans="1:19" ht="15" customHeight="1" x14ac:dyDescent="0.25">
      <c r="A53" s="77"/>
      <c r="B53" s="77" t="s">
        <v>543</v>
      </c>
      <c r="C53" s="16"/>
      <c r="D53" s="17">
        <v>447</v>
      </c>
      <c r="E53" s="17">
        <v>447</v>
      </c>
      <c r="F53" s="17">
        <v>447</v>
      </c>
      <c r="G53" s="17">
        <v>447</v>
      </c>
      <c r="H53" s="17">
        <v>447</v>
      </c>
      <c r="I53" s="17">
        <v>447</v>
      </c>
      <c r="J53" s="17">
        <v>447</v>
      </c>
      <c r="K53" s="17">
        <v>447</v>
      </c>
      <c r="L53" s="17">
        <v>447</v>
      </c>
      <c r="M53" s="17">
        <v>447</v>
      </c>
      <c r="N53" s="17">
        <v>447</v>
      </c>
      <c r="O53" s="17">
        <v>447</v>
      </c>
      <c r="P53" s="17">
        <v>447</v>
      </c>
      <c r="Q53" s="17">
        <f t="shared" si="1"/>
        <v>447</v>
      </c>
      <c r="S53" s="2" t="s">
        <v>864</v>
      </c>
    </row>
    <row r="54" spans="1:19" ht="15" customHeight="1" x14ac:dyDescent="0.25">
      <c r="A54" s="77"/>
      <c r="B54" s="77" t="s">
        <v>192</v>
      </c>
      <c r="C54" s="16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f t="shared" si="1"/>
        <v>0</v>
      </c>
      <c r="S54" s="2" t="s">
        <v>864</v>
      </c>
    </row>
    <row r="55" spans="1:19" ht="15" customHeight="1" x14ac:dyDescent="0.25">
      <c r="A55" s="77"/>
      <c r="B55" s="77" t="s">
        <v>193</v>
      </c>
      <c r="C55" s="16"/>
      <c r="D55" s="17">
        <v>1114673.6699999997</v>
      </c>
      <c r="E55" s="17">
        <v>1114673.6699999997</v>
      </c>
      <c r="F55" s="17">
        <v>1114673.6699999997</v>
      </c>
      <c r="G55" s="17">
        <v>1114673.6699999997</v>
      </c>
      <c r="H55" s="17">
        <v>1115001.0699999996</v>
      </c>
      <c r="I55" s="17">
        <v>1115001.0699999996</v>
      </c>
      <c r="J55" s="17">
        <v>1115001.0699999996</v>
      </c>
      <c r="K55" s="17">
        <v>1115001.0699999996</v>
      </c>
      <c r="L55" s="17">
        <v>1115001.0699999996</v>
      </c>
      <c r="M55" s="17">
        <v>1115001.0699999996</v>
      </c>
      <c r="N55" s="17">
        <v>1115001.0699999996</v>
      </c>
      <c r="O55" s="17">
        <v>1115001.0699999996</v>
      </c>
      <c r="P55" s="17">
        <v>1115001.0699999996</v>
      </c>
      <c r="Q55" s="17">
        <f t="shared" si="1"/>
        <v>1114905.5783333329</v>
      </c>
      <c r="S55" s="2" t="s">
        <v>864</v>
      </c>
    </row>
    <row r="56" spans="1:19" ht="15" customHeight="1" x14ac:dyDescent="0.25">
      <c r="A56" s="77"/>
      <c r="B56" s="77" t="s">
        <v>194</v>
      </c>
      <c r="C56" s="16"/>
      <c r="D56" s="17">
        <v>260330716.93000004</v>
      </c>
      <c r="E56" s="17">
        <v>261778867.17000005</v>
      </c>
      <c r="F56" s="17">
        <v>264513478.16000003</v>
      </c>
      <c r="G56" s="17">
        <v>267685383.40000004</v>
      </c>
      <c r="H56" s="17">
        <v>268646497.41000003</v>
      </c>
      <c r="I56" s="17">
        <v>269005468.62</v>
      </c>
      <c r="J56" s="17">
        <v>271664673.55000001</v>
      </c>
      <c r="K56" s="17">
        <v>272703898.68000001</v>
      </c>
      <c r="L56" s="17">
        <v>274534759.09999996</v>
      </c>
      <c r="M56" s="17">
        <v>277930132.24000007</v>
      </c>
      <c r="N56" s="17">
        <v>277960738.25999999</v>
      </c>
      <c r="O56" s="17">
        <v>279877159.53000003</v>
      </c>
      <c r="P56" s="17">
        <v>281297948.56</v>
      </c>
      <c r="Q56" s="17">
        <f t="shared" si="1"/>
        <v>271426282.40541673</v>
      </c>
      <c r="S56" s="2" t="s">
        <v>864</v>
      </c>
    </row>
    <row r="57" spans="1:19" ht="15" customHeight="1" x14ac:dyDescent="0.25">
      <c r="A57" s="77"/>
      <c r="B57" s="77" t="s">
        <v>208</v>
      </c>
      <c r="C57" s="16"/>
      <c r="D57" s="17">
        <v>14670296.022434</v>
      </c>
      <c r="E57" s="17">
        <v>14277583.290374998</v>
      </c>
      <c r="F57" s="17">
        <v>14673776.739765003</v>
      </c>
      <c r="G57" s="17">
        <v>14831481.484844001</v>
      </c>
      <c r="H57" s="17">
        <v>14978040.149342999</v>
      </c>
      <c r="I57" s="17">
        <v>14976404.195572998</v>
      </c>
      <c r="J57" s="17">
        <v>15003734.431160999</v>
      </c>
      <c r="K57" s="17">
        <v>15012215.367871001</v>
      </c>
      <c r="L57" s="17">
        <v>15121018.889131999</v>
      </c>
      <c r="M57" s="17">
        <v>15698016.480224</v>
      </c>
      <c r="N57" s="17">
        <v>15914441.536982998</v>
      </c>
      <c r="O57" s="17">
        <v>15931541.700326001</v>
      </c>
      <c r="P57" s="17">
        <v>15954044.47945</v>
      </c>
      <c r="Q57" s="17">
        <f t="shared" si="1"/>
        <v>15144202.043044917</v>
      </c>
      <c r="S57" s="2" t="s">
        <v>864</v>
      </c>
    </row>
    <row r="58" spans="1:19" ht="15" customHeight="1" x14ac:dyDescent="0.25">
      <c r="A58" s="77"/>
      <c r="B58" s="254" t="s">
        <v>544</v>
      </c>
      <c r="C58" s="16"/>
      <c r="D58" s="17">
        <v>1994681.7032721243</v>
      </c>
      <c r="E58" s="17">
        <v>1994681.7032721243</v>
      </c>
      <c r="F58" s="17">
        <v>1994681.7032721243</v>
      </c>
      <c r="G58" s="17">
        <v>1994681.7032721243</v>
      </c>
      <c r="H58" s="17">
        <v>1994681.7032721243</v>
      </c>
      <c r="I58" s="17">
        <v>1994681.7032721243</v>
      </c>
      <c r="J58" s="17">
        <v>1994681.7032721243</v>
      </c>
      <c r="K58" s="17">
        <v>1994681.7032721243</v>
      </c>
      <c r="L58" s="17">
        <v>1994681.7032721243</v>
      </c>
      <c r="M58" s="17">
        <v>1994681.7032721243</v>
      </c>
      <c r="N58" s="17">
        <v>1994681.7032721243</v>
      </c>
      <c r="O58" s="17">
        <v>1994681.7032721243</v>
      </c>
      <c r="P58" s="17">
        <v>1994681.7032721243</v>
      </c>
      <c r="Q58" s="17">
        <f t="shared" si="1"/>
        <v>1994681.7032721245</v>
      </c>
      <c r="S58" s="2" t="s">
        <v>864</v>
      </c>
    </row>
    <row r="59" spans="1:19" ht="15" customHeight="1" x14ac:dyDescent="0.25">
      <c r="A59" s="77"/>
      <c r="B59" s="254" t="s">
        <v>545</v>
      </c>
      <c r="C59" s="16"/>
      <c r="D59" s="17">
        <v>5570214.5754716983</v>
      </c>
      <c r="E59" s="17">
        <v>5570639.1667729467</v>
      </c>
      <c r="F59" s="17">
        <v>5571658.838467136</v>
      </c>
      <c r="G59" s="17">
        <v>5598116.6707700044</v>
      </c>
      <c r="H59" s="17">
        <v>5598795.4913087357</v>
      </c>
      <c r="I59" s="17">
        <v>5598966.3531392999</v>
      </c>
      <c r="J59" s="17">
        <v>5599135.9595259978</v>
      </c>
      <c r="K59" s="17">
        <v>5599301.2386183627</v>
      </c>
      <c r="L59" s="17">
        <v>5598408.2017111555</v>
      </c>
      <c r="M59" s="17">
        <v>5603803.5718682287</v>
      </c>
      <c r="N59" s="17">
        <v>5603890.2299474385</v>
      </c>
      <c r="O59" s="17">
        <v>5605037.1075906642</v>
      </c>
      <c r="P59" s="17">
        <v>5609379.0379514871</v>
      </c>
      <c r="Q59" s="17">
        <f t="shared" si="1"/>
        <v>5594795.8030359633</v>
      </c>
      <c r="S59" s="2" t="s">
        <v>864</v>
      </c>
    </row>
    <row r="60" spans="1:19" ht="15" customHeight="1" x14ac:dyDescent="0.25">
      <c r="A60" s="77"/>
      <c r="B60" s="77" t="s">
        <v>229</v>
      </c>
      <c r="C60" s="16"/>
      <c r="D60" s="18">
        <v>29152691.685392</v>
      </c>
      <c r="E60" s="18">
        <v>29520865.666502003</v>
      </c>
      <c r="F60" s="18">
        <v>29561051.659406003</v>
      </c>
      <c r="G60" s="18">
        <v>29303140.560506001</v>
      </c>
      <c r="H60" s="18">
        <v>29305513.363310002</v>
      </c>
      <c r="I60" s="18">
        <v>29703139.943319999</v>
      </c>
      <c r="J60" s="18">
        <v>29706215.803321999</v>
      </c>
      <c r="K60" s="18">
        <v>29708791.0636</v>
      </c>
      <c r="L60" s="18">
        <v>29707225.907702003</v>
      </c>
      <c r="M60" s="18">
        <v>29948016.744454</v>
      </c>
      <c r="N60" s="18">
        <v>29948903.750080004</v>
      </c>
      <c r="O60" s="18">
        <v>29948784.718251999</v>
      </c>
      <c r="P60" s="18">
        <v>30014702.601060003</v>
      </c>
      <c r="Q60" s="18">
        <f t="shared" si="1"/>
        <v>29662112.193640005</v>
      </c>
      <c r="S60" s="2" t="s">
        <v>864</v>
      </c>
    </row>
    <row r="61" spans="1:19" ht="15" customHeight="1" x14ac:dyDescent="0.25">
      <c r="A61" s="77"/>
      <c r="B61" s="77" t="s">
        <v>325</v>
      </c>
      <c r="C61" s="16"/>
      <c r="D61" s="19">
        <v>424945.14772899996</v>
      </c>
      <c r="E61" s="19">
        <v>424945.14772899996</v>
      </c>
      <c r="F61" s="19">
        <v>424945.14772899996</v>
      </c>
      <c r="G61" s="19">
        <v>424945.14772899996</v>
      </c>
      <c r="H61" s="19">
        <v>424945.14772899996</v>
      </c>
      <c r="I61" s="19">
        <v>424945.14772899996</v>
      </c>
      <c r="J61" s="19">
        <v>424945.14772899996</v>
      </c>
      <c r="K61" s="19">
        <v>424945.14772899996</v>
      </c>
      <c r="L61" s="19">
        <v>424945.14772899996</v>
      </c>
      <c r="M61" s="19">
        <v>424945.14772899996</v>
      </c>
      <c r="N61" s="19">
        <v>424945.14772899996</v>
      </c>
      <c r="O61" s="19">
        <v>424945.14772899996</v>
      </c>
      <c r="P61" s="19">
        <v>424945.14772899996</v>
      </c>
      <c r="Q61" s="19">
        <f t="shared" si="1"/>
        <v>424945.14772900002</v>
      </c>
      <c r="S61" s="2" t="s">
        <v>864</v>
      </c>
    </row>
    <row r="62" spans="1:19" ht="15" customHeight="1" x14ac:dyDescent="0.25">
      <c r="A62" s="77"/>
      <c r="B62" s="7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9" ht="15" customHeight="1" thickBot="1" x14ac:dyDescent="0.3">
      <c r="A63" s="77"/>
      <c r="B63" s="77" t="s">
        <v>230</v>
      </c>
      <c r="C63" s="16"/>
      <c r="D63" s="20">
        <f>SUM(D52:D62)</f>
        <v>324680232.14036286</v>
      </c>
      <c r="E63" s="20">
        <f t="shared" ref="E63:Q63" si="4">SUM(E52:E62)</f>
        <v>326154673.80147111</v>
      </c>
      <c r="F63" s="20">
        <f t="shared" si="4"/>
        <v>329450064.04210722</v>
      </c>
      <c r="G63" s="20">
        <f t="shared" si="4"/>
        <v>332690463.65311313</v>
      </c>
      <c r="H63" s="20">
        <f t="shared" si="4"/>
        <v>333805500.95411885</v>
      </c>
      <c r="I63" s="20">
        <f t="shared" si="4"/>
        <v>334646057.32758135</v>
      </c>
      <c r="J63" s="20">
        <f t="shared" si="4"/>
        <v>337331176.33381408</v>
      </c>
      <c r="K63" s="20">
        <f t="shared" si="4"/>
        <v>338384325.48232245</v>
      </c>
      <c r="L63" s="20">
        <f t="shared" si="4"/>
        <v>340321501.05971831</v>
      </c>
      <c r="M63" s="20">
        <f t="shared" si="4"/>
        <v>344582545.38772744</v>
      </c>
      <c r="N63" s="20">
        <f t="shared" si="4"/>
        <v>344831662.09831554</v>
      </c>
      <c r="O63" s="20">
        <f t="shared" si="4"/>
        <v>346764844.85890985</v>
      </c>
      <c r="P63" s="20">
        <f t="shared" si="4"/>
        <v>348789602.82217056</v>
      </c>
      <c r="Q63" s="20">
        <f t="shared" si="4"/>
        <v>337141477.70670551</v>
      </c>
    </row>
    <row r="64" spans="1:19" ht="15" customHeight="1" thickTop="1" x14ac:dyDescent="0.25">
      <c r="A64" s="21"/>
      <c r="B64" s="21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6"/>
    </row>
    <row r="65" spans="1:19" ht="15" customHeight="1" x14ac:dyDescent="0.25">
      <c r="A65" s="254" t="s">
        <v>546</v>
      </c>
      <c r="B65" s="267"/>
      <c r="C65" s="16"/>
      <c r="D65" s="17"/>
      <c r="E65" s="17"/>
      <c r="F65" s="17"/>
      <c r="G65" s="16"/>
      <c r="H65" s="12"/>
      <c r="I65" s="4"/>
      <c r="J65" s="4"/>
      <c r="K65" s="4"/>
      <c r="L65" s="4"/>
      <c r="M65" s="4"/>
      <c r="N65" s="4"/>
      <c r="O65" s="4"/>
      <c r="P65" s="6"/>
      <c r="Q65" s="17"/>
    </row>
    <row r="66" spans="1:19" ht="15" customHeight="1" x14ac:dyDescent="0.25">
      <c r="A66" s="77"/>
      <c r="B66" s="77" t="s">
        <v>542</v>
      </c>
      <c r="C66" s="16"/>
      <c r="D66" s="17">
        <v>-6977716.071696003</v>
      </c>
      <c r="E66" s="17">
        <v>-7003926.9777960032</v>
      </c>
      <c r="F66" s="17">
        <v>-7030449.9889200022</v>
      </c>
      <c r="G66" s="17">
        <v>-7057447.2922320021</v>
      </c>
      <c r="H66" s="17">
        <v>-7084709.9211960034</v>
      </c>
      <c r="I66" s="17">
        <v>-7112133.0901080025</v>
      </c>
      <c r="J66" s="17">
        <v>-7139701.3233960029</v>
      </c>
      <c r="K66" s="17">
        <v>-7167266.0211960031</v>
      </c>
      <c r="L66" s="17">
        <v>-7194835.5289560026</v>
      </c>
      <c r="M66" s="17">
        <v>-7222481.2695600027</v>
      </c>
      <c r="N66" s="17">
        <v>-7250205.3254640019</v>
      </c>
      <c r="O66" s="17">
        <v>-7277928.8992560022</v>
      </c>
      <c r="P66" s="17">
        <v>-7306568.0740440022</v>
      </c>
      <c r="Q66" s="17">
        <f t="shared" si="1"/>
        <v>-7140268.975912503</v>
      </c>
      <c r="S66" s="2" t="s">
        <v>864</v>
      </c>
    </row>
    <row r="67" spans="1:19" ht="15" customHeight="1" x14ac:dyDescent="0.25">
      <c r="A67" s="77"/>
      <c r="B67" s="77" t="s">
        <v>543</v>
      </c>
      <c r="C67" s="16"/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f t="shared" si="1"/>
        <v>0</v>
      </c>
      <c r="S67" s="2" t="s">
        <v>864</v>
      </c>
    </row>
    <row r="68" spans="1:19" ht="15" customHeight="1" x14ac:dyDescent="0.25">
      <c r="A68" s="77"/>
      <c r="B68" s="77" t="s">
        <v>192</v>
      </c>
      <c r="C68" s="16"/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f t="shared" si="1"/>
        <v>0</v>
      </c>
      <c r="S68" s="2" t="s">
        <v>864</v>
      </c>
    </row>
    <row r="69" spans="1:19" ht="15" customHeight="1" x14ac:dyDescent="0.25">
      <c r="A69" s="77"/>
      <c r="B69" s="77" t="s">
        <v>193</v>
      </c>
      <c r="C69" s="16"/>
      <c r="D69" s="17">
        <v>-142343.25</v>
      </c>
      <c r="E69" s="17">
        <v>-144247.47</v>
      </c>
      <c r="F69" s="17">
        <v>-146151.71</v>
      </c>
      <c r="G69" s="17">
        <v>-148055.94</v>
      </c>
      <c r="H69" s="17">
        <v>-149960.45000000001</v>
      </c>
      <c r="I69" s="17">
        <v>-151865.25</v>
      </c>
      <c r="J69" s="17">
        <v>-153770.06</v>
      </c>
      <c r="K69" s="17">
        <v>-155674.84</v>
      </c>
      <c r="L69" s="17">
        <v>-157579.62</v>
      </c>
      <c r="M69" s="17">
        <v>-159484.42000000001</v>
      </c>
      <c r="N69" s="17">
        <v>-161389.22</v>
      </c>
      <c r="O69" s="17">
        <v>-163293.99</v>
      </c>
      <c r="P69" s="17">
        <v>-165198.81</v>
      </c>
      <c r="Q69" s="17">
        <f t="shared" si="1"/>
        <v>-153770.33333333334</v>
      </c>
      <c r="S69" s="2" t="s">
        <v>864</v>
      </c>
    </row>
    <row r="70" spans="1:19" ht="15" customHeight="1" x14ac:dyDescent="0.25">
      <c r="A70" s="77"/>
      <c r="B70" s="77" t="s">
        <v>194</v>
      </c>
      <c r="C70" s="16"/>
      <c r="D70" s="17">
        <v>-105955041.16250001</v>
      </c>
      <c r="E70" s="17">
        <v>-106374361.06000002</v>
      </c>
      <c r="F70" s="17">
        <v>-106868265.04000002</v>
      </c>
      <c r="G70" s="17">
        <v>-107403156.14000002</v>
      </c>
      <c r="H70" s="17">
        <v>-107922695.62000002</v>
      </c>
      <c r="I70" s="17">
        <v>-108475864.66999999</v>
      </c>
      <c r="J70" s="17">
        <v>-109032955.55999999</v>
      </c>
      <c r="K70" s="17">
        <v>-109570211.27</v>
      </c>
      <c r="L70" s="17">
        <v>-110067678.03000002</v>
      </c>
      <c r="M70" s="17">
        <v>-110578630.31</v>
      </c>
      <c r="N70" s="17">
        <v>-110734781.75999999</v>
      </c>
      <c r="O70" s="17">
        <v>-111277217.59</v>
      </c>
      <c r="P70" s="17">
        <v>-111862300.07000002</v>
      </c>
      <c r="Q70" s="17">
        <f t="shared" si="1"/>
        <v>-108934540.63885415</v>
      </c>
      <c r="S70" s="2" t="s">
        <v>864</v>
      </c>
    </row>
    <row r="71" spans="1:19" ht="15" customHeight="1" x14ac:dyDescent="0.25">
      <c r="A71" s="77"/>
      <c r="B71" s="77" t="s">
        <v>208</v>
      </c>
      <c r="C71" s="16"/>
      <c r="D71" s="17">
        <v>-6074167.0339339999</v>
      </c>
      <c r="E71" s="17">
        <v>-5700716.485231</v>
      </c>
      <c r="F71" s="17">
        <v>-5786814.5987709984</v>
      </c>
      <c r="G71" s="17">
        <v>-5875688.7085079988</v>
      </c>
      <c r="H71" s="17">
        <v>-5969807.0143059986</v>
      </c>
      <c r="I71" s="17">
        <v>-6024790.2000829987</v>
      </c>
      <c r="J71" s="17">
        <v>-6092697.0551969977</v>
      </c>
      <c r="K71" s="17">
        <v>-6184133.593816</v>
      </c>
      <c r="L71" s="17">
        <v>-6235554.7101709992</v>
      </c>
      <c r="M71" s="17">
        <v>-6329121.8325999975</v>
      </c>
      <c r="N71" s="17">
        <v>-6429555.731329998</v>
      </c>
      <c r="O71" s="17">
        <v>-6530309.1105759982</v>
      </c>
      <c r="P71" s="17">
        <v>-6618685.4335369989</v>
      </c>
      <c r="Q71" s="17">
        <f t="shared" si="1"/>
        <v>-6125467.9395270413</v>
      </c>
      <c r="S71" s="2" t="s">
        <v>864</v>
      </c>
    </row>
    <row r="72" spans="1:19" ht="15" customHeight="1" x14ac:dyDescent="0.25">
      <c r="A72" s="77"/>
      <c r="B72" s="254" t="s">
        <v>544</v>
      </c>
      <c r="C72" s="16"/>
      <c r="D72" s="17">
        <v>-81016.304462568776</v>
      </c>
      <c r="E72" s="17">
        <v>-81016.304462568776</v>
      </c>
      <c r="F72" s="17">
        <v>-81016.304462568776</v>
      </c>
      <c r="G72" s="17">
        <v>-81016.304462568776</v>
      </c>
      <c r="H72" s="17">
        <v>-81016.304462568776</v>
      </c>
      <c r="I72" s="17">
        <v>-81016.304462568776</v>
      </c>
      <c r="J72" s="17">
        <v>-81016.304462568776</v>
      </c>
      <c r="K72" s="17">
        <v>-81016.304462568776</v>
      </c>
      <c r="L72" s="17">
        <v>-81016.304462568776</v>
      </c>
      <c r="M72" s="17">
        <v>-81016.304462568776</v>
      </c>
      <c r="N72" s="17">
        <v>-81016.304462568776</v>
      </c>
      <c r="O72" s="17">
        <v>-81016.304462568776</v>
      </c>
      <c r="P72" s="17">
        <v>-81016.304462568776</v>
      </c>
      <c r="Q72" s="17">
        <f t="shared" si="1"/>
        <v>-81016.304462568791</v>
      </c>
      <c r="S72" s="2" t="s">
        <v>864</v>
      </c>
    </row>
    <row r="73" spans="1:19" ht="15" customHeight="1" x14ac:dyDescent="0.25">
      <c r="A73" s="77"/>
      <c r="B73" s="254" t="s">
        <v>545</v>
      </c>
      <c r="C73" s="16"/>
      <c r="D73" s="17">
        <v>-959061.45770175662</v>
      </c>
      <c r="E73" s="17">
        <v>-968121.60202489595</v>
      </c>
      <c r="F73" s="17">
        <v>-977182.89701704471</v>
      </c>
      <c r="G73" s="17">
        <v>-986266.53408852743</v>
      </c>
      <c r="H73" s="17">
        <v>-995372.66252033587</v>
      </c>
      <c r="I73" s="17">
        <v>-1004479.5317938352</v>
      </c>
      <c r="J73" s="17">
        <v>-1013586.6541959727</v>
      </c>
      <c r="K73" s="17">
        <v>-1022694.0770145155</v>
      </c>
      <c r="L73" s="17">
        <v>-1031800.9156900477</v>
      </c>
      <c r="M73" s="17">
        <v>-1040911.3899604119</v>
      </c>
      <c r="N73" s="17">
        <v>-1050026.3769673349</v>
      </c>
      <c r="O73" s="17">
        <v>-1059142.4098684099</v>
      </c>
      <c r="P73" s="17">
        <v>-1068262.9267624984</v>
      </c>
      <c r="Q73" s="17">
        <f t="shared" si="1"/>
        <v>-1013603.9369477885</v>
      </c>
      <c r="S73" s="2" t="s">
        <v>864</v>
      </c>
    </row>
    <row r="74" spans="1:19" ht="15" customHeight="1" x14ac:dyDescent="0.25">
      <c r="A74" s="77"/>
      <c r="B74" s="77" t="s">
        <v>229</v>
      </c>
      <c r="C74" s="16"/>
      <c r="D74" s="18">
        <v>-13152930.549679989</v>
      </c>
      <c r="E74" s="18">
        <v>-13210764.919507995</v>
      </c>
      <c r="F74" s="18">
        <v>-13268709.576699993</v>
      </c>
      <c r="G74" s="18">
        <v>-12985612.797001991</v>
      </c>
      <c r="H74" s="18">
        <v>-13043370.81011199</v>
      </c>
      <c r="I74" s="18">
        <v>-13101619.137363993</v>
      </c>
      <c r="J74" s="18">
        <v>-13160101.560336003</v>
      </c>
      <c r="K74" s="18">
        <v>-13218632.707227988</v>
      </c>
      <c r="L74" s="18">
        <v>-13277125.989923995</v>
      </c>
      <c r="M74" s="18">
        <v>-13335858.592927989</v>
      </c>
      <c r="N74" s="18">
        <v>-13394748.733827991</v>
      </c>
      <c r="O74" s="18">
        <v>-13453638.986221997</v>
      </c>
      <c r="P74" s="18">
        <v>-13512642.958327996</v>
      </c>
      <c r="Q74" s="18">
        <f>((D74/2)+SUM(E74:O74)+(P74/2))/12</f>
        <v>-13231914.213762997</v>
      </c>
      <c r="S74" s="2" t="s">
        <v>864</v>
      </c>
    </row>
    <row r="75" spans="1:19" ht="15" customHeight="1" x14ac:dyDescent="0.25">
      <c r="A75" s="77"/>
      <c r="B75" s="77" t="s">
        <v>325</v>
      </c>
      <c r="C75" s="16"/>
      <c r="D75" s="19">
        <v>-238078.40934299995</v>
      </c>
      <c r="E75" s="19">
        <v>-238374.85442999992</v>
      </c>
      <c r="F75" s="19">
        <v>-238671.30063799999</v>
      </c>
      <c r="G75" s="19">
        <v>-238967.74460399998</v>
      </c>
      <c r="H75" s="19">
        <v>-239264.18408599996</v>
      </c>
      <c r="I75" s="19">
        <v>-239560.63365699994</v>
      </c>
      <c r="J75" s="19">
        <v>-239857.075381</v>
      </c>
      <c r="K75" s="19">
        <v>-240153.51710499992</v>
      </c>
      <c r="L75" s="19">
        <v>-240449.95658699994</v>
      </c>
      <c r="M75" s="19">
        <v>-240746.40615799994</v>
      </c>
      <c r="N75" s="19">
        <v>-241042.84900299992</v>
      </c>
      <c r="O75" s="19">
        <v>-241339.29296899991</v>
      </c>
      <c r="P75" s="19">
        <v>-241635.73245099996</v>
      </c>
      <c r="Q75" s="19">
        <f>((D75/2)+SUM(E75:O75)+(P75/2))/12</f>
        <v>-239857.07379291661</v>
      </c>
      <c r="S75" s="2" t="s">
        <v>864</v>
      </c>
    </row>
    <row r="76" spans="1:19" ht="15" customHeight="1" x14ac:dyDescent="0.25">
      <c r="A76" s="77"/>
      <c r="B76" s="7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9" ht="15" customHeight="1" thickBot="1" x14ac:dyDescent="0.3">
      <c r="A77" s="77"/>
      <c r="B77" s="77" t="s">
        <v>547</v>
      </c>
      <c r="C77" s="16"/>
      <c r="D77" s="20">
        <f t="shared" ref="D77:O77" si="5">SUM(D66:D76)</f>
        <v>-133580354.23931733</v>
      </c>
      <c r="E77" s="20">
        <f t="shared" si="5"/>
        <v>-133721529.67345248</v>
      </c>
      <c r="F77" s="20">
        <f t="shared" si="5"/>
        <v>-134397261.41650862</v>
      </c>
      <c r="G77" s="20">
        <f t="shared" si="5"/>
        <v>-134776211.46089709</v>
      </c>
      <c r="H77" s="20">
        <f t="shared" si="5"/>
        <v>-135486196.96668291</v>
      </c>
      <c r="I77" s="20">
        <f t="shared" si="5"/>
        <v>-136191328.8174684</v>
      </c>
      <c r="J77" s="20">
        <f t="shared" si="5"/>
        <v>-136913685.59296855</v>
      </c>
      <c r="K77" s="20">
        <f t="shared" si="5"/>
        <v>-137639782.33082208</v>
      </c>
      <c r="L77" s="20">
        <f t="shared" si="5"/>
        <v>-138286041.0557906</v>
      </c>
      <c r="M77" s="20">
        <f t="shared" si="5"/>
        <v>-138988250.52566895</v>
      </c>
      <c r="N77" s="20">
        <f t="shared" si="5"/>
        <v>-139342766.30105487</v>
      </c>
      <c r="O77" s="20">
        <f t="shared" si="5"/>
        <v>-140083886.58335397</v>
      </c>
      <c r="P77" s="20">
        <f>SUM(P66:P76)</f>
        <v>-140856310.30958506</v>
      </c>
      <c r="Q77" s="20">
        <f>SUM(Q66:Q76)</f>
        <v>-136920439.41659328</v>
      </c>
    </row>
    <row r="78" spans="1:19" ht="15" customHeight="1" thickTop="1" x14ac:dyDescent="0.2">
      <c r="A78" s="23"/>
      <c r="B78" s="39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6"/>
    </row>
    <row r="79" spans="1:19" ht="15" customHeight="1" x14ac:dyDescent="0.2">
      <c r="A79" s="23"/>
      <c r="B79" s="24" t="s">
        <v>215</v>
      </c>
      <c r="C79" s="13"/>
      <c r="D79" s="17">
        <v>1473586.2238279993</v>
      </c>
      <c r="E79" s="17">
        <v>1473369.6545479994</v>
      </c>
      <c r="F79" s="17">
        <v>1473151.6327199994</v>
      </c>
      <c r="G79" s="17">
        <v>1926510.8029119992</v>
      </c>
      <c r="H79" s="17">
        <v>1926342.3844519996</v>
      </c>
      <c r="I79" s="17">
        <v>1926102.1492679992</v>
      </c>
      <c r="J79" s="17">
        <v>1925910.5796519995</v>
      </c>
      <c r="K79" s="17">
        <v>1925674.5489379994</v>
      </c>
      <c r="L79" s="17">
        <v>1925493.7181739996</v>
      </c>
      <c r="M79" s="17">
        <v>1925443.9866399991</v>
      </c>
      <c r="N79" s="17">
        <v>1927888.3383739996</v>
      </c>
      <c r="O79" s="17">
        <v>1927723.4720919994</v>
      </c>
      <c r="P79" s="17">
        <v>1927561.2806239994</v>
      </c>
      <c r="Q79" s="17">
        <f>((D79/2)+SUM(E79:O79)+(P79/2))/12</f>
        <v>1832015.4183329996</v>
      </c>
      <c r="S79" s="2" t="s">
        <v>887</v>
      </c>
    </row>
    <row r="80" spans="1:19" ht="15" customHeight="1" x14ac:dyDescent="0.2">
      <c r="A80" s="23"/>
      <c r="B80" s="24" t="s">
        <v>110</v>
      </c>
      <c r="C80" s="13"/>
      <c r="D80" s="17">
        <v>-621336.63</v>
      </c>
      <c r="E80" s="17">
        <v>-653472.6</v>
      </c>
      <c r="F80" s="17">
        <v>-657715.6</v>
      </c>
      <c r="G80" s="17">
        <v>-668836.6</v>
      </c>
      <c r="H80" s="17">
        <v>-683152.6</v>
      </c>
      <c r="I80" s="17">
        <v>-696245.6</v>
      </c>
      <c r="J80" s="17">
        <v>-698517.6</v>
      </c>
      <c r="K80" s="17">
        <v>-713865.6</v>
      </c>
      <c r="L80" s="17">
        <v>-735486.6</v>
      </c>
      <c r="M80" s="17">
        <v>-765623.6</v>
      </c>
      <c r="N80" s="17">
        <v>-795603.6</v>
      </c>
      <c r="O80" s="17">
        <v>-818448.6</v>
      </c>
      <c r="P80" s="17">
        <v>-847225.6</v>
      </c>
      <c r="Q80" s="17">
        <f>((D80/2)+SUM(E80:O80)+(P80/2))/12</f>
        <v>-718437.47624999995</v>
      </c>
      <c r="S80" s="2" t="s">
        <v>887</v>
      </c>
    </row>
    <row r="81" spans="1:19" ht="15" customHeight="1" x14ac:dyDescent="0.2">
      <c r="A81" s="23"/>
      <c r="B81" s="24" t="s">
        <v>124</v>
      </c>
      <c r="C81" s="13"/>
      <c r="D81" s="17">
        <v>34866.458515999992</v>
      </c>
      <c r="E81" s="17">
        <v>32507.904783000042</v>
      </c>
      <c r="F81" s="17">
        <v>30635.656544000009</v>
      </c>
      <c r="G81" s="17">
        <v>31427.813436000011</v>
      </c>
      <c r="H81" s="17">
        <v>28814.135796999977</v>
      </c>
      <c r="I81" s="17">
        <v>26142.473312000016</v>
      </c>
      <c r="J81" s="17">
        <v>23470.810827000008</v>
      </c>
      <c r="K81" s="17">
        <v>22551.338602000007</v>
      </c>
      <c r="L81" s="17">
        <v>19889.424332999995</v>
      </c>
      <c r="M81" s="17">
        <v>17553.394852999962</v>
      </c>
      <c r="N81" s="17">
        <v>15105.142063000027</v>
      </c>
      <c r="O81" s="17">
        <v>12570.29090200001</v>
      </c>
      <c r="P81" s="17">
        <v>10024.879921000025</v>
      </c>
      <c r="Q81" s="17">
        <f>((D81/2)+SUM(E81:O81)+(P81/2))/12</f>
        <v>23592.837889208338</v>
      </c>
      <c r="S81" s="2" t="s">
        <v>887</v>
      </c>
    </row>
    <row r="82" spans="1:19" ht="15" customHeight="1" x14ac:dyDescent="0.2">
      <c r="A82" s="23"/>
      <c r="B82" s="24" t="s">
        <v>705</v>
      </c>
      <c r="C82" s="13"/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f>((D82/2)+SUM(E82:O82)+(P82/2))/12</f>
        <v>0</v>
      </c>
      <c r="S82" s="2" t="s">
        <v>865</v>
      </c>
    </row>
    <row r="83" spans="1:19" ht="15" customHeight="1" x14ac:dyDescent="0.2">
      <c r="A83" s="23"/>
      <c r="B83" s="24"/>
      <c r="C83" s="13"/>
      <c r="D83" s="493">
        <f>+D81/D38</f>
        <v>0.11209999999999999</v>
      </c>
      <c r="E83" s="17"/>
      <c r="F83" s="17"/>
      <c r="G83" s="16"/>
      <c r="H83" s="12"/>
      <c r="I83" s="6"/>
      <c r="J83" s="6"/>
      <c r="K83" s="6"/>
      <c r="L83" s="6"/>
      <c r="M83" s="6"/>
      <c r="N83" s="6"/>
      <c r="O83" s="6"/>
      <c r="P83" s="6"/>
      <c r="Q83" s="6"/>
    </row>
    <row r="84" spans="1:19" ht="15" customHeight="1" x14ac:dyDescent="0.2">
      <c r="A84" s="23"/>
      <c r="B84" s="24" t="s">
        <v>127</v>
      </c>
      <c r="C84" s="13"/>
      <c r="D84" s="17">
        <f>+'WP - Deferred Tax'!E4</f>
        <v>-39563412.76742924</v>
      </c>
      <c r="E84" s="17">
        <f>+D84+('WP - Deferred Tax'!$E5-'WP - Deferred Tax'!$E4)/12</f>
        <v>-39460158.54690475</v>
      </c>
      <c r="F84" s="17">
        <f>+E84+('WP - Deferred Tax'!$E5-'WP - Deferred Tax'!$E4)/12</f>
        <v>-39356904.32638026</v>
      </c>
      <c r="G84" s="17">
        <f>+F84+('WP - Deferred Tax'!$E5-'WP - Deferred Tax'!$E4)/12</f>
        <v>-39253650.10585577</v>
      </c>
      <c r="H84" s="17">
        <f>+G84+('WP - Deferred Tax'!$E5-'WP - Deferred Tax'!$E4)/12</f>
        <v>-39150395.885331281</v>
      </c>
      <c r="I84" s="17">
        <f>+H84+('WP - Deferred Tax'!$E5-'WP - Deferred Tax'!$E4)/12</f>
        <v>-39047141.664806791</v>
      </c>
      <c r="J84" s="17">
        <f>+I84+('WP - Deferred Tax'!$E5-'WP - Deferred Tax'!$E4)/12</f>
        <v>-38943887.444282301</v>
      </c>
      <c r="K84" s="17">
        <f>+J84+('WP - Deferred Tax'!$E5-'WP - Deferred Tax'!$E4)/12</f>
        <v>-38840633.223757811</v>
      </c>
      <c r="L84" s="17">
        <f>+K84+('WP - Deferred Tax'!$E5-'WP - Deferred Tax'!$E4)/12</f>
        <v>-38737379.003233321</v>
      </c>
      <c r="M84" s="17">
        <f>+L84+('WP - Deferred Tax'!$E5-'WP - Deferred Tax'!$E4)/12</f>
        <v>-38634124.782708831</v>
      </c>
      <c r="N84" s="17">
        <f>+M84+('WP - Deferred Tax'!$E5-'WP - Deferred Tax'!$E4)/12</f>
        <v>-38530870.562184341</v>
      </c>
      <c r="O84" s="17">
        <f>+N84+('WP - Deferred Tax'!$E5-'WP - Deferred Tax'!$E4)/12</f>
        <v>-38427616.341659851</v>
      </c>
      <c r="P84" s="17">
        <f>+'WP - Deferred Tax'!E5</f>
        <v>-38324362.121135324</v>
      </c>
      <c r="Q84" s="17">
        <f>+(P84+D84)/2</f>
        <v>-38943887.444282278</v>
      </c>
      <c r="S84" s="2" t="s">
        <v>860</v>
      </c>
    </row>
    <row r="85" spans="1:19" ht="15" customHeight="1" x14ac:dyDescent="0.2">
      <c r="A85" s="23"/>
      <c r="B85" s="24"/>
      <c r="C85" s="13"/>
      <c r="D85" s="17"/>
      <c r="E85" s="17"/>
      <c r="F85" s="17"/>
      <c r="G85" s="26"/>
      <c r="H85" s="12"/>
      <c r="I85" s="4"/>
      <c r="J85" s="4"/>
      <c r="K85" s="4"/>
      <c r="L85" s="4"/>
      <c r="M85" s="4"/>
      <c r="N85" s="4"/>
      <c r="O85" s="4"/>
      <c r="P85" s="6"/>
      <c r="Q85" s="6"/>
    </row>
    <row r="86" spans="1:19" ht="15" customHeight="1" thickBot="1" x14ac:dyDescent="0.25">
      <c r="A86" s="23"/>
      <c r="B86" s="27" t="s">
        <v>326</v>
      </c>
      <c r="C86" s="13"/>
      <c r="D86" s="28">
        <f>D63+D77+D79+D80+D81+D84</f>
        <v>152423581.18596029</v>
      </c>
      <c r="E86" s="28">
        <f t="shared" ref="E86:Q86" si="6">E63+E77+E79+E80+E81+E84</f>
        <v>153825390.54044488</v>
      </c>
      <c r="F86" s="28">
        <f t="shared" si="6"/>
        <v>156541969.98848236</v>
      </c>
      <c r="G86" s="28">
        <f t="shared" si="6"/>
        <v>159949704.10270828</v>
      </c>
      <c r="H86" s="28">
        <f t="shared" si="6"/>
        <v>160440912.02235365</v>
      </c>
      <c r="I86" s="28">
        <f t="shared" si="6"/>
        <v>160663585.86788616</v>
      </c>
      <c r="J86" s="28">
        <f t="shared" si="6"/>
        <v>162724467.08704224</v>
      </c>
      <c r="K86" s="28">
        <f t="shared" si="6"/>
        <v>163138270.21528259</v>
      </c>
      <c r="L86" s="28">
        <f t="shared" si="6"/>
        <v>164507977.54320142</v>
      </c>
      <c r="M86" s="28">
        <f t="shared" si="6"/>
        <v>168137543.86084267</v>
      </c>
      <c r="N86" s="28">
        <f t="shared" si="6"/>
        <v>168105415.11551332</v>
      </c>
      <c r="O86" s="28">
        <f t="shared" si="6"/>
        <v>169375187.09689003</v>
      </c>
      <c r="P86" s="20">
        <f t="shared" si="6"/>
        <v>170699290.95199516</v>
      </c>
      <c r="Q86" s="28">
        <f t="shared" si="6"/>
        <v>162414321.62580216</v>
      </c>
    </row>
    <row r="87" spans="1:19" ht="15" customHeight="1" thickTop="1" x14ac:dyDescent="0.2">
      <c r="A87" s="23"/>
      <c r="B87" s="4"/>
      <c r="C87" s="3"/>
      <c r="D87" s="12"/>
      <c r="E87" s="12"/>
      <c r="F87" s="12"/>
      <c r="G87" s="12"/>
      <c r="H87" s="12"/>
      <c r="I87" s="4"/>
      <c r="J87" s="4"/>
      <c r="K87" s="4"/>
      <c r="L87" s="4"/>
      <c r="M87" s="4"/>
      <c r="N87" s="4"/>
      <c r="O87" s="4"/>
      <c r="P87" s="6"/>
      <c r="Q87" s="6"/>
    </row>
    <row r="88" spans="1:19" ht="15" customHeight="1" x14ac:dyDescent="0.2">
      <c r="A88" s="23"/>
      <c r="B88" s="1" t="s">
        <v>142</v>
      </c>
      <c r="C88" s="3"/>
      <c r="D88" s="12"/>
      <c r="E88" s="12"/>
      <c r="F88" s="12"/>
      <c r="G88" s="12"/>
      <c r="H88" s="12"/>
      <c r="I88" s="4"/>
      <c r="J88" s="4"/>
      <c r="K88" s="4"/>
      <c r="L88" s="4"/>
      <c r="M88" s="4"/>
      <c r="N88" s="4"/>
      <c r="O88" s="4"/>
      <c r="P88" s="6"/>
      <c r="Q88" s="30">
        <f>Q86</f>
        <v>162414321.62580216</v>
      </c>
    </row>
    <row r="89" spans="1:19" ht="15" customHeight="1" x14ac:dyDescent="0.2">
      <c r="A89" s="23"/>
      <c r="B89" s="31" t="s">
        <v>144</v>
      </c>
      <c r="C89" s="3"/>
      <c r="D89" s="12"/>
      <c r="E89" s="12"/>
      <c r="F89" s="12"/>
      <c r="G89" s="12"/>
      <c r="H89" s="12"/>
      <c r="I89" s="4"/>
      <c r="J89" s="4"/>
      <c r="K89" s="4"/>
      <c r="L89" s="4"/>
      <c r="M89" s="4"/>
      <c r="N89" s="4"/>
      <c r="O89" s="4"/>
      <c r="P89" s="6"/>
      <c r="Q89" s="30">
        <f>-Q84</f>
        <v>38943887.444282278</v>
      </c>
    </row>
    <row r="90" spans="1:19" ht="15" customHeight="1" x14ac:dyDescent="0.2">
      <c r="A90" s="23"/>
      <c r="B90" s="32" t="s">
        <v>147</v>
      </c>
      <c r="C90" s="3"/>
      <c r="D90" s="12"/>
      <c r="E90" s="12"/>
      <c r="F90" s="12"/>
      <c r="G90" s="12"/>
      <c r="H90" s="12"/>
      <c r="I90" s="4"/>
      <c r="J90" s="4"/>
      <c r="K90" s="4"/>
      <c r="L90" s="4"/>
      <c r="M90" s="4"/>
      <c r="N90" s="4"/>
      <c r="O90" s="4"/>
      <c r="P90" s="6"/>
      <c r="Q90" s="35">
        <f>P84</f>
        <v>-38324362.121135324</v>
      </c>
    </row>
    <row r="91" spans="1:19" ht="15" customHeight="1" thickBot="1" x14ac:dyDescent="0.25">
      <c r="A91" s="23"/>
      <c r="B91" s="36" t="s">
        <v>327</v>
      </c>
      <c r="C91" s="3"/>
      <c r="D91" s="12"/>
      <c r="E91" s="12"/>
      <c r="F91" s="12"/>
      <c r="G91" s="12"/>
      <c r="H91" s="12"/>
      <c r="I91" s="4"/>
      <c r="J91" s="4"/>
      <c r="K91" s="4"/>
      <c r="L91" s="4"/>
      <c r="M91" s="4"/>
      <c r="N91" s="4"/>
      <c r="O91" s="4"/>
      <c r="P91" s="6"/>
      <c r="Q91" s="38">
        <f>SUM(Q88:Q90)</f>
        <v>163033846.94894913</v>
      </c>
    </row>
    <row r="92" spans="1:19" ht="15.75" thickTop="1" x14ac:dyDescent="0.2">
      <c r="Q92" s="41"/>
    </row>
    <row r="93" spans="1:19" x14ac:dyDescent="0.2">
      <c r="Q93" s="41"/>
    </row>
    <row r="94" spans="1:19" x14ac:dyDescent="0.2">
      <c r="A94" s="54" t="s">
        <v>800</v>
      </c>
      <c r="C94" s="2"/>
    </row>
    <row r="95" spans="1:19" x14ac:dyDescent="0.2">
      <c r="A95" s="2" t="s">
        <v>879</v>
      </c>
      <c r="C95" s="2"/>
      <c r="Q95" s="136">
        <f>(+Q63+Q77+Q79+Q80+Q81)/(Q20+Q34+Q36+Q37+Q38)</f>
        <v>0.12018009803738863</v>
      </c>
    </row>
    <row r="96" spans="1:19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</sheetData>
  <mergeCells count="2">
    <mergeCell ref="A7:C7"/>
    <mergeCell ref="A50:C50"/>
  </mergeCells>
  <phoneticPr fontId="4" type="noConversion"/>
  <printOptions horizontalCentered="1"/>
  <pageMargins left="0.5" right="0.5" top="0.5" bottom="0.5" header="0.25" footer="0.25"/>
  <pageSetup scale="48" fitToHeight="0" orientation="landscape" r:id="rId1"/>
  <headerFooter alignWithMargins="0"/>
  <rowBreaks count="1" manualBreakCount="1">
    <brk id="4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K44"/>
  <sheetViews>
    <sheetView zoomScaleNormal="100" workbookViewId="0">
      <selection activeCell="G3" sqref="G3"/>
    </sheetView>
  </sheetViews>
  <sheetFormatPr defaultColWidth="9.140625" defaultRowHeight="15" x14ac:dyDescent="0.2"/>
  <cols>
    <col min="1" max="1" width="4.7109375" style="54" customWidth="1"/>
    <col min="2" max="2" width="35.85546875" style="54" customWidth="1"/>
    <col min="3" max="5" width="13.7109375" style="2" customWidth="1"/>
    <col min="6" max="6" width="9.140625" style="2" customWidth="1"/>
    <col min="7" max="7" width="41" style="2" customWidth="1"/>
    <col min="8" max="11" width="9.28515625" style="2" bestFit="1" customWidth="1"/>
    <col min="12" max="16384" width="9.140625" style="2"/>
  </cols>
  <sheetData>
    <row r="1" spans="1:11" s="54" customFormat="1" x14ac:dyDescent="0.2">
      <c r="A1" s="54" t="str">
        <f>'KSM-2 p1 - Rev Req'!A1</f>
        <v>NW Natural</v>
      </c>
    </row>
    <row r="2" spans="1:11" s="54" customFormat="1" x14ac:dyDescent="0.2">
      <c r="A2" s="54" t="str">
        <f>'KSM-4 p2 &amp; p3 - Adjust Issues'!A3</f>
        <v>Test Year Based on Twelve Months Ended September 30, 2018</v>
      </c>
    </row>
    <row r="3" spans="1:11" s="54" customFormat="1" x14ac:dyDescent="0.2">
      <c r="A3" s="54" t="s">
        <v>301</v>
      </c>
      <c r="D3" s="78"/>
    </row>
    <row r="4" spans="1:11" s="54" customFormat="1" x14ac:dyDescent="0.2"/>
    <row r="5" spans="1:11" s="54" customFormat="1" x14ac:dyDescent="0.2"/>
    <row r="6" spans="1:11" s="54" customFormat="1" x14ac:dyDescent="0.2">
      <c r="A6" s="54" t="s">
        <v>21</v>
      </c>
      <c r="C6" s="60" t="s">
        <v>22</v>
      </c>
      <c r="D6" s="60"/>
      <c r="E6" s="60" t="s">
        <v>23</v>
      </c>
    </row>
    <row r="7" spans="1:11" s="54" customFormat="1" x14ac:dyDescent="0.2">
      <c r="A7" s="79" t="s">
        <v>40</v>
      </c>
      <c r="C7" s="62" t="s">
        <v>41</v>
      </c>
      <c r="D7" s="62" t="s">
        <v>42</v>
      </c>
      <c r="E7" s="62" t="s">
        <v>43</v>
      </c>
      <c r="G7" s="498" t="s">
        <v>837</v>
      </c>
    </row>
    <row r="8" spans="1:11" s="54" customFormat="1" x14ac:dyDescent="0.2">
      <c r="C8" s="60" t="s">
        <v>58</v>
      </c>
      <c r="D8" s="60" t="s">
        <v>59</v>
      </c>
      <c r="E8" s="60" t="s">
        <v>60</v>
      </c>
    </row>
    <row r="9" spans="1:11" x14ac:dyDescent="0.2">
      <c r="B9" s="79" t="s">
        <v>68</v>
      </c>
      <c r="C9" s="23"/>
      <c r="D9" s="23"/>
      <c r="E9" s="23"/>
    </row>
    <row r="10" spans="1:11" x14ac:dyDescent="0.2">
      <c r="C10" s="73"/>
    </row>
    <row r="11" spans="1:11" x14ac:dyDescent="0.2">
      <c r="A11" s="60">
        <v>1</v>
      </c>
      <c r="B11" s="54" t="s">
        <v>83</v>
      </c>
      <c r="C11" s="86">
        <v>0.495</v>
      </c>
      <c r="D11" s="87">
        <v>5.0659999999999997E-2</v>
      </c>
      <c r="E11" s="55">
        <f>ROUND((+C11*D11),5)</f>
        <v>2.5080000000000002E-2</v>
      </c>
      <c r="G11" s="55" t="s">
        <v>838</v>
      </c>
      <c r="H11" s="80"/>
      <c r="I11" s="25"/>
      <c r="J11" s="80"/>
      <c r="K11" s="80"/>
    </row>
    <row r="12" spans="1:11" x14ac:dyDescent="0.2">
      <c r="A12" s="60">
        <f>A11+1</f>
        <v>2</v>
      </c>
      <c r="B12" s="54" t="s">
        <v>88</v>
      </c>
      <c r="C12" s="86">
        <v>0.01</v>
      </c>
      <c r="D12" s="87">
        <v>2.1860000000000001E-2</v>
      </c>
      <c r="E12" s="55">
        <f>ROUND((+C12*D12),5)</f>
        <v>2.2000000000000001E-4</v>
      </c>
      <c r="G12" s="55" t="s">
        <v>839</v>
      </c>
      <c r="I12" s="25"/>
    </row>
    <row r="13" spans="1:11" x14ac:dyDescent="0.2">
      <c r="A13" s="60">
        <f>A12+1</f>
        <v>3</v>
      </c>
      <c r="B13" s="54" t="s">
        <v>97</v>
      </c>
      <c r="C13" s="86">
        <v>0.495</v>
      </c>
      <c r="D13" s="87">
        <v>0.10299999999999999</v>
      </c>
      <c r="E13" s="485">
        <f>ROUND((+C13*D13),5)</f>
        <v>5.0990000000000001E-2</v>
      </c>
      <c r="G13" s="55" t="s">
        <v>840</v>
      </c>
      <c r="I13" s="25"/>
    </row>
    <row r="14" spans="1:11" x14ac:dyDescent="0.2">
      <c r="A14" s="60"/>
      <c r="C14" s="25"/>
      <c r="D14" s="25"/>
      <c r="E14" s="55"/>
    </row>
    <row r="15" spans="1:11" ht="15.75" thickBot="1" x14ac:dyDescent="0.25">
      <c r="A15" s="60">
        <f>A13+1</f>
        <v>4</v>
      </c>
      <c r="B15" s="54" t="s">
        <v>103</v>
      </c>
      <c r="C15" s="82">
        <f>SUM(C11:C14)</f>
        <v>1</v>
      </c>
      <c r="D15" s="25"/>
      <c r="E15" s="486">
        <f>SUM(E11:E14)</f>
        <v>7.6289999999999997E-2</v>
      </c>
    </row>
    <row r="16" spans="1:11" ht="15.75" thickTop="1" x14ac:dyDescent="0.2">
      <c r="A16" s="60"/>
      <c r="D16" s="73"/>
      <c r="E16" s="83"/>
    </row>
    <row r="17" spans="1:7" x14ac:dyDescent="0.2">
      <c r="A17" s="60"/>
      <c r="B17" s="79" t="s">
        <v>112</v>
      </c>
      <c r="D17" s="73"/>
      <c r="E17" s="73"/>
    </row>
    <row r="18" spans="1:7" x14ac:dyDescent="0.2">
      <c r="A18" s="60"/>
      <c r="D18" s="73"/>
      <c r="E18" s="73"/>
    </row>
    <row r="19" spans="1:7" x14ac:dyDescent="0.2">
      <c r="A19" s="60">
        <f>A15+1</f>
        <v>5</v>
      </c>
      <c r="B19" s="54" t="s">
        <v>116</v>
      </c>
      <c r="C19" s="83">
        <f>'KSM-2 p1 - Rev Req'!E12/'KSM-2 p1 - Rev Req'!E$16</f>
        <v>0.96079208256787896</v>
      </c>
      <c r="D19" s="69"/>
      <c r="E19" s="69"/>
    </row>
    <row r="20" spans="1:7" x14ac:dyDescent="0.2">
      <c r="A20" s="60">
        <f>A19+1</f>
        <v>6</v>
      </c>
      <c r="B20" s="54" t="s">
        <v>93</v>
      </c>
      <c r="C20" s="83">
        <f>'KSM-2 p1 - Rev Req'!E13/'KSM-2 p1 - Rev Req'!E$16</f>
        <v>3.5601150708758973E-2</v>
      </c>
      <c r="D20" s="69"/>
      <c r="E20" s="69"/>
    </row>
    <row r="21" spans="1:7" x14ac:dyDescent="0.2">
      <c r="A21" s="60">
        <f>A20+1</f>
        <v>7</v>
      </c>
      <c r="B21" s="54" t="s">
        <v>125</v>
      </c>
      <c r="C21" s="84">
        <f>'KSM-2 p1 - Rev Req'!E14/'KSM-2 p1 - Rev Req'!E$16</f>
        <v>3.6067667233620863E-3</v>
      </c>
    </row>
    <row r="22" spans="1:7" x14ac:dyDescent="0.2">
      <c r="A22" s="60"/>
      <c r="C22" s="83"/>
    </row>
    <row r="23" spans="1:7" x14ac:dyDescent="0.2">
      <c r="A23" s="60">
        <f>A21+1</f>
        <v>8</v>
      </c>
      <c r="B23" s="54" t="s">
        <v>106</v>
      </c>
      <c r="C23" s="83">
        <f>C21+C20+C19</f>
        <v>1</v>
      </c>
    </row>
    <row r="24" spans="1:7" x14ac:dyDescent="0.2">
      <c r="A24" s="60"/>
      <c r="C24" s="83"/>
    </row>
    <row r="25" spans="1:7" x14ac:dyDescent="0.2">
      <c r="A25" s="60">
        <f>A23+1</f>
        <v>9</v>
      </c>
      <c r="B25" s="54" t="s">
        <v>133</v>
      </c>
      <c r="C25" s="83">
        <f>C44</f>
        <v>1.0555205055242246E-3</v>
      </c>
    </row>
    <row r="26" spans="1:7" x14ac:dyDescent="0.2">
      <c r="A26" s="60">
        <f>+A25+1</f>
        <v>10</v>
      </c>
      <c r="B26" s="54" t="s">
        <v>138</v>
      </c>
      <c r="C26" s="83">
        <v>3.8519999999999999E-2</v>
      </c>
      <c r="G26" s="2" t="s">
        <v>855</v>
      </c>
    </row>
    <row r="27" spans="1:7" x14ac:dyDescent="0.2">
      <c r="A27" s="60">
        <f>A26+1</f>
        <v>11</v>
      </c>
      <c r="B27" s="54" t="s">
        <v>139</v>
      </c>
      <c r="C27" s="84">
        <v>2E-3</v>
      </c>
      <c r="G27" s="2" t="s">
        <v>856</v>
      </c>
    </row>
    <row r="28" spans="1:7" x14ac:dyDescent="0.2">
      <c r="A28" s="60">
        <f>A27+1</f>
        <v>12</v>
      </c>
      <c r="B28" s="54" t="s">
        <v>549</v>
      </c>
      <c r="C28" s="83">
        <f>SUM(C25:C27)</f>
        <v>4.1575520505524224E-2</v>
      </c>
    </row>
    <row r="29" spans="1:7" x14ac:dyDescent="0.2">
      <c r="A29" s="60"/>
      <c r="C29" s="83"/>
    </row>
    <row r="30" spans="1:7" x14ac:dyDescent="0.2">
      <c r="A30" s="60">
        <f>+A28+1</f>
        <v>13</v>
      </c>
      <c r="B30" s="54" t="s">
        <v>150</v>
      </c>
      <c r="C30" s="83">
        <f>+C23-C28</f>
        <v>0.95842447949447573</v>
      </c>
    </row>
    <row r="31" spans="1:7" x14ac:dyDescent="0.2">
      <c r="A31" s="60">
        <f>A30+1</f>
        <v>14</v>
      </c>
      <c r="B31" s="54" t="s">
        <v>130</v>
      </c>
      <c r="C31" s="84">
        <f>C43*C30</f>
        <v>0.20126914069383989</v>
      </c>
    </row>
    <row r="32" spans="1:7" x14ac:dyDescent="0.2">
      <c r="A32" s="60"/>
      <c r="C32" s="83"/>
    </row>
    <row r="33" spans="1:7" x14ac:dyDescent="0.2">
      <c r="A33" s="60">
        <f>A31+1</f>
        <v>15</v>
      </c>
      <c r="B33" s="54" t="s">
        <v>154</v>
      </c>
      <c r="C33" s="83">
        <f>C31</f>
        <v>0.20126914069383989</v>
      </c>
    </row>
    <row r="34" spans="1:7" x14ac:dyDescent="0.2">
      <c r="A34" s="60"/>
      <c r="C34" s="83"/>
    </row>
    <row r="35" spans="1:7" x14ac:dyDescent="0.2">
      <c r="A35" s="60">
        <f>A33+1</f>
        <v>16</v>
      </c>
      <c r="B35" s="54" t="s">
        <v>549</v>
      </c>
      <c r="C35" s="84">
        <f>C33+C28</f>
        <v>0.2428446611993641</v>
      </c>
    </row>
    <row r="36" spans="1:7" x14ac:dyDescent="0.2">
      <c r="A36" s="60"/>
      <c r="C36" s="83"/>
    </row>
    <row r="37" spans="1:7" ht="15.75" thickBot="1" x14ac:dyDescent="0.25">
      <c r="A37" s="60">
        <f>A35+1</f>
        <v>17</v>
      </c>
      <c r="B37" s="54" t="s">
        <v>159</v>
      </c>
      <c r="C37" s="85">
        <f>C30-C31</f>
        <v>0.75715533880063579</v>
      </c>
    </row>
    <row r="38" spans="1:7" ht="15.75" thickTop="1" x14ac:dyDescent="0.2">
      <c r="A38" s="60"/>
      <c r="C38" s="83"/>
    </row>
    <row r="39" spans="1:7" ht="15.75" thickBot="1" x14ac:dyDescent="0.25">
      <c r="A39" s="60">
        <f>A37+1</f>
        <v>18</v>
      </c>
      <c r="B39" s="54" t="s">
        <v>164</v>
      </c>
      <c r="C39" s="85">
        <f>ROUND(1/C37,5)</f>
        <v>1.32073</v>
      </c>
    </row>
    <row r="40" spans="1:7" ht="15.75" thickTop="1" x14ac:dyDescent="0.2">
      <c r="A40" s="60"/>
      <c r="C40" s="83"/>
    </row>
    <row r="41" spans="1:7" x14ac:dyDescent="0.2">
      <c r="A41" s="60">
        <f>A39+1</f>
        <v>19</v>
      </c>
      <c r="B41" s="54" t="s">
        <v>170</v>
      </c>
      <c r="C41" s="83">
        <f>E11+E12</f>
        <v>2.5300000000000003E-2</v>
      </c>
    </row>
    <row r="42" spans="1:7" x14ac:dyDescent="0.2">
      <c r="A42" s="60"/>
      <c r="C42" s="83"/>
    </row>
    <row r="43" spans="1:7" x14ac:dyDescent="0.2">
      <c r="A43" s="60">
        <f>A41+1</f>
        <v>20</v>
      </c>
      <c r="B43" s="78" t="s">
        <v>174</v>
      </c>
      <c r="C43" s="83">
        <v>0.21</v>
      </c>
      <c r="G43" s="2" t="s">
        <v>848</v>
      </c>
    </row>
    <row r="44" spans="1:7" x14ac:dyDescent="0.2">
      <c r="A44" s="60">
        <f>A43+1</f>
        <v>21</v>
      </c>
      <c r="B44" s="78" t="s">
        <v>179</v>
      </c>
      <c r="C44" s="83">
        <f>'KSM-4 p10 - Uncollectible'!C48</f>
        <v>1.0555205055242246E-3</v>
      </c>
      <c r="G44" s="504" t="s">
        <v>847</v>
      </c>
    </row>
  </sheetData>
  <phoneticPr fontId="0" type="noConversion"/>
  <printOptions horizontalCentered="1"/>
  <pageMargins left="0.5" right="0.5" top="0.5" bottom="0.5" header="0.25" footer="0.25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A1:I41"/>
  <sheetViews>
    <sheetView workbookViewId="0">
      <selection activeCell="I24" sqref="I24"/>
    </sheetView>
  </sheetViews>
  <sheetFormatPr defaultRowHeight="12.75" x14ac:dyDescent="0.2"/>
  <cols>
    <col min="1" max="1" width="4.7109375" customWidth="1"/>
    <col min="2" max="2" width="41.7109375" customWidth="1"/>
    <col min="3" max="7" width="13.7109375" customWidth="1"/>
    <col min="9" max="9" width="38.5703125" bestFit="1" customWidth="1"/>
  </cols>
  <sheetData>
    <row r="1" spans="1:9" ht="15" x14ac:dyDescent="0.2">
      <c r="A1" s="54" t="s">
        <v>0</v>
      </c>
      <c r="B1" s="54"/>
      <c r="C1" s="54"/>
      <c r="D1" s="54"/>
      <c r="E1" s="54"/>
      <c r="F1" s="54"/>
      <c r="G1" s="54"/>
    </row>
    <row r="2" spans="1:9" ht="15" x14ac:dyDescent="0.2">
      <c r="A2" s="54" t="s">
        <v>4</v>
      </c>
      <c r="B2" s="54"/>
      <c r="C2" s="54"/>
      <c r="D2" s="54"/>
      <c r="E2" s="54"/>
      <c r="F2" s="53"/>
      <c r="G2" s="54"/>
    </row>
    <row r="3" spans="1:9" ht="15" x14ac:dyDescent="0.2">
      <c r="A3" s="5" t="str">
        <f>+'KSM-3 p1 - Test Year Results'!A3</f>
        <v>Test Year Based on Twelve Months Ended September 30, 2018</v>
      </c>
      <c r="B3" s="54"/>
      <c r="C3" s="54"/>
      <c r="D3" s="54"/>
      <c r="E3" s="54"/>
      <c r="F3" s="53"/>
      <c r="G3" s="54"/>
    </row>
    <row r="4" spans="1:9" ht="15" x14ac:dyDescent="0.2">
      <c r="A4" s="54"/>
      <c r="B4" s="54"/>
      <c r="C4" s="54"/>
      <c r="D4" s="54"/>
      <c r="E4" s="54"/>
      <c r="F4" s="54"/>
      <c r="G4" s="59"/>
    </row>
    <row r="5" spans="1:9" ht="15" x14ac:dyDescent="0.2">
      <c r="A5" s="54"/>
      <c r="B5" s="54"/>
      <c r="C5" s="524" t="s">
        <v>372</v>
      </c>
      <c r="D5" s="524"/>
      <c r="E5" s="524"/>
      <c r="F5" s="524"/>
      <c r="G5" s="524"/>
    </row>
    <row r="6" spans="1:9" ht="15" x14ac:dyDescent="0.2">
      <c r="A6" s="54"/>
      <c r="B6" s="54"/>
      <c r="C6" s="54"/>
      <c r="D6" s="60"/>
      <c r="E6" s="60"/>
      <c r="F6" s="60" t="s">
        <v>14</v>
      </c>
      <c r="G6" s="60" t="s">
        <v>15</v>
      </c>
    </row>
    <row r="7" spans="1:9" ht="15" x14ac:dyDescent="0.2">
      <c r="A7" s="60" t="s">
        <v>17</v>
      </c>
      <c r="B7" s="54"/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9" ht="15" x14ac:dyDescent="0.2">
      <c r="A8" s="496" t="s">
        <v>33</v>
      </c>
      <c r="B8" s="54"/>
      <c r="C8" s="496" t="s">
        <v>18</v>
      </c>
      <c r="D8" s="496" t="s">
        <v>34</v>
      </c>
      <c r="E8" s="496" t="s">
        <v>35</v>
      </c>
      <c r="F8" s="496" t="s">
        <v>36</v>
      </c>
      <c r="G8" s="496" t="s">
        <v>37</v>
      </c>
    </row>
    <row r="9" spans="1:9" ht="15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9" ht="15" x14ac:dyDescent="0.2">
      <c r="A10" s="60"/>
      <c r="B10" s="54"/>
      <c r="C10" s="2"/>
      <c r="D10" s="2"/>
      <c r="E10" s="25"/>
      <c r="F10" s="2"/>
      <c r="G10" s="2"/>
    </row>
    <row r="11" spans="1:9" ht="15" x14ac:dyDescent="0.2">
      <c r="A11" s="60"/>
      <c r="B11" s="54" t="s">
        <v>78</v>
      </c>
      <c r="C11" s="63"/>
      <c r="D11" s="63"/>
      <c r="E11" s="63"/>
      <c r="F11" s="2"/>
      <c r="G11" s="63"/>
    </row>
    <row r="12" spans="1:9" ht="15" x14ac:dyDescent="0.2">
      <c r="A12" s="60">
        <v>1</v>
      </c>
      <c r="B12" s="54" t="s">
        <v>81</v>
      </c>
      <c r="C12" s="64">
        <f>+'KSM-2 p1 - Rev Req'!C12</f>
        <v>67314413.069999993</v>
      </c>
      <c r="D12" s="64">
        <f>+'KSM-2 p1 - Rev Req'!D12</f>
        <v>-3593725.3960132077</v>
      </c>
      <c r="E12" s="64">
        <f>+'KSM-2 p1 - Rev Req'!E12</f>
        <v>63720687.673986785</v>
      </c>
      <c r="F12" s="64">
        <f>+'KSM-2 p1 - Rev Req'!F12</f>
        <v>8189001.7852078788</v>
      </c>
      <c r="G12" s="64">
        <f>+'KSM-2 p1 - Rev Req'!G12</f>
        <v>71909689.45919466</v>
      </c>
      <c r="I12" s="503" t="s">
        <v>846</v>
      </c>
    </row>
    <row r="13" spans="1:9" ht="15" x14ac:dyDescent="0.2">
      <c r="A13" s="60">
        <v>2</v>
      </c>
      <c r="B13" s="54" t="s">
        <v>87</v>
      </c>
      <c r="C13" s="29">
        <f>+'KSM-2 p1 - Rev Req'!C13</f>
        <v>2370980.7199999997</v>
      </c>
      <c r="D13" s="29">
        <f>+'KSM-2 p1 - Rev Req'!D13</f>
        <v>-9876.9533199756406</v>
      </c>
      <c r="E13" s="29">
        <f>+'KSM-2 p1 - Rev Req'!E13</f>
        <v>2361103.7666800241</v>
      </c>
      <c r="F13" s="29">
        <f>+'KSM-2 p1 - Rev Req'!F13</f>
        <v>0</v>
      </c>
      <c r="G13" s="29">
        <f>+'KSM-2 p1 - Rev Req'!G13</f>
        <v>2361103.7666800241</v>
      </c>
    </row>
    <row r="14" spans="1:9" ht="15" x14ac:dyDescent="0.2">
      <c r="A14" s="60">
        <v>3</v>
      </c>
      <c r="B14" s="54" t="s">
        <v>91</v>
      </c>
      <c r="C14" s="66">
        <f>+'KSM-2 p1 - Rev Req'!C14</f>
        <v>-2048364.0723769995</v>
      </c>
      <c r="D14" s="66">
        <f>+'KSM-2 p1 - Rev Req'!D14</f>
        <v>2287568.4330936661</v>
      </c>
      <c r="E14" s="66">
        <f>+'KSM-2 p1 - Rev Req'!E14</f>
        <v>239204.36071666656</v>
      </c>
      <c r="F14" s="66">
        <f>+'KSM-2 p1 - Rev Req'!F14</f>
        <v>0</v>
      </c>
      <c r="G14" s="66">
        <f>+'KSM-2 p1 - Rev Req'!G14</f>
        <v>239204.36071666656</v>
      </c>
    </row>
    <row r="15" spans="1:9" ht="15" x14ac:dyDescent="0.2">
      <c r="A15" s="60"/>
      <c r="B15" s="54"/>
      <c r="C15" s="29"/>
      <c r="D15" s="29"/>
      <c r="E15" s="29"/>
      <c r="F15" s="65"/>
      <c r="G15" s="65"/>
    </row>
    <row r="16" spans="1:9" ht="15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8189001.7852078788</v>
      </c>
      <c r="G16" s="65">
        <f>SUM(G12:G15)</f>
        <v>74509997.586591348</v>
      </c>
    </row>
    <row r="17" spans="1:7" ht="15" x14ac:dyDescent="0.2">
      <c r="A17" s="60"/>
      <c r="B17" s="68"/>
      <c r="C17" s="29"/>
      <c r="D17" s="29"/>
      <c r="E17" s="29"/>
      <c r="F17" s="65"/>
      <c r="G17" s="65"/>
    </row>
    <row r="18" spans="1:7" ht="15" x14ac:dyDescent="0.2">
      <c r="A18" s="60"/>
      <c r="B18" s="54" t="s">
        <v>107</v>
      </c>
      <c r="C18" s="29"/>
      <c r="D18" s="29"/>
      <c r="E18" s="29"/>
      <c r="F18" s="65"/>
      <c r="G18" s="65"/>
    </row>
    <row r="19" spans="1:7" ht="15" x14ac:dyDescent="0.2">
      <c r="A19" s="60">
        <v>5</v>
      </c>
      <c r="B19" s="54" t="s">
        <v>109</v>
      </c>
      <c r="C19" s="29">
        <f>+'KSM-2 p1 - Rev Req'!C19</f>
        <v>25772082.550587021</v>
      </c>
      <c r="D19" s="29">
        <f>+'KSM-2 p1 - Rev Req'!D19</f>
        <v>-1327404.5505870208</v>
      </c>
      <c r="E19" s="29">
        <f>+'KSM-2 p1 - Rev Req'!E19</f>
        <v>24444678</v>
      </c>
      <c r="F19" s="29">
        <f>+'KSM-2 p1 - Rev Req'!F19</f>
        <v>0</v>
      </c>
      <c r="G19" s="29">
        <f>+'KSM-2 p1 - Rev Req'!G19</f>
        <v>24444678</v>
      </c>
    </row>
    <row r="20" spans="1:7" ht="15" x14ac:dyDescent="0.2">
      <c r="A20" s="60">
        <v>6</v>
      </c>
      <c r="B20" s="54" t="s">
        <v>114</v>
      </c>
      <c r="C20" s="29">
        <f>+'KSM-2 p1 - Rev Req'!C20</f>
        <v>58165.898717000018</v>
      </c>
      <c r="D20" s="29">
        <f>+'KSM-2 p1 - Rev Req'!D20</f>
        <v>17476.441965468621</v>
      </c>
      <c r="E20" s="29">
        <f>+'KSM-2 p1 - Rev Req'!E20</f>
        <v>75642.340682468639</v>
      </c>
      <c r="F20" s="29">
        <f>+'KSM-2 p1 - Rev Req'!F20</f>
        <v>8643.6593040613971</v>
      </c>
      <c r="G20" s="29">
        <f>+'KSM-2 p1 - Rev Req'!G20</f>
        <v>84285.999986530034</v>
      </c>
    </row>
    <row r="21" spans="1:7" ht="15" x14ac:dyDescent="0.2">
      <c r="A21" s="60">
        <v>7</v>
      </c>
      <c r="B21" s="54" t="s">
        <v>115</v>
      </c>
      <c r="C21" s="66">
        <f>+'KSM-2 p1 - Rev Req'!C21</f>
        <v>17640138.728842866</v>
      </c>
      <c r="D21" s="66">
        <f>+'KSM-2 p1 - Rev Req'!D21</f>
        <v>422474.72597069084</v>
      </c>
      <c r="E21" s="66">
        <f>+'KSM-2 p1 - Rev Req'!E21</f>
        <v>18062613.454813555</v>
      </c>
      <c r="F21" s="66">
        <f>+'KSM-2 p1 - Rev Req'!F21</f>
        <v>0</v>
      </c>
      <c r="G21" s="66">
        <f>+'KSM-2 p1 - Rev Req'!G21</f>
        <v>18062613.454813555</v>
      </c>
    </row>
    <row r="22" spans="1:7" ht="15" x14ac:dyDescent="0.2">
      <c r="A22" s="60"/>
      <c r="B22" s="54"/>
      <c r="C22" s="29"/>
      <c r="D22" s="29"/>
      <c r="E22" s="29"/>
      <c r="F22" s="65"/>
      <c r="G22" s="65"/>
    </row>
    <row r="23" spans="1:7" ht="15" x14ac:dyDescent="0.2">
      <c r="A23" s="60">
        <v>8</v>
      </c>
      <c r="B23" s="54" t="s">
        <v>123</v>
      </c>
      <c r="C23" s="29">
        <f>SUM(C19:C22)</f>
        <v>43470387.178146884</v>
      </c>
      <c r="D23" s="29">
        <f>SUM(D18:D21)</f>
        <v>-887453.38265086128</v>
      </c>
      <c r="E23" s="29">
        <f>SUM(E18:E21)</f>
        <v>42582933.795496024</v>
      </c>
      <c r="F23" s="65">
        <f>SUM(F18:F21)</f>
        <v>8643.6593040613971</v>
      </c>
      <c r="G23" s="65">
        <f>SUM(G18:G21)</f>
        <v>42591577.454800084</v>
      </c>
    </row>
    <row r="24" spans="1:7" ht="15" x14ac:dyDescent="0.2">
      <c r="A24" s="60"/>
      <c r="B24" s="53"/>
      <c r="C24" s="29"/>
      <c r="D24" s="29"/>
      <c r="E24" s="29"/>
      <c r="F24" s="65"/>
      <c r="G24" s="65"/>
    </row>
    <row r="25" spans="1:7" ht="15" x14ac:dyDescent="0.2">
      <c r="A25" s="60"/>
      <c r="B25" s="54"/>
      <c r="C25" s="29"/>
      <c r="D25" s="29"/>
      <c r="E25" s="29"/>
      <c r="F25" s="65"/>
      <c r="G25" s="65"/>
    </row>
    <row r="26" spans="1:7" ht="15" x14ac:dyDescent="0.2">
      <c r="A26" s="60">
        <v>9</v>
      </c>
      <c r="B26" s="54" t="s">
        <v>130</v>
      </c>
      <c r="C26" s="29">
        <f>+'KSM-2 p1 - Rev Req'!C26</f>
        <v>1320294.0126704453</v>
      </c>
      <c r="D26" s="29">
        <f>+'KSM-2 p1 - Rev Req'!D26</f>
        <v>-226679</v>
      </c>
      <c r="E26" s="29">
        <f>+'KSM-2 p1 - Rev Req'!E26</f>
        <v>1093615.0126704453</v>
      </c>
      <c r="F26" s="29">
        <f>+'KSM-2 p1 - Rev Req'!F26</f>
        <v>1648193.3524491107</v>
      </c>
      <c r="G26" s="29">
        <f>+'KSM-2 p1 - Rev Req'!G26</f>
        <v>2741808.365119556</v>
      </c>
    </row>
    <row r="27" spans="1:7" ht="15" x14ac:dyDescent="0.2">
      <c r="A27" s="60">
        <v>10</v>
      </c>
      <c r="B27" s="54" t="s">
        <v>132</v>
      </c>
      <c r="C27" s="29">
        <f>+'KSM-2 p1 - Rev Req'!C27</f>
        <v>1541124</v>
      </c>
      <c r="D27" s="29">
        <f>+'KSM-2 p1 - Rev Req'!D27</f>
        <v>-44489.81</v>
      </c>
      <c r="E27" s="29">
        <f>+'KSM-2 p1 - Rev Req'!E27</f>
        <v>1496634.19</v>
      </c>
      <c r="F27" s="29">
        <f>+'KSM-2 p1 - Rev Req'!F27</f>
        <v>0</v>
      </c>
      <c r="G27" s="29">
        <f>+'KSM-2 p1 - Rev Req'!G27</f>
        <v>1496634.19</v>
      </c>
    </row>
    <row r="28" spans="1:7" ht="15" x14ac:dyDescent="0.2">
      <c r="A28" s="60">
        <v>11</v>
      </c>
      <c r="B28" s="54" t="s">
        <v>136</v>
      </c>
      <c r="C28" s="29">
        <f>+'KSM-2 p1 - Rev Req'!C28</f>
        <v>3688227.834309103</v>
      </c>
      <c r="D28" s="29">
        <f>+'KSM-2 p1 - Rev Req'!D28</f>
        <v>-12059.249822806618</v>
      </c>
      <c r="E28" s="29">
        <f>+'KSM-2 p1 - Rev Req'!E28</f>
        <v>3676168.5844862964</v>
      </c>
      <c r="F28" s="29">
        <f>+'KSM-2 p1 - Rev Req'!F28</f>
        <v>331818.35233662324</v>
      </c>
      <c r="G28" s="29">
        <f>+'KSM-2 p1 - Rev Req'!G28</f>
        <v>4007986.9368229196</v>
      </c>
    </row>
    <row r="29" spans="1:7" ht="15" x14ac:dyDescent="0.2">
      <c r="A29" s="60">
        <v>12</v>
      </c>
      <c r="B29" s="54" t="s">
        <v>137</v>
      </c>
      <c r="C29" s="66">
        <f>+'KSM-2 p1 - Rev Req'!C29</f>
        <v>9325935.1064954381</v>
      </c>
      <c r="D29" s="66">
        <f>+'KSM-2 p1 - Rev Req'!D29</f>
        <v>111574.0376062459</v>
      </c>
      <c r="E29" s="66">
        <f>+'KSM-2 p1 - Rev Req'!E29</f>
        <v>9437509.1441016849</v>
      </c>
      <c r="F29" s="66">
        <f>+'KSM-2 p1 - Rev Req'!F29</f>
        <v>0</v>
      </c>
      <c r="G29" s="66">
        <f>+'KSM-2 p1 - Rev Req'!G29</f>
        <v>9437509.1441016849</v>
      </c>
    </row>
    <row r="30" spans="1:7" ht="15" x14ac:dyDescent="0.2">
      <c r="A30" s="60"/>
      <c r="B30" s="54"/>
      <c r="C30" s="29"/>
      <c r="D30" s="29"/>
      <c r="E30" s="29"/>
      <c r="F30" s="65"/>
      <c r="G30" s="65"/>
    </row>
    <row r="31" spans="1:7" ht="15" x14ac:dyDescent="0.2">
      <c r="A31" s="60">
        <v>13</v>
      </c>
      <c r="B31" s="54" t="s">
        <v>141</v>
      </c>
      <c r="C31" s="66">
        <f>SUM(C23:C30)</f>
        <v>59345968.131621867</v>
      </c>
      <c r="D31" s="66">
        <f>SUM(D23:D30)</f>
        <v>-1059107.4048674221</v>
      </c>
      <c r="E31" s="66">
        <f>SUM(E23:E30)</f>
        <v>58286860.726754449</v>
      </c>
      <c r="F31" s="67">
        <f>SUM(F23:F30)</f>
        <v>1988655.3640897954</v>
      </c>
      <c r="G31" s="67">
        <f>SUM(G23:G30)</f>
        <v>60275516.090844244</v>
      </c>
    </row>
    <row r="32" spans="1:7" ht="15" x14ac:dyDescent="0.2">
      <c r="A32" s="60"/>
      <c r="B32" s="54"/>
      <c r="C32" s="2"/>
      <c r="D32" s="2"/>
      <c r="E32" s="2"/>
      <c r="F32" s="2"/>
      <c r="G32" s="2"/>
    </row>
    <row r="33" spans="1:7" ht="15.75" thickBot="1" x14ac:dyDescent="0.25">
      <c r="A33" s="60">
        <v>14</v>
      </c>
      <c r="B33" s="54" t="s">
        <v>146</v>
      </c>
      <c r="C33" s="70">
        <f>C16-C31</f>
        <v>8291061.586001128</v>
      </c>
      <c r="D33" s="70">
        <f>D16-D31</f>
        <v>-256926.51137209521</v>
      </c>
      <c r="E33" s="70">
        <f>E16-E31</f>
        <v>8034135.0746290237</v>
      </c>
      <c r="F33" s="70">
        <f>F16-F31</f>
        <v>6200346.4211180834</v>
      </c>
      <c r="G33" s="70">
        <f>G16-G31</f>
        <v>14234481.495747104</v>
      </c>
    </row>
    <row r="34" spans="1:7" ht="15.75" thickTop="1" x14ac:dyDescent="0.2">
      <c r="A34" s="60"/>
      <c r="B34" s="54"/>
      <c r="C34" s="71"/>
      <c r="D34" s="71"/>
      <c r="E34" s="71"/>
      <c r="F34" s="71"/>
      <c r="G34" s="71"/>
    </row>
    <row r="35" spans="1:7" ht="15.75" thickBot="1" x14ac:dyDescent="0.25">
      <c r="A35" s="60">
        <v>15</v>
      </c>
      <c r="B35" s="54" t="s">
        <v>149</v>
      </c>
      <c r="C35" s="70">
        <f>+'KSM-2 p1 - Rev Req'!C35</f>
        <v>163033846.94894913</v>
      </c>
      <c r="D35" s="70">
        <f>+'KSM-2 p1 - Rev Req'!D35</f>
        <v>23550178.726007156</v>
      </c>
      <c r="E35" s="70">
        <f>+'KSM-2 p1 - Rev Req'!E35</f>
        <v>186584025.67495629</v>
      </c>
      <c r="F35" s="70">
        <f>+'KSM-2 p1 - Rev Req'!F35</f>
        <v>0</v>
      </c>
      <c r="G35" s="70">
        <f>+'KSM-2 p1 - Rev Req'!G35</f>
        <v>186584025.67495629</v>
      </c>
    </row>
    <row r="36" spans="1:7" ht="15.75" thickTop="1" x14ac:dyDescent="0.2">
      <c r="A36" s="60"/>
      <c r="B36" s="54"/>
      <c r="C36" s="64"/>
      <c r="D36" s="64"/>
      <c r="E36" s="64"/>
      <c r="F36" s="64"/>
      <c r="G36" s="64"/>
    </row>
    <row r="37" spans="1:7" ht="15" x14ac:dyDescent="0.2">
      <c r="A37" s="60"/>
      <c r="B37" s="54"/>
      <c r="C37" s="2"/>
      <c r="D37" s="40"/>
      <c r="E37" s="2"/>
      <c r="F37" s="2"/>
      <c r="G37" s="2"/>
    </row>
    <row r="38" spans="1:7" ht="15.75" thickBot="1" x14ac:dyDescent="0.25">
      <c r="A38" s="60">
        <v>16</v>
      </c>
      <c r="B38" s="54" t="s">
        <v>153</v>
      </c>
      <c r="C38" s="72">
        <f>ROUND(+C33/C35,5)</f>
        <v>5.0849999999999999E-2</v>
      </c>
      <c r="D38" s="40"/>
      <c r="E38" s="72">
        <f>ROUND(+E33/E35,5)</f>
        <v>4.3060000000000001E-2</v>
      </c>
      <c r="F38" s="40"/>
      <c r="G38" s="72">
        <f>'KSM-3 p8 - Cost of Cap'!E15</f>
        <v>7.6289999999999997E-2</v>
      </c>
    </row>
    <row r="39" spans="1:7" ht="15.75" thickTop="1" x14ac:dyDescent="0.2">
      <c r="A39" s="60"/>
      <c r="B39" s="54"/>
      <c r="C39" s="73"/>
      <c r="D39" s="40"/>
      <c r="E39" s="73"/>
      <c r="F39" s="40"/>
      <c r="G39" s="73"/>
    </row>
    <row r="40" spans="1:7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5.1616161616161609E-2</v>
      </c>
      <c r="D40" s="40"/>
      <c r="E40" s="72">
        <f>((+E38-'KSM-3 p8 - Cost of Cap'!$E$11-'KSM-3 p8 - Cost of Cap'!$E$12)/'KSM-3 p8 - Cost of Cap'!$C$13)</f>
        <v>3.5878787878787878E-2</v>
      </c>
      <c r="F40" s="40"/>
      <c r="G40" s="72">
        <f>((+G38-'KSM-3 p8 - Cost of Cap'!$E$11-'KSM-3 p8 - Cost of Cap'!$E$12)/'KSM-3 p8 - Cost of Cap'!$C$13)</f>
        <v>0.103010101010101</v>
      </c>
    </row>
    <row r="41" spans="1:7" ht="13.5" thickTop="1" x14ac:dyDescent="0.2"/>
  </sheetData>
  <mergeCells count="1">
    <mergeCell ref="C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  <pageSetUpPr fitToPage="1"/>
  </sheetPr>
  <dimension ref="A1:X52"/>
  <sheetViews>
    <sheetView zoomScaleNormal="100" workbookViewId="0">
      <pane xSplit="2" ySplit="9" topLeftCell="C10" activePane="bottomRight" state="frozen"/>
      <selection activeCell="I16" sqref="I16"/>
      <selection pane="topRight" activeCell="I16" sqref="I16"/>
      <selection pane="bottomLeft" activeCell="I16" sqref="I16"/>
      <selection pane="bottomRight" activeCell="C28" sqref="C28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22" width="15.7109375" style="2" customWidth="1"/>
    <col min="23" max="16384" width="9.140625" style="2"/>
  </cols>
  <sheetData>
    <row r="1" spans="1:24" s="54" customFormat="1" x14ac:dyDescent="0.2">
      <c r="A1" s="54" t="s">
        <v>0</v>
      </c>
      <c r="C1" s="60"/>
      <c r="D1" s="60"/>
      <c r="E1" s="60"/>
      <c r="F1" s="60"/>
      <c r="N1" s="60"/>
      <c r="S1" s="60"/>
      <c r="T1" s="60"/>
      <c r="U1" s="60"/>
      <c r="V1" s="54" t="s">
        <v>304</v>
      </c>
    </row>
    <row r="2" spans="1:24" s="54" customFormat="1" x14ac:dyDescent="0.2">
      <c r="A2" s="54" t="str">
        <f>+'KSM-4 p4 &amp; p5 - Adjust Tax'!A2</f>
        <v>Adjustments to Test Period</v>
      </c>
    </row>
    <row r="3" spans="1:24" s="54" customFormat="1" x14ac:dyDescent="0.2">
      <c r="A3" s="5" t="str">
        <f>+'KSM-3 p1 - Test Year Results'!A3</f>
        <v>Test Year Based on Twelve Months Ended September 30, 2018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4" s="54" customFormat="1" x14ac:dyDescent="0.2">
      <c r="F4" s="60"/>
      <c r="K4" s="60"/>
      <c r="M4" s="60" t="s">
        <v>66</v>
      </c>
      <c r="P4" s="60"/>
      <c r="Q4" s="60"/>
      <c r="R4" s="60"/>
      <c r="S4" s="60"/>
      <c r="T4" s="60"/>
      <c r="U4" s="60" t="s">
        <v>66</v>
      </c>
    </row>
    <row r="5" spans="1:24" s="54" customFormat="1" ht="15.75" thickBot="1" x14ac:dyDescent="0.25">
      <c r="C5" s="11" t="s">
        <v>378</v>
      </c>
      <c r="D5" s="11" t="s">
        <v>378</v>
      </c>
      <c r="E5" s="11" t="s">
        <v>378</v>
      </c>
      <c r="F5" s="11" t="s">
        <v>378</v>
      </c>
      <c r="G5" s="11" t="s">
        <v>378</v>
      </c>
      <c r="H5" s="11" t="s">
        <v>378</v>
      </c>
      <c r="I5" s="11" t="s">
        <v>378</v>
      </c>
      <c r="J5" s="11" t="s">
        <v>378</v>
      </c>
      <c r="K5" s="11" t="s">
        <v>378</v>
      </c>
      <c r="L5" s="11" t="s">
        <v>378</v>
      </c>
      <c r="M5" s="492" t="s">
        <v>378</v>
      </c>
      <c r="N5" s="11" t="s">
        <v>379</v>
      </c>
      <c r="O5" s="11" t="s">
        <v>379</v>
      </c>
      <c r="P5" s="11" t="s">
        <v>379</v>
      </c>
      <c r="Q5" s="11" t="s">
        <v>379</v>
      </c>
      <c r="R5" s="403" t="s">
        <v>379</v>
      </c>
      <c r="S5" s="478" t="s">
        <v>379</v>
      </c>
      <c r="T5" s="478" t="s">
        <v>379</v>
      </c>
      <c r="U5" s="492" t="s">
        <v>379</v>
      </c>
    </row>
    <row r="6" spans="1:24" s="54" customFormat="1" x14ac:dyDescent="0.2">
      <c r="C6" s="60" t="s">
        <v>16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4" s="54" customFormat="1" x14ac:dyDescent="0.2">
      <c r="C7" s="60" t="s">
        <v>24</v>
      </c>
      <c r="D7" s="60" t="s">
        <v>351</v>
      </c>
      <c r="E7" s="60"/>
      <c r="F7" s="60" t="s">
        <v>314</v>
      </c>
      <c r="G7" s="60" t="s">
        <v>377</v>
      </c>
      <c r="H7" s="60" t="s">
        <v>26</v>
      </c>
      <c r="I7" s="60" t="s">
        <v>27</v>
      </c>
      <c r="J7" s="60"/>
      <c r="K7" s="60"/>
      <c r="L7" s="60"/>
      <c r="M7" s="60" t="s">
        <v>66</v>
      </c>
      <c r="N7" s="60"/>
      <c r="O7" s="60" t="s">
        <v>25</v>
      </c>
      <c r="P7" s="60"/>
      <c r="Q7" s="60" t="s">
        <v>580</v>
      </c>
      <c r="R7" s="60" t="s">
        <v>737</v>
      </c>
      <c r="S7" s="60"/>
      <c r="T7" s="60"/>
      <c r="U7" s="60" t="s">
        <v>66</v>
      </c>
      <c r="V7" s="60"/>
    </row>
    <row r="8" spans="1:24" s="54" customFormat="1" x14ac:dyDescent="0.2">
      <c r="A8" s="60" t="s">
        <v>17</v>
      </c>
      <c r="C8" s="60" t="s">
        <v>44</v>
      </c>
      <c r="D8" s="60" t="s">
        <v>64</v>
      </c>
      <c r="E8" s="60" t="s">
        <v>45</v>
      </c>
      <c r="F8" s="60" t="s">
        <v>338</v>
      </c>
      <c r="G8" s="60" t="s">
        <v>46</v>
      </c>
      <c r="H8" s="60" t="s">
        <v>47</v>
      </c>
      <c r="I8" s="60" t="s">
        <v>383</v>
      </c>
      <c r="J8" s="60" t="s">
        <v>48</v>
      </c>
      <c r="K8" s="60" t="s">
        <v>328</v>
      </c>
      <c r="L8" s="60" t="s">
        <v>232</v>
      </c>
      <c r="M8" s="60" t="s">
        <v>378</v>
      </c>
      <c r="N8" s="60" t="s">
        <v>25</v>
      </c>
      <c r="O8" s="60" t="s">
        <v>288</v>
      </c>
      <c r="P8" s="60" t="s">
        <v>214</v>
      </c>
      <c r="Q8" s="60" t="s">
        <v>47</v>
      </c>
      <c r="R8" s="60" t="s">
        <v>738</v>
      </c>
      <c r="S8" s="60" t="s">
        <v>786</v>
      </c>
      <c r="T8" s="60" t="s">
        <v>787</v>
      </c>
      <c r="U8" s="60" t="s">
        <v>379</v>
      </c>
      <c r="V8" s="60" t="s">
        <v>49</v>
      </c>
    </row>
    <row r="9" spans="1:24" s="54" customFormat="1" x14ac:dyDescent="0.2">
      <c r="A9" s="62" t="s">
        <v>33</v>
      </c>
      <c r="B9" s="79"/>
      <c r="C9" s="62" t="s">
        <v>63</v>
      </c>
      <c r="D9" s="62" t="s">
        <v>28</v>
      </c>
      <c r="E9" s="62" t="s">
        <v>28</v>
      </c>
      <c r="F9" s="62" t="s">
        <v>28</v>
      </c>
      <c r="G9" s="62" t="s">
        <v>28</v>
      </c>
      <c r="H9" s="62" t="s">
        <v>28</v>
      </c>
      <c r="I9" s="62" t="s">
        <v>28</v>
      </c>
      <c r="J9" s="62" t="s">
        <v>28</v>
      </c>
      <c r="K9" s="62" t="s">
        <v>28</v>
      </c>
      <c r="L9" s="62" t="s">
        <v>28</v>
      </c>
      <c r="M9" s="62" t="s">
        <v>34</v>
      </c>
      <c r="N9" s="62" t="s">
        <v>28</v>
      </c>
      <c r="O9" s="62" t="s">
        <v>28</v>
      </c>
      <c r="P9" s="62" t="s">
        <v>28</v>
      </c>
      <c r="Q9" s="62" t="s">
        <v>28</v>
      </c>
      <c r="R9" s="402" t="s">
        <v>28</v>
      </c>
      <c r="S9" s="477" t="s">
        <v>28</v>
      </c>
      <c r="T9" s="477" t="s">
        <v>28</v>
      </c>
      <c r="U9" s="477" t="s">
        <v>34</v>
      </c>
      <c r="V9" s="62" t="s">
        <v>34</v>
      </c>
    </row>
    <row r="10" spans="1:24" s="54" customFormat="1" x14ac:dyDescent="0.2">
      <c r="A10" s="60"/>
      <c r="C10" s="60" t="s">
        <v>58</v>
      </c>
      <c r="D10" s="60" t="s">
        <v>59</v>
      </c>
      <c r="E10" s="60" t="s">
        <v>60</v>
      </c>
      <c r="F10" s="60" t="s">
        <v>61</v>
      </c>
      <c r="G10" s="60" t="s">
        <v>62</v>
      </c>
      <c r="H10" s="60" t="s">
        <v>69</v>
      </c>
      <c r="I10" s="60" t="s">
        <v>70</v>
      </c>
      <c r="J10" s="60" t="s">
        <v>71</v>
      </c>
      <c r="K10" s="60" t="s">
        <v>72</v>
      </c>
      <c r="L10" s="60" t="s">
        <v>73</v>
      </c>
      <c r="M10" s="60" t="s">
        <v>74</v>
      </c>
      <c r="N10" s="60" t="s">
        <v>321</v>
      </c>
      <c r="O10" s="60" t="s">
        <v>322</v>
      </c>
      <c r="P10" s="60" t="s">
        <v>75</v>
      </c>
      <c r="Q10" s="60" t="s">
        <v>76</v>
      </c>
      <c r="R10" s="60" t="s">
        <v>346</v>
      </c>
      <c r="S10" s="60" t="s">
        <v>348</v>
      </c>
      <c r="T10" s="60" t="s">
        <v>380</v>
      </c>
      <c r="U10" s="60" t="s">
        <v>381</v>
      </c>
      <c r="V10" s="60" t="s">
        <v>788</v>
      </c>
    </row>
    <row r="11" spans="1:24" x14ac:dyDescent="0.2">
      <c r="A11" s="60"/>
      <c r="W11" s="54"/>
      <c r="X11" s="54"/>
    </row>
    <row r="12" spans="1:24" x14ac:dyDescent="0.2">
      <c r="A12" s="60"/>
      <c r="B12" s="54" t="s">
        <v>78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4" x14ac:dyDescent="0.2">
      <c r="A13" s="60">
        <v>1</v>
      </c>
      <c r="B13" s="54" t="s">
        <v>89</v>
      </c>
      <c r="C13" s="33">
        <f>+'KSM-4 p6 - Revenue &amp; Gas Cost'!K15+'KSM-4 p6 - Revenue &amp; Gas Cost'!K17</f>
        <v>-3593725.3960132077</v>
      </c>
      <c r="D13" s="33"/>
      <c r="E13" s="33"/>
      <c r="F13" s="33"/>
      <c r="G13" s="33"/>
      <c r="H13" s="33"/>
      <c r="I13" s="33"/>
      <c r="J13" s="33"/>
      <c r="K13" s="33"/>
      <c r="L13" s="33"/>
      <c r="M13" s="33">
        <f>SUM(C13:L13)</f>
        <v>-3593725.3960132077</v>
      </c>
      <c r="N13" s="33"/>
      <c r="O13" s="33"/>
      <c r="P13" s="33"/>
      <c r="Q13" s="33"/>
      <c r="R13" s="33"/>
      <c r="S13" s="33"/>
      <c r="T13" s="33"/>
      <c r="U13" s="33">
        <f>SUM(N13:T13)</f>
        <v>0</v>
      </c>
      <c r="V13" s="33">
        <f>+U13+M13</f>
        <v>-3593725.3960132077</v>
      </c>
    </row>
    <row r="14" spans="1:24" x14ac:dyDescent="0.2">
      <c r="A14" s="60">
        <v>2</v>
      </c>
      <c r="B14" s="5" t="s">
        <v>93</v>
      </c>
      <c r="C14" s="33">
        <f>+'KSM-4 p6 - Revenue &amp; Gas Cost'!K25</f>
        <v>-9876.9533199756406</v>
      </c>
      <c r="D14" s="33"/>
      <c r="E14" s="33"/>
      <c r="F14" s="33"/>
      <c r="G14" s="33"/>
      <c r="H14" s="33"/>
      <c r="I14" s="33"/>
      <c r="J14" s="33"/>
      <c r="K14" s="33"/>
      <c r="L14" s="33"/>
      <c r="M14" s="33">
        <f>SUM(C14:L14)</f>
        <v>-9876.9533199756406</v>
      </c>
      <c r="N14" s="33"/>
      <c r="O14" s="33"/>
      <c r="P14" s="33"/>
      <c r="Q14" s="33"/>
      <c r="R14" s="33"/>
      <c r="S14" s="33"/>
      <c r="T14" s="33"/>
      <c r="U14" s="33">
        <f>SUM(N14:T14)</f>
        <v>0</v>
      </c>
      <c r="V14" s="33">
        <f>+U14+M14</f>
        <v>-9876.9533199756406</v>
      </c>
    </row>
    <row r="15" spans="1:24" x14ac:dyDescent="0.2">
      <c r="A15" s="60">
        <v>3</v>
      </c>
      <c r="B15" s="5" t="s">
        <v>91</v>
      </c>
      <c r="C15" s="91"/>
      <c r="D15" s="91">
        <f>+'KSM-4 p7 - Misc Rev Adjs'!E35</f>
        <v>2287568.4330936661</v>
      </c>
      <c r="E15" s="91"/>
      <c r="F15" s="91"/>
      <c r="G15" s="91"/>
      <c r="H15" s="91"/>
      <c r="I15" s="91"/>
      <c r="J15" s="91"/>
      <c r="K15" s="91"/>
      <c r="L15" s="91"/>
      <c r="M15" s="91">
        <f>SUM(C15:L15)</f>
        <v>2287568.4330936661</v>
      </c>
      <c r="N15" s="91"/>
      <c r="O15" s="91"/>
      <c r="P15" s="91"/>
      <c r="Q15" s="91"/>
      <c r="R15" s="91"/>
      <c r="S15" s="91"/>
      <c r="T15" s="91"/>
      <c r="U15" s="91">
        <f>SUM(N15:T15)</f>
        <v>0</v>
      </c>
      <c r="V15" s="91">
        <f>+U15+M15</f>
        <v>2287568.4330936661</v>
      </c>
    </row>
    <row r="16" spans="1:24" x14ac:dyDescent="0.2">
      <c r="A16" s="6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v>4</v>
      </c>
      <c r="B17" s="54" t="s">
        <v>100</v>
      </c>
      <c r="C17" s="33">
        <f t="shared" ref="C17:V17" si="0">SUM(C13:C15)</f>
        <v>-3603602.3493331834</v>
      </c>
      <c r="D17" s="33">
        <f t="shared" si="0"/>
        <v>2287568.4330936661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-1316033.9162395173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>SUM(R13:R15)</f>
        <v>0</v>
      </c>
      <c r="S17" s="33">
        <f t="shared" ref="S17:T17" si="1">SUM(S13:S15)</f>
        <v>0</v>
      </c>
      <c r="T17" s="33">
        <f t="shared" si="1"/>
        <v>0</v>
      </c>
      <c r="U17" s="33">
        <f t="shared" si="0"/>
        <v>0</v>
      </c>
      <c r="V17" s="33">
        <f t="shared" si="0"/>
        <v>-1316033.9162395173</v>
      </c>
    </row>
    <row r="18" spans="1:22" x14ac:dyDescent="0.2">
      <c r="A18" s="60"/>
      <c r="B18" s="68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/>
      <c r="B19" s="54" t="s">
        <v>107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x14ac:dyDescent="0.2">
      <c r="A20" s="60">
        <v>5</v>
      </c>
      <c r="B20" s="54" t="s">
        <v>109</v>
      </c>
      <c r="C20" s="33">
        <f>+'KSM-4 p6 - Revenue &amp; Gas Cost'!K35</f>
        <v>-1327404.5505870208</v>
      </c>
      <c r="D20" s="33"/>
      <c r="E20" s="33"/>
      <c r="F20" s="33"/>
      <c r="G20" s="33"/>
      <c r="H20" s="33"/>
      <c r="I20" s="33"/>
      <c r="J20" s="33"/>
      <c r="K20" s="33"/>
      <c r="L20" s="33"/>
      <c r="M20" s="33">
        <f>SUM(C20:L20)</f>
        <v>-1327404.5505870208</v>
      </c>
      <c r="N20" s="33"/>
      <c r="O20" s="33"/>
      <c r="P20" s="33"/>
      <c r="Q20" s="33"/>
      <c r="R20" s="33"/>
      <c r="S20" s="33"/>
      <c r="T20" s="33"/>
      <c r="U20" s="33">
        <f>SUM(N20:T20)</f>
        <v>0</v>
      </c>
      <c r="V20" s="33">
        <f>+U20+M20</f>
        <v>-1327404.5505870208</v>
      </c>
    </row>
    <row r="21" spans="1:22" x14ac:dyDescent="0.2">
      <c r="A21" s="60">
        <v>6</v>
      </c>
      <c r="B21" s="54" t="s">
        <v>117</v>
      </c>
      <c r="C21" s="33">
        <f>(+C13+C14)*'KSM-3 p8 - Cost of Cap'!$C$44</f>
        <v>-3803.676173476445</v>
      </c>
      <c r="D21" s="33"/>
      <c r="E21" s="33"/>
      <c r="F21" s="33"/>
      <c r="G21" s="33">
        <f>+'KSM-4 p10 - Uncollectible'!C44</f>
        <v>21280.118138945065</v>
      </c>
      <c r="H21" s="33"/>
      <c r="I21" s="33"/>
      <c r="J21" s="33"/>
      <c r="K21" s="33"/>
      <c r="L21" s="33"/>
      <c r="M21" s="33">
        <f>SUM(C21:L21)</f>
        <v>17476.441965468621</v>
      </c>
      <c r="N21" s="33"/>
      <c r="O21" s="33"/>
      <c r="P21" s="33"/>
      <c r="Q21" s="33"/>
      <c r="R21" s="33"/>
      <c r="S21" s="33"/>
      <c r="T21" s="33"/>
      <c r="U21" s="33">
        <f>SUM(N21:T21)</f>
        <v>0</v>
      </c>
      <c r="V21" s="33">
        <f>+U21+M21</f>
        <v>17476.441965468621</v>
      </c>
    </row>
    <row r="22" spans="1:22" x14ac:dyDescent="0.2">
      <c r="A22" s="60">
        <v>7</v>
      </c>
      <c r="B22" s="54" t="s">
        <v>120</v>
      </c>
      <c r="C22" s="91"/>
      <c r="D22" s="91"/>
      <c r="E22" s="91">
        <f>'KSM-4 p8 - Bonuses'!H26</f>
        <v>-160538.36394096908</v>
      </c>
      <c r="F22" s="91"/>
      <c r="G22" s="91"/>
      <c r="H22" s="91"/>
      <c r="I22" s="91">
        <f>'KSM-4 p12 - Marketing'!E27</f>
        <v>-287523.47004028718</v>
      </c>
      <c r="J22" s="91">
        <f>'KSM-4 p13 - Claims'!D23</f>
        <v>35322.827704999996</v>
      </c>
      <c r="K22" s="91">
        <f>+'KSM-4 p14 - Rate Case Exp'!C13</f>
        <v>137833.33333333334</v>
      </c>
      <c r="L22" s="91">
        <f>+'KSM-4 p15 - Clearing'!D10</f>
        <v>16384.907757193774</v>
      </c>
      <c r="M22" s="91">
        <f>SUM(C22:L22)</f>
        <v>-258520.76518572913</v>
      </c>
      <c r="N22" s="91">
        <f>+'KSM-4 p16 - Payroll 1'!C31</f>
        <v>539430.64657802123</v>
      </c>
      <c r="O22" s="91">
        <f>+'KSM-4 p18 - Pay Overheads'!E26</f>
        <v>159871.86316954141</v>
      </c>
      <c r="P22" s="91"/>
      <c r="Q22" s="91"/>
      <c r="R22" s="91"/>
      <c r="S22" s="91">
        <f>+'KSM-4 p22 - Holdco'!C17</f>
        <v>-37466.568138226001</v>
      </c>
      <c r="T22" s="91">
        <f>+'KSM-4 p23 - Director'!C15</f>
        <v>19159.54954708333</v>
      </c>
      <c r="U22" s="91">
        <f>SUM(N22:T22)</f>
        <v>680995.49115641997</v>
      </c>
      <c r="V22" s="91">
        <f>+U22+M22</f>
        <v>422474.72597069084</v>
      </c>
    </row>
    <row r="23" spans="1:22" x14ac:dyDescent="0.2">
      <c r="A23" s="60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v>8</v>
      </c>
      <c r="B24" s="5" t="s">
        <v>123</v>
      </c>
      <c r="C24" s="33">
        <f t="shared" ref="C24:V24" si="2">C20+C21+C22</f>
        <v>-1331208.2267604973</v>
      </c>
      <c r="D24" s="33">
        <f t="shared" si="2"/>
        <v>0</v>
      </c>
      <c r="E24" s="33">
        <f t="shared" si="2"/>
        <v>-160538.36394096908</v>
      </c>
      <c r="F24" s="33">
        <f t="shared" si="2"/>
        <v>0</v>
      </c>
      <c r="G24" s="33">
        <f t="shared" si="2"/>
        <v>21280.118138945065</v>
      </c>
      <c r="H24" s="33">
        <f t="shared" si="2"/>
        <v>0</v>
      </c>
      <c r="I24" s="33">
        <f t="shared" si="2"/>
        <v>-287523.47004028718</v>
      </c>
      <c r="J24" s="33">
        <f t="shared" si="2"/>
        <v>35322.827704999996</v>
      </c>
      <c r="K24" s="33">
        <f t="shared" si="2"/>
        <v>137833.33333333334</v>
      </c>
      <c r="L24" s="33">
        <f t="shared" si="2"/>
        <v>16384.907757193774</v>
      </c>
      <c r="M24" s="33">
        <f t="shared" si="2"/>
        <v>-1568448.8738072813</v>
      </c>
      <c r="N24" s="33">
        <f t="shared" si="2"/>
        <v>539430.64657802123</v>
      </c>
      <c r="O24" s="33">
        <f t="shared" si="2"/>
        <v>159871.86316954141</v>
      </c>
      <c r="P24" s="33">
        <f t="shared" si="2"/>
        <v>0</v>
      </c>
      <c r="Q24" s="33">
        <f t="shared" si="2"/>
        <v>0</v>
      </c>
      <c r="R24" s="33">
        <f t="shared" ref="R24" si="3">R20+R21+R22</f>
        <v>0</v>
      </c>
      <c r="S24" s="33">
        <f t="shared" ref="S24:T24" si="4">S20+S21+S22</f>
        <v>-37466.568138226001</v>
      </c>
      <c r="T24" s="33">
        <f t="shared" si="4"/>
        <v>19159.54954708333</v>
      </c>
      <c r="U24" s="33">
        <f t="shared" si="2"/>
        <v>680995.49115641997</v>
      </c>
      <c r="V24" s="33">
        <f t="shared" si="2"/>
        <v>-887453.38265086128</v>
      </c>
    </row>
    <row r="25" spans="1:22" x14ac:dyDescent="0.2">
      <c r="A25" s="6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">
      <c r="A26" s="60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x14ac:dyDescent="0.2">
      <c r="A27" s="60">
        <v>9</v>
      </c>
      <c r="B27" s="54" t="s">
        <v>130</v>
      </c>
      <c r="C27" s="33">
        <f>'KSM-4 p4 &amp; p5 - Adjust Tax'!C$28</f>
        <v>-446539</v>
      </c>
      <c r="D27" s="33">
        <f>'KSM-4 p4 &amp; p5 - Adjust Tax'!D28</f>
        <v>460924</v>
      </c>
      <c r="E27" s="33">
        <f>'KSM-4 p4 &amp; p5 - Adjust Tax'!E28</f>
        <v>34540</v>
      </c>
      <c r="F27" s="33">
        <f>'KSM-4 p4 &amp; p5 - Adjust Tax'!F28</f>
        <v>9343</v>
      </c>
      <c r="G27" s="33">
        <f>'KSM-4 p4 &amp; p5 - Adjust Tax'!G28</f>
        <v>-4469</v>
      </c>
      <c r="H27" s="33">
        <f>'KSM-4 p4 &amp; p5 - Adjust Tax'!H28</f>
        <v>-67568</v>
      </c>
      <c r="I27" s="33">
        <f>'KSM-4 p4 &amp; p5 - Adjust Tax'!I28</f>
        <v>60380</v>
      </c>
      <c r="J27" s="33">
        <f>'KSM-4 p4 &amp; p5 - Adjust Tax'!J28</f>
        <v>-7402</v>
      </c>
      <c r="K27" s="33">
        <f>'KSM-4 p4 &amp; p5 - Adjust Tax'!K28</f>
        <v>-28945</v>
      </c>
      <c r="L27" s="33">
        <f>'KSM-4 p4 &amp; p5 - Adjust Tax'!L28</f>
        <v>-4781</v>
      </c>
      <c r="M27" s="33">
        <f>SUM(C27:L27)</f>
        <v>5483</v>
      </c>
      <c r="N27" s="33">
        <f>'KSM-4 p4 &amp; p5 - Adjust Tax'!N28</f>
        <v>-113280</v>
      </c>
      <c r="O27" s="33">
        <f>'KSM-4 p4 &amp; p5 - Adjust Tax'!O28</f>
        <v>-42239</v>
      </c>
      <c r="P27" s="33">
        <f>'KSM-4 p4 &amp; p5 - Adjust Tax'!P28</f>
        <v>39293</v>
      </c>
      <c r="Q27" s="33">
        <f>'KSM-4 p4 &amp; p5 - Adjust Tax'!Q28</f>
        <v>-116861</v>
      </c>
      <c r="R27" s="33">
        <f>'KSM-4 p4 &amp; p5 - Adjust Tax'!R28</f>
        <v>-2919</v>
      </c>
      <c r="S27" s="33">
        <f>'KSM-4 p4 &amp; p5 - Adjust Tax'!S28</f>
        <v>7868</v>
      </c>
      <c r="T27" s="33">
        <f>'KSM-4 p4 &amp; p5 - Adjust Tax'!T28</f>
        <v>-4024</v>
      </c>
      <c r="U27" s="33">
        <f>SUM(N27:T27)</f>
        <v>-232162</v>
      </c>
      <c r="V27" s="33">
        <f>+U27+M27</f>
        <v>-226679</v>
      </c>
    </row>
    <row r="28" spans="1:22" x14ac:dyDescent="0.2">
      <c r="A28" s="60">
        <v>10</v>
      </c>
      <c r="B28" s="54" t="s">
        <v>132</v>
      </c>
      <c r="C28" s="33"/>
      <c r="D28" s="33"/>
      <c r="E28" s="33"/>
      <c r="F28" s="33">
        <f>+'KSM-4 p9 - Property Taxes'!C17</f>
        <v>-44489.81</v>
      </c>
      <c r="G28" s="33"/>
      <c r="H28" s="33"/>
      <c r="I28" s="33"/>
      <c r="J28" s="33"/>
      <c r="K28" s="33"/>
      <c r="L28" s="33"/>
      <c r="M28" s="33">
        <f>SUM(C28:L28)</f>
        <v>-44489.81</v>
      </c>
      <c r="N28" s="33"/>
      <c r="O28" s="33"/>
      <c r="P28" s="33"/>
      <c r="Q28" s="33"/>
      <c r="R28" s="33"/>
      <c r="S28" s="33"/>
      <c r="T28" s="33"/>
      <c r="U28" s="33">
        <f>SUM(N28:T28)</f>
        <v>0</v>
      </c>
      <c r="V28" s="33">
        <f>+U28+M28</f>
        <v>-44489.81</v>
      </c>
    </row>
    <row r="29" spans="1:22" x14ac:dyDescent="0.2">
      <c r="A29" s="60">
        <v>11</v>
      </c>
      <c r="B29" s="54" t="s">
        <v>136</v>
      </c>
      <c r="C29" s="33">
        <f>(+C17*(+'KSM-3 p8 - Cost of Cap'!$C26+'KSM-3 p8 - Cost of Cap'!$C27))</f>
        <v>-146017.96719498059</v>
      </c>
      <c r="D29" s="33">
        <f>(+D17*(+'KSM-3 p8 - Cost of Cap'!$C26+'KSM-3 p8 - Cost of Cap'!$C27))</f>
        <v>92692.272908955347</v>
      </c>
      <c r="E29" s="33"/>
      <c r="F29" s="33"/>
      <c r="G29" s="33"/>
      <c r="H29" s="33"/>
      <c r="I29" s="33"/>
      <c r="J29" s="33"/>
      <c r="K29" s="33"/>
      <c r="L29" s="33"/>
      <c r="M29" s="33">
        <f>SUM(C29:L29)</f>
        <v>-53325.694286025246</v>
      </c>
      <c r="N29" s="33"/>
      <c r="O29" s="33">
        <f>+'KSM-4 p18 - Pay Overheads'!E40</f>
        <v>41266.444463218628</v>
      </c>
      <c r="P29" s="33"/>
      <c r="Q29" s="33"/>
      <c r="R29" s="33"/>
      <c r="S29" s="33"/>
      <c r="T29" s="33"/>
      <c r="U29" s="33">
        <f>SUM(N29:T29)</f>
        <v>41266.444463218628</v>
      </c>
      <c r="V29" s="33">
        <f>+U29+M29</f>
        <v>-12059.249822806618</v>
      </c>
    </row>
    <row r="30" spans="1:22" x14ac:dyDescent="0.2">
      <c r="A30" s="60">
        <v>12</v>
      </c>
      <c r="B30" s="54" t="s">
        <v>137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>
        <f>SUM(C30:L30)</f>
        <v>0</v>
      </c>
      <c r="N30" s="91"/>
      <c r="O30" s="91"/>
      <c r="P30" s="91">
        <f>+'KSM-4 p19 - Depreciation'!C14</f>
        <v>-187109.75907745585</v>
      </c>
      <c r="Q30" s="91">
        <f>+'KSM-4 p20 - Post TY Capital'!C11</f>
        <v>298683.79668370174</v>
      </c>
      <c r="R30" s="91">
        <f>+'KSM-4 p20 - Post TY Capital'!D11</f>
        <v>0</v>
      </c>
      <c r="S30" s="91"/>
      <c r="T30" s="91"/>
      <c r="U30" s="91">
        <f>SUM(N30:T30)</f>
        <v>111574.0376062459</v>
      </c>
      <c r="V30" s="91">
        <f>+U30+M30</f>
        <v>111574.0376062459</v>
      </c>
    </row>
    <row r="31" spans="1:22" x14ac:dyDescent="0.2">
      <c r="A31" s="60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x14ac:dyDescent="0.2">
      <c r="A32" s="60">
        <v>13</v>
      </c>
      <c r="B32" s="54" t="s">
        <v>141</v>
      </c>
      <c r="C32" s="91">
        <f t="shared" ref="C32:V32" si="5">SUM(C24:C30)</f>
        <v>-1923765.1939554778</v>
      </c>
      <c r="D32" s="91">
        <f t="shared" si="5"/>
        <v>553616.27290895535</v>
      </c>
      <c r="E32" s="91">
        <f t="shared" si="5"/>
        <v>-125998.36394096908</v>
      </c>
      <c r="F32" s="91">
        <f t="shared" si="5"/>
        <v>-35146.81</v>
      </c>
      <c r="G32" s="91">
        <f t="shared" si="5"/>
        <v>16811.118138945065</v>
      </c>
      <c r="H32" s="91">
        <f t="shared" si="5"/>
        <v>-67568</v>
      </c>
      <c r="I32" s="91">
        <f t="shared" si="5"/>
        <v>-227143.47004028718</v>
      </c>
      <c r="J32" s="91">
        <f t="shared" si="5"/>
        <v>27920.827704999996</v>
      </c>
      <c r="K32" s="91">
        <f t="shared" si="5"/>
        <v>108888.33333333334</v>
      </c>
      <c r="L32" s="91">
        <f t="shared" si="5"/>
        <v>11603.907757193774</v>
      </c>
      <c r="M32" s="91">
        <f t="shared" si="5"/>
        <v>-1660781.3780933064</v>
      </c>
      <c r="N32" s="91">
        <f t="shared" si="5"/>
        <v>426150.64657802123</v>
      </c>
      <c r="O32" s="91">
        <f t="shared" si="5"/>
        <v>158899.30763276003</v>
      </c>
      <c r="P32" s="91">
        <f t="shared" si="5"/>
        <v>-147816.75907745585</v>
      </c>
      <c r="Q32" s="91">
        <f t="shared" si="5"/>
        <v>181822.79668370174</v>
      </c>
      <c r="R32" s="91">
        <f t="shared" ref="R32" si="6">SUM(R24:R30)</f>
        <v>-2919</v>
      </c>
      <c r="S32" s="91">
        <f t="shared" ref="S32:T32" si="7">SUM(S24:S30)</f>
        <v>-29598.568138226001</v>
      </c>
      <c r="T32" s="91">
        <f t="shared" si="7"/>
        <v>15135.54954708333</v>
      </c>
      <c r="U32" s="91">
        <f t="shared" si="5"/>
        <v>601673.97322588449</v>
      </c>
      <c r="V32" s="91">
        <f t="shared" si="5"/>
        <v>-1059107.4048674221</v>
      </c>
    </row>
    <row r="33" spans="1:22" x14ac:dyDescent="0.2">
      <c r="A33" s="60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5.75" thickBot="1" x14ac:dyDescent="0.25">
      <c r="A34" s="60">
        <v>14</v>
      </c>
      <c r="B34" s="54" t="s">
        <v>148</v>
      </c>
      <c r="C34" s="112">
        <f t="shared" ref="C34:V34" si="8">C17-C32</f>
        <v>-1679837.1553777056</v>
      </c>
      <c r="D34" s="112">
        <f t="shared" si="8"/>
        <v>1733952.1601847108</v>
      </c>
      <c r="E34" s="112">
        <f t="shared" si="8"/>
        <v>125998.36394096908</v>
      </c>
      <c r="F34" s="112">
        <f t="shared" si="8"/>
        <v>35146.81</v>
      </c>
      <c r="G34" s="112">
        <f t="shared" si="8"/>
        <v>-16811.118138945065</v>
      </c>
      <c r="H34" s="112">
        <f t="shared" si="8"/>
        <v>67568</v>
      </c>
      <c r="I34" s="112">
        <f t="shared" si="8"/>
        <v>227143.47004028718</v>
      </c>
      <c r="J34" s="112">
        <f t="shared" si="8"/>
        <v>-27920.827704999996</v>
      </c>
      <c r="K34" s="112">
        <f t="shared" si="8"/>
        <v>-108888.33333333334</v>
      </c>
      <c r="L34" s="112">
        <f t="shared" si="8"/>
        <v>-11603.907757193774</v>
      </c>
      <c r="M34" s="112">
        <f t="shared" si="8"/>
        <v>344747.46185378917</v>
      </c>
      <c r="N34" s="112">
        <f t="shared" si="8"/>
        <v>-426150.64657802123</v>
      </c>
      <c r="O34" s="112">
        <f t="shared" si="8"/>
        <v>-158899.30763276003</v>
      </c>
      <c r="P34" s="112">
        <f t="shared" si="8"/>
        <v>147816.75907745585</v>
      </c>
      <c r="Q34" s="112">
        <f t="shared" si="8"/>
        <v>-181822.79668370174</v>
      </c>
      <c r="R34" s="112">
        <f t="shared" ref="R34" si="9">R17-R32</f>
        <v>2919</v>
      </c>
      <c r="S34" s="112">
        <f t="shared" ref="S34:T34" si="10">S17-S32</f>
        <v>29598.568138226001</v>
      </c>
      <c r="T34" s="112">
        <f t="shared" si="10"/>
        <v>-15135.54954708333</v>
      </c>
      <c r="U34" s="112">
        <f t="shared" si="8"/>
        <v>-601673.97322588449</v>
      </c>
      <c r="V34" s="112">
        <f t="shared" si="8"/>
        <v>-256926.51137209521</v>
      </c>
    </row>
    <row r="35" spans="1:22" ht="15.75" thickTop="1" x14ac:dyDescent="0.2">
      <c r="A35" s="60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x14ac:dyDescent="0.2">
      <c r="A36" s="60"/>
      <c r="B36" s="54" t="s">
        <v>142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x14ac:dyDescent="0.2">
      <c r="A37" s="60">
        <v>15</v>
      </c>
      <c r="B37" s="54" t="s">
        <v>152</v>
      </c>
      <c r="C37" s="33"/>
      <c r="D37" s="33"/>
      <c r="E37" s="33">
        <f>'KSM-4 p8 - Bonuses'!H30</f>
        <v>-155749.90314321715</v>
      </c>
      <c r="F37" s="33"/>
      <c r="G37" s="33"/>
      <c r="H37" s="33">
        <f>+'KSM-4 p11 - Working Cap'!D56</f>
        <v>12717540.060742617</v>
      </c>
      <c r="I37" s="33"/>
      <c r="J37" s="33">
        <f>'KSM-4 p13 - Claims'!E23</f>
        <v>-2895.0000000000005</v>
      </c>
      <c r="K37" s="33"/>
      <c r="L37" s="33">
        <f>+'KSM-4 p15 - Clearing'!D12</f>
        <v>252309.57086635803</v>
      </c>
      <c r="M37" s="33">
        <f>SUM(C37:L37)</f>
        <v>12811204.728465756</v>
      </c>
      <c r="N37" s="33"/>
      <c r="O37" s="33"/>
      <c r="P37" s="33"/>
      <c r="Q37" s="33">
        <f>+'KSM-4 p20 - Post TY Capital'!C9</f>
        <v>10189607.997541402</v>
      </c>
      <c r="R37" s="33">
        <f>+'KSM-4 p20 - Post TY Capital'!D9</f>
        <v>0</v>
      </c>
      <c r="S37" s="33"/>
      <c r="T37" s="33"/>
      <c r="U37" s="33">
        <f>SUM(N37:T37)</f>
        <v>10189607.997541402</v>
      </c>
      <c r="V37" s="33">
        <f>+U37+M37</f>
        <v>23000812.726007156</v>
      </c>
    </row>
    <row r="38" spans="1:22" x14ac:dyDescent="0.2">
      <c r="A38" s="60">
        <v>16</v>
      </c>
      <c r="B38" s="54" t="s">
        <v>155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>
        <f>SUM(C38:L38)</f>
        <v>0</v>
      </c>
      <c r="N38" s="91"/>
      <c r="O38" s="91"/>
      <c r="P38" s="91"/>
      <c r="Q38" s="91"/>
      <c r="R38" s="91"/>
      <c r="S38" s="91"/>
      <c r="T38" s="91"/>
      <c r="U38" s="91">
        <f>SUM(N38:T38)</f>
        <v>0</v>
      </c>
      <c r="V38" s="91">
        <f>+U38+M38</f>
        <v>0</v>
      </c>
    </row>
    <row r="39" spans="1:22" x14ac:dyDescent="0.2">
      <c r="A39" s="60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x14ac:dyDescent="0.2">
      <c r="A40" s="60">
        <v>17</v>
      </c>
      <c r="B40" s="54" t="s">
        <v>157</v>
      </c>
      <c r="C40" s="33">
        <f t="shared" ref="C40:V40" si="11">C37+C38</f>
        <v>0</v>
      </c>
      <c r="D40" s="33">
        <f t="shared" si="11"/>
        <v>0</v>
      </c>
      <c r="E40" s="33">
        <f t="shared" si="11"/>
        <v>-155749.90314321715</v>
      </c>
      <c r="F40" s="33">
        <f t="shared" si="11"/>
        <v>0</v>
      </c>
      <c r="G40" s="33">
        <f t="shared" si="11"/>
        <v>0</v>
      </c>
      <c r="H40" s="33">
        <f t="shared" si="11"/>
        <v>12717540.060742617</v>
      </c>
      <c r="I40" s="33">
        <f t="shared" si="11"/>
        <v>0</v>
      </c>
      <c r="J40" s="33">
        <f t="shared" si="11"/>
        <v>-2895.0000000000005</v>
      </c>
      <c r="K40" s="33">
        <f t="shared" si="11"/>
        <v>0</v>
      </c>
      <c r="L40" s="33">
        <f t="shared" si="11"/>
        <v>252309.57086635803</v>
      </c>
      <c r="M40" s="33">
        <f t="shared" si="11"/>
        <v>12811204.728465756</v>
      </c>
      <c r="N40" s="33">
        <f t="shared" si="11"/>
        <v>0</v>
      </c>
      <c r="O40" s="33">
        <f t="shared" si="11"/>
        <v>0</v>
      </c>
      <c r="P40" s="33">
        <f t="shared" si="11"/>
        <v>0</v>
      </c>
      <c r="Q40" s="33">
        <f t="shared" si="11"/>
        <v>10189607.997541402</v>
      </c>
      <c r="R40" s="33">
        <f t="shared" ref="R40" si="12">R37+R38</f>
        <v>0</v>
      </c>
      <c r="S40" s="33">
        <f t="shared" ref="S40:T40" si="13">S37+S38</f>
        <v>0</v>
      </c>
      <c r="T40" s="33">
        <f t="shared" si="13"/>
        <v>0</v>
      </c>
      <c r="U40" s="33">
        <f t="shared" si="11"/>
        <v>10189607.997541402</v>
      </c>
      <c r="V40" s="33">
        <f t="shared" si="11"/>
        <v>23000812.726007156</v>
      </c>
    </row>
    <row r="41" spans="1:22" x14ac:dyDescent="0.2">
      <c r="A41" s="60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x14ac:dyDescent="0.2">
      <c r="A42" s="60">
        <v>18</v>
      </c>
      <c r="B42" s="54" t="s">
        <v>160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>
        <f>SUM(C42:L42)</f>
        <v>0</v>
      </c>
      <c r="N42" s="33"/>
      <c r="O42" s="33"/>
      <c r="P42" s="33"/>
      <c r="Q42" s="33"/>
      <c r="R42" s="33"/>
      <c r="S42" s="33"/>
      <c r="T42" s="33"/>
      <c r="U42" s="33">
        <f>SUM(N42:T42)</f>
        <v>0</v>
      </c>
      <c r="V42" s="33">
        <f>+U42+M42</f>
        <v>0</v>
      </c>
    </row>
    <row r="43" spans="1:22" x14ac:dyDescent="0.2">
      <c r="A43" s="60">
        <v>19</v>
      </c>
      <c r="B43" s="5" t="s">
        <v>264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>
        <f>SUM(C43:L43)</f>
        <v>0</v>
      </c>
      <c r="N43" s="33"/>
      <c r="O43" s="33"/>
      <c r="P43" s="33"/>
      <c r="Q43" s="33"/>
      <c r="R43" s="33"/>
      <c r="S43" s="33"/>
      <c r="T43" s="33"/>
      <c r="U43" s="33">
        <f>SUM(N43:T43)</f>
        <v>0</v>
      </c>
      <c r="V43" s="33">
        <f>+U43+M43</f>
        <v>0</v>
      </c>
    </row>
    <row r="44" spans="1:22" x14ac:dyDescent="0.2">
      <c r="A44" s="60">
        <v>20</v>
      </c>
      <c r="B44" s="54" t="s">
        <v>165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>
        <f>SUM(C44:L44)</f>
        <v>0</v>
      </c>
      <c r="N44" s="33"/>
      <c r="O44" s="33"/>
      <c r="P44" s="33"/>
      <c r="Q44" s="33"/>
      <c r="R44" s="33"/>
      <c r="S44" s="33"/>
      <c r="T44" s="33"/>
      <c r="U44" s="33">
        <f>SUM(N44:T44)</f>
        <v>0</v>
      </c>
      <c r="V44" s="33">
        <f>+U44+M44</f>
        <v>0</v>
      </c>
    </row>
    <row r="45" spans="1:22" x14ac:dyDescent="0.2">
      <c r="A45" s="60">
        <v>21</v>
      </c>
      <c r="B45" s="54" t="s">
        <v>168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>
        <f>SUM(C45:L45)</f>
        <v>0</v>
      </c>
      <c r="N45" s="91"/>
      <c r="O45" s="91"/>
      <c r="P45" s="91"/>
      <c r="Q45" s="91"/>
      <c r="R45" s="91">
        <f>'KSM-4 p21 - EDIT Amort'!C16</f>
        <v>549366</v>
      </c>
      <c r="S45" s="91"/>
      <c r="T45" s="91"/>
      <c r="U45" s="91">
        <f>SUM(N45:T45)</f>
        <v>549366</v>
      </c>
      <c r="V45" s="91">
        <f>+U45+M45</f>
        <v>549366</v>
      </c>
    </row>
    <row r="46" spans="1:22" x14ac:dyDescent="0.2">
      <c r="A46" s="60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5.75" thickBot="1" x14ac:dyDescent="0.25">
      <c r="A47" s="60">
        <v>22</v>
      </c>
      <c r="B47" s="54" t="s">
        <v>149</v>
      </c>
      <c r="C47" s="112">
        <f t="shared" ref="C47:U47" si="14">SUM(C40:C45)</f>
        <v>0</v>
      </c>
      <c r="D47" s="112">
        <f t="shared" si="14"/>
        <v>0</v>
      </c>
      <c r="E47" s="112">
        <f t="shared" si="14"/>
        <v>-155749.90314321715</v>
      </c>
      <c r="F47" s="112">
        <f t="shared" si="14"/>
        <v>0</v>
      </c>
      <c r="G47" s="112">
        <f t="shared" si="14"/>
        <v>0</v>
      </c>
      <c r="H47" s="112">
        <f t="shared" si="14"/>
        <v>12717540.060742617</v>
      </c>
      <c r="I47" s="112">
        <f t="shared" si="14"/>
        <v>0</v>
      </c>
      <c r="J47" s="112">
        <f t="shared" si="14"/>
        <v>-2895.0000000000005</v>
      </c>
      <c r="K47" s="112">
        <f t="shared" si="14"/>
        <v>0</v>
      </c>
      <c r="L47" s="112">
        <f t="shared" si="14"/>
        <v>252309.57086635803</v>
      </c>
      <c r="M47" s="112">
        <f t="shared" si="14"/>
        <v>12811204.728465756</v>
      </c>
      <c r="N47" s="112">
        <f t="shared" si="14"/>
        <v>0</v>
      </c>
      <c r="O47" s="112">
        <f t="shared" si="14"/>
        <v>0</v>
      </c>
      <c r="P47" s="112">
        <f t="shared" si="14"/>
        <v>0</v>
      </c>
      <c r="Q47" s="112">
        <f t="shared" si="14"/>
        <v>10189607.997541402</v>
      </c>
      <c r="R47" s="112">
        <f>SUM(R40:R45)</f>
        <v>549366</v>
      </c>
      <c r="S47" s="112">
        <f t="shared" ref="S47:T47" si="15">SUM(S40:S45)</f>
        <v>0</v>
      </c>
      <c r="T47" s="112">
        <f t="shared" si="15"/>
        <v>0</v>
      </c>
      <c r="U47" s="112">
        <f t="shared" si="14"/>
        <v>10738973.997541402</v>
      </c>
      <c r="V47" s="112">
        <f>SUM(V40:V45)</f>
        <v>23550178.726007156</v>
      </c>
    </row>
    <row r="48" spans="1:22" ht="15.75" thickTop="1" x14ac:dyDescent="0.2">
      <c r="A48" s="60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x14ac:dyDescent="0.2">
      <c r="A49" s="60">
        <v>23</v>
      </c>
      <c r="B49" s="54" t="s">
        <v>175</v>
      </c>
      <c r="C49" s="33">
        <f>ROUND(+C47*'KSM-3 p8 - Cost of Cap'!$C$41,0)</f>
        <v>0</v>
      </c>
      <c r="D49" s="33">
        <f>ROUND(+D47*'KSM-3 p8 - Cost of Cap'!$C$41,0)</f>
        <v>0</v>
      </c>
      <c r="E49" s="33">
        <f>ROUND(+E47*'KSM-3 p8 - Cost of Cap'!$C$41,0)</f>
        <v>-3940</v>
      </c>
      <c r="F49" s="33">
        <f>ROUND(+F47*'KSM-3 p8 - Cost of Cap'!$C$41,0)</f>
        <v>0</v>
      </c>
      <c r="G49" s="33">
        <f>ROUND(+G47*'KSM-3 p8 - Cost of Cap'!$C$41,0)</f>
        <v>0</v>
      </c>
      <c r="H49" s="33">
        <f>ROUND(+H47*'KSM-3 p8 - Cost of Cap'!$C$41,0)</f>
        <v>321754</v>
      </c>
      <c r="I49" s="33">
        <f>ROUND(+I47*'KSM-3 p8 - Cost of Cap'!$C$41,0)</f>
        <v>0</v>
      </c>
      <c r="J49" s="33">
        <f>ROUND(+J47*'KSM-3 p8 - Cost of Cap'!$C$41,0)</f>
        <v>-73</v>
      </c>
      <c r="K49" s="33">
        <f>ROUND(+K47*'KSM-3 p8 - Cost of Cap'!$C$41,0)</f>
        <v>0</v>
      </c>
      <c r="L49" s="33">
        <f>ROUND(+L47*'KSM-3 p8 - Cost of Cap'!$C$41,0)</f>
        <v>6383</v>
      </c>
      <c r="M49" s="33">
        <f>ROUND(+M47*'KSM-3 p8 - Cost of Cap'!$C$41,0)</f>
        <v>324123</v>
      </c>
      <c r="N49" s="33">
        <f>ROUND(+N47*'KSM-3 p8 - Cost of Cap'!$C$41,0)</f>
        <v>0</v>
      </c>
      <c r="O49" s="33">
        <f>ROUND(+O47*'KSM-3 p8 - Cost of Cap'!$C$41,0)</f>
        <v>0</v>
      </c>
      <c r="P49" s="33">
        <f>ROUND(+P47*'KSM-3 p8 - Cost of Cap'!$C$41,0)</f>
        <v>0</v>
      </c>
      <c r="Q49" s="33">
        <f>ROUND(+Q47*'KSM-3 p8 - Cost of Cap'!$C$41,0)</f>
        <v>257797</v>
      </c>
      <c r="R49" s="33">
        <f>ROUND(+R47*'KSM-3 p8 - Cost of Cap'!$C$41,0)</f>
        <v>13899</v>
      </c>
      <c r="S49" s="33">
        <f>ROUND(+S47*'KSM-3 p8 - Cost of Cap'!$C$41,0)</f>
        <v>0</v>
      </c>
      <c r="T49" s="33">
        <f>ROUND(+T47*'KSM-3 p8 - Cost of Cap'!$C$41,0)</f>
        <v>0</v>
      </c>
      <c r="U49" s="33">
        <f>ROUND(+U47*'KSM-3 p8 - Cost of Cap'!$C$41,0)</f>
        <v>271696</v>
      </c>
      <c r="V49" s="33">
        <f>SUM(C49:J49)</f>
        <v>317741</v>
      </c>
    </row>
    <row r="50" spans="1:22" x14ac:dyDescent="0.2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x14ac:dyDescent="0.2">
      <c r="C51" s="65">
        <f>((C47*'KSM-3 p8 - Cost of Cap'!$E15)-C34)*'KSM-3 p8 - Cost of Cap'!$C39</f>
        <v>2218611.3262219969</v>
      </c>
      <c r="D51" s="65">
        <f>((D47*'KSM-3 p8 - Cost of Cap'!$E15)-D34)*'KSM-3 p8 - Cost of Cap'!$C39</f>
        <v>-2290082.6365207531</v>
      </c>
      <c r="E51" s="65">
        <f>((E47*'KSM-3 p8 - Cost of Cap'!$E15)-E34)*'KSM-3 p8 - Cost of Cap'!$C39</f>
        <v>-182102.94453088776</v>
      </c>
      <c r="F51" s="65">
        <f>((F47*'KSM-3 p8 - Cost of Cap'!$E15)-F34)*'KSM-3 p8 - Cost of Cap'!$C39</f>
        <v>-46419.446371299993</v>
      </c>
      <c r="G51" s="65">
        <f>((G47*'KSM-3 p8 - Cost of Cap'!$E15)-G34)*'KSM-3 p8 - Cost of Cap'!$C39</f>
        <v>22202.948059648916</v>
      </c>
      <c r="H51" s="65">
        <f>((H47*'KSM-3 p8 - Cost of Cap'!$E15)-H34)*'KSM-3 p8 - Cost of Cap'!$C39</f>
        <v>1192161.0700147524</v>
      </c>
      <c r="I51" s="65">
        <f>((I47*'KSM-3 p8 - Cost of Cap'!$E15)-I34)*'KSM-3 p8 - Cost of Cap'!$C39</f>
        <v>-299995.19518630847</v>
      </c>
      <c r="J51" s="65">
        <f>((J47*'KSM-3 p8 - Cost of Cap'!$E15)-J34)*'KSM-3 p8 - Cost of Cap'!$C39</f>
        <v>36584.178941353144</v>
      </c>
      <c r="K51" s="65">
        <f>((K47*'KSM-3 p8 - Cost of Cap'!$E15)-K34)*'KSM-3 p8 - Cost of Cap'!$C39</f>
        <v>143812.08848333335</v>
      </c>
      <c r="L51" s="65">
        <f>((L47*'KSM-3 p8 - Cost of Cap'!$E15)-L34)*'KSM-3 p8 - Cost of Cap'!$C39</f>
        <v>40747.960894127027</v>
      </c>
      <c r="M51" s="65"/>
      <c r="N51" s="65">
        <f>((N47*'KSM-3 p8 - Cost of Cap'!$E15)-N34)*'KSM-3 p8 - Cost of Cap'!$C39</f>
        <v>562829.94345498993</v>
      </c>
      <c r="O51" s="65">
        <f>((O47*'KSM-3 p8 - Cost of Cap'!$E15)-O34)*'KSM-3 p8 - Cost of Cap'!$C39</f>
        <v>209863.08256981516</v>
      </c>
      <c r="P51" s="65">
        <f>((P47*'KSM-3 p8 - Cost of Cap'!$E15)-P34)*'KSM-3 p8 - Cost of Cap'!$C39</f>
        <v>-195226.02821636826</v>
      </c>
      <c r="Q51" s="65">
        <f>((Q47*'KSM-3 p8 - Cost of Cap'!$E15)-Q34)*'KSM-3 p8 - Cost of Cap'!$C39</f>
        <v>1266828.3551105943</v>
      </c>
      <c r="R51" s="65">
        <f>((R47*'KSM-3 p8 - Cost of Cap'!$E15)-R34)*'KSM-3 p8 - Cost of Cap'!$C39</f>
        <v>51498.078681262203</v>
      </c>
      <c r="S51" s="65">
        <f>((S47*'KSM-3 p8 - Cost of Cap'!$E15)-S34)*'KSM-3 p8 - Cost of Cap'!$C39</f>
        <v>-39091.716897199221</v>
      </c>
      <c r="T51" s="65">
        <f>((T47*'KSM-3 p8 - Cost of Cap'!$E15)-T34)*'KSM-3 p8 - Cost of Cap'!$C39</f>
        <v>19989.974353319365</v>
      </c>
      <c r="U51" s="65"/>
      <c r="V51" s="65"/>
    </row>
    <row r="52" spans="1:22" x14ac:dyDescent="0.2">
      <c r="A52" s="11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</sheetData>
  <phoneticPr fontId="0" type="noConversion"/>
  <printOptions horizontalCentered="1"/>
  <pageMargins left="0.77" right="0.98" top="0.5" bottom="0.5" header="0.25" footer="0.25"/>
  <pageSetup scale="50" fitToWidth="2" orientation="landscape" r:id="rId1"/>
  <headerFooter alignWithMargins="0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CB0650-BC92-4A44-862A-F118E70BCE68}"/>
</file>

<file path=customXml/itemProps2.xml><?xml version="1.0" encoding="utf-8"?>
<ds:datastoreItem xmlns:ds="http://schemas.openxmlformats.org/officeDocument/2006/customXml" ds:itemID="{19D7D381-0D1F-4C5B-8361-552EC0A49153}"/>
</file>

<file path=customXml/itemProps3.xml><?xml version="1.0" encoding="utf-8"?>
<ds:datastoreItem xmlns:ds="http://schemas.openxmlformats.org/officeDocument/2006/customXml" ds:itemID="{4D2F8D19-D5D1-4088-8670-321F0040690A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8A0390F3-35EC-4000-9DD1-36D9F50F30F3}"/>
</file>

<file path=customXml/itemProps5.xml><?xml version="1.0" encoding="utf-8"?>
<ds:datastoreItem xmlns:ds="http://schemas.openxmlformats.org/officeDocument/2006/customXml" ds:itemID="{9CE8AA65-D5E4-4F48-9E20-7161E915C398}"/>
</file>

<file path=customXml/itemProps6.xml><?xml version="1.0" encoding="utf-8"?>
<ds:datastoreItem xmlns:ds="http://schemas.openxmlformats.org/officeDocument/2006/customXml" ds:itemID="{F8FDB68C-E392-4388-8B9F-361CA5E75320}"/>
</file>

<file path=customXml/itemProps7.xml><?xml version="1.0" encoding="utf-8"?>
<ds:datastoreItem xmlns:ds="http://schemas.openxmlformats.org/officeDocument/2006/customXml" ds:itemID="{878ECB08-D6D8-4509-93E4-A49267FC4F82}"/>
</file>

<file path=customXml/itemProps8.xml><?xml version="1.0" encoding="utf-8"?>
<ds:datastoreItem xmlns:ds="http://schemas.openxmlformats.org/officeDocument/2006/customXml" ds:itemID="{625DD690-D903-41BF-9274-714BE593F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28</vt:i4>
      </vt:variant>
    </vt:vector>
  </HeadingPairs>
  <TitlesOfParts>
    <vt:vector size="58" baseType="lpstr">
      <vt:lpstr>KSM-2 p1 - Rev Req</vt:lpstr>
      <vt:lpstr>KSM-3 p1 - Test Year Results</vt:lpstr>
      <vt:lpstr>KSM-3 p2 &amp; p3 - O&amp;M</vt:lpstr>
      <vt:lpstr>KSM-3 p4 - Factors</vt:lpstr>
      <vt:lpstr>KSM-3 p5 - Taxes</vt:lpstr>
      <vt:lpstr>KSM-3 p6 &amp; p7 - AMA Rate Base</vt:lpstr>
      <vt:lpstr>KSM-3 p8 - Cost of Cap</vt:lpstr>
      <vt:lpstr>KSM-4 p1 - Rev Req</vt:lpstr>
      <vt:lpstr>KSM-4 p2 &amp; p3 - Adjust Issues</vt:lpstr>
      <vt:lpstr>KSM-4 p4 &amp; p5 - Adjust Tax</vt:lpstr>
      <vt:lpstr>KSM-4 p6 - Revenue &amp; Gas Cost</vt:lpstr>
      <vt:lpstr>KSM-4 p7 - Misc Rev Adjs</vt:lpstr>
      <vt:lpstr>KSM-4 p8 - Bonuses</vt:lpstr>
      <vt:lpstr>KSM-4 p9 - Property Taxes</vt:lpstr>
      <vt:lpstr>KSM-4 p10 - Uncollectible</vt:lpstr>
      <vt:lpstr>KSM-4 p11 - Working Cap</vt:lpstr>
      <vt:lpstr>KSM-4 p12 - Marketing</vt:lpstr>
      <vt:lpstr>KSM-4 p13 - Claims</vt:lpstr>
      <vt:lpstr>KSM-4 p14 - Rate Case Exp</vt:lpstr>
      <vt:lpstr>KSM-4 p15 - Clearing</vt:lpstr>
      <vt:lpstr>KSM-4 p16 - Payroll 1</vt:lpstr>
      <vt:lpstr>KSM-4 p17 - Payroll 2</vt:lpstr>
      <vt:lpstr>KSM-4 p18 - Pay Overheads</vt:lpstr>
      <vt:lpstr>KSM-4 p19 - Depreciation</vt:lpstr>
      <vt:lpstr>KSM-4 p20 - Post TY Capital</vt:lpstr>
      <vt:lpstr>KSM-4 p21 - EDIT Amort</vt:lpstr>
      <vt:lpstr>KSM-4 p22 - Holdco</vt:lpstr>
      <vt:lpstr>KSM-4 p23 - Director</vt:lpstr>
      <vt:lpstr>WP - Deferred Tax</vt:lpstr>
      <vt:lpstr>WP - Other Rev &amp; Tax</vt:lpstr>
      <vt:lpstr>'KSM-2 p1 - Rev Req'!Print_Area</vt:lpstr>
      <vt:lpstr>'KSM-3 p1 - Test Year Results'!Print_Area</vt:lpstr>
      <vt:lpstr>'KSM-3 p2 &amp; p3 - O&amp;M'!Print_Area</vt:lpstr>
      <vt:lpstr>'KSM-3 p4 - Factors'!Print_Area</vt:lpstr>
      <vt:lpstr>'KSM-3 p5 - Taxes'!Print_Area</vt:lpstr>
      <vt:lpstr>'KSM-3 p6 &amp; p7 - AMA Rate Base'!Print_Area</vt:lpstr>
      <vt:lpstr>'KSM-3 p8 - Cost of Cap'!Print_Area</vt:lpstr>
      <vt:lpstr>'KSM-4 p10 - Uncollectible'!Print_Area</vt:lpstr>
      <vt:lpstr>'KSM-4 p11 - Working Cap'!Print_Area</vt:lpstr>
      <vt:lpstr>'KSM-4 p13 - Claims'!Print_Area</vt:lpstr>
      <vt:lpstr>'KSM-4 p14 - Rate Case Exp'!Print_Area</vt:lpstr>
      <vt:lpstr>'KSM-4 p15 - Clearing'!Print_Area</vt:lpstr>
      <vt:lpstr>'KSM-4 p16 - Payroll 1'!Print_Area</vt:lpstr>
      <vt:lpstr>'KSM-4 p17 - Payroll 2'!Print_Area</vt:lpstr>
      <vt:lpstr>'KSM-4 p18 - Pay Overheads'!Print_Area</vt:lpstr>
      <vt:lpstr>'KSM-4 p19 - Depreciation'!Print_Area</vt:lpstr>
      <vt:lpstr>'KSM-4 p2 &amp; p3 - Adjust Issues'!Print_Area</vt:lpstr>
      <vt:lpstr>'KSM-4 p23 - Director'!Print_Area</vt:lpstr>
      <vt:lpstr>'KSM-4 p4 &amp; p5 - Adjust Tax'!Print_Area</vt:lpstr>
      <vt:lpstr>'KSM-4 p6 - Revenue &amp; Gas Cost'!Print_Area</vt:lpstr>
      <vt:lpstr>'KSM-4 p7 - Misc Rev Adjs'!Print_Area</vt:lpstr>
      <vt:lpstr>'KSM-4 p8 - Bonuses'!Print_Area</vt:lpstr>
      <vt:lpstr>'WP - Deferred Tax'!Print_Area</vt:lpstr>
      <vt:lpstr>'WP - Other Rev &amp; Tax'!Print_Area</vt:lpstr>
      <vt:lpstr>'KSM-3 p2 &amp; p3 - O&amp;M'!Print_Titles</vt:lpstr>
      <vt:lpstr>'KSM-3 p6 &amp; p7 - AMA Rate Base'!Print_Titles</vt:lpstr>
      <vt:lpstr>'KSM-4 p2 &amp; p3 - Adjust Issues'!Print_Titles</vt:lpstr>
      <vt:lpstr>'KSM-4 p4 &amp; p5 - Adjust Tax'!Print_Titles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cp:lastPrinted>2018-12-31T01:24:40Z</cp:lastPrinted>
  <dcterms:created xsi:type="dcterms:W3CDTF">2001-04-24T18:09:59Z</dcterms:created>
  <dcterms:modified xsi:type="dcterms:W3CDTF">2019-03-21T17:14:07Z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