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defaultThemeVersion="124226"/>
  <bookViews>
    <workbookView xWindow="240" yWindow="1950" windowWidth="9165" windowHeight="2205" tabRatio="599" firstSheet="14" activeTab="17"/>
  </bookViews>
  <sheets>
    <sheet name="DMR-2" sheetId="252" r:id="rId1"/>
    <sheet name="DMR3Sch1" sheetId="210" r:id="rId2"/>
    <sheet name="Sch2" sheetId="211" r:id="rId3"/>
    <sheet name="Sch3" sheetId="143" r:id="rId4"/>
    <sheet name="Sch4" sheetId="255" r:id="rId5"/>
    <sheet name="Sch5" sheetId="245" r:id="rId6"/>
    <sheet name="Sch6" sheetId="257" r:id="rId7"/>
    <sheet name="Sch7" sheetId="258" r:id="rId8"/>
    <sheet name="Sch8p1" sheetId="181" r:id="rId9"/>
    <sheet name="Sch8p2" sheetId="237" r:id="rId10"/>
    <sheet name="Sch8p3" sheetId="236" r:id="rId11"/>
    <sheet name="Sch8p4" sheetId="180" r:id="rId12"/>
    <sheet name="Sch9p1" sheetId="178" r:id="rId13"/>
    <sheet name="Sch9p2" sheetId="179" r:id="rId14"/>
    <sheet name="Sch10p1" sheetId="232" r:id="rId15"/>
    <sheet name="Sch10p2" sheetId="231" r:id="rId16"/>
    <sheet name="Sch11p1" sheetId="220" r:id="rId17"/>
    <sheet name="Sch11p2" sheetId="256" r:id="rId18"/>
    <sheet name="Sch12" sheetId="254" r:id="rId19"/>
    <sheet name="Sch13" sheetId="253" r:id="rId20"/>
    <sheet name="DMR4p1" sheetId="260" r:id="rId21"/>
    <sheet name="DMR4p2" sheetId="262" r:id="rId22"/>
  </sheets>
  <definedNames>
    <definedName name="\0">#REF!</definedName>
    <definedName name="\A">#REF!</definedName>
    <definedName name="\C">#REF!</definedName>
    <definedName name="\D">#REF!</definedName>
    <definedName name="\F">#REF!</definedName>
    <definedName name="\L">#REF!</definedName>
    <definedName name="\M">#REF!</definedName>
    <definedName name="\P">#REF!</definedName>
    <definedName name="\R">#REF!</definedName>
    <definedName name="\S">#REF!</definedName>
    <definedName name="\V">#REF!</definedName>
    <definedName name="\X">#REF!</definedName>
    <definedName name="\Z">#REF!</definedName>
    <definedName name="_1">#REF!</definedName>
    <definedName name="_adv1">#REF!</definedName>
    <definedName name="_Fill" hidden="1">#REF!</definedName>
    <definedName name="A">#REF!</definedName>
    <definedName name="AP">#REF!</definedName>
    <definedName name="B">#REF!</definedName>
    <definedName name="C_">#REF!</definedName>
    <definedName name="CODE">#REF!</definedName>
    <definedName name="COG">#REF!</definedName>
    <definedName name="COGA">#REF!</definedName>
    <definedName name="COGB">#REF!</definedName>
    <definedName name="CONS">#REF!</definedName>
    <definedName name="CONS2">#REF!</definedName>
    <definedName name="CREDITA">#REF!</definedName>
    <definedName name="CREDITB">#REF!</definedName>
    <definedName name="CWC">#REF!</definedName>
    <definedName name="CWCB">#REF!</definedName>
    <definedName name="D">#REF!</definedName>
    <definedName name="D_O">#REF!</definedName>
    <definedName name="DEPREC">#REF!</definedName>
    <definedName name="ECON">#REF!</definedName>
    <definedName name="ECONB">#REF!</definedName>
    <definedName name="GAS">#REF!</definedName>
    <definedName name="GRCF">#REF!</definedName>
    <definedName name="HARDWARE">#REF!</definedName>
    <definedName name="HD">#REF!</definedName>
    <definedName name="INFL">#REF!</definedName>
    <definedName name="INSA">#REF!</definedName>
    <definedName name="int">#REF!</definedName>
    <definedName name="KEY">#REF!</definedName>
    <definedName name="LABEL">#REF!</definedName>
    <definedName name="LEARN">#REF!</definedName>
    <definedName name="M_S">#REF!</definedName>
    <definedName name="MAC">#REF!</definedName>
    <definedName name="MAIN">#REF!</definedName>
    <definedName name="NGV">#REF!</definedName>
    <definedName name="noi">#REF!</definedName>
    <definedName name="noib">#REF!</definedName>
    <definedName name="O_M">#REF!</definedName>
    <definedName name="PLANTC">#REF!</definedName>
    <definedName name="PRINT">#REF!</definedName>
    <definedName name="_xlnm.Print_Titles" localSheetId="15">Sch10p2!$1:$7</definedName>
    <definedName name="_xlnm.Print_Titles" localSheetId="11">Sch8p4!$1:$7</definedName>
    <definedName name="_xlnm.Print_Titles" localSheetId="13">Sch9p2!$1:$7</definedName>
    <definedName name="PRINTER">#REF!</definedName>
    <definedName name="QPRINT">#REF!</definedName>
    <definedName name="RATE">#REF!</definedName>
    <definedName name="rb">#REF!</definedName>
    <definedName name="revreq">#REF!</definedName>
    <definedName name="ror">#REF!</definedName>
    <definedName name="SCHALL">#REF!</definedName>
    <definedName name="SOFT">#REF!</definedName>
    <definedName name="SQZ">#REF!</definedName>
    <definedName name="TAX">#REF!</definedName>
    <definedName name="ZCURT">#REF!</definedName>
    <definedName name="ZHERE">#REF!</definedName>
    <definedName name="ZINC">#REF!</definedName>
    <definedName name="ZLOOP">#REF!</definedName>
    <definedName name="ZLRNG">#REF!</definedName>
    <definedName name="ZMAKE">#REF!</definedName>
    <definedName name="ZMMENU">#REF!</definedName>
    <definedName name="ZROW">#REF!</definedName>
    <definedName name="ZSKIP">#REF!</definedName>
  </definedNames>
  <calcPr calcId="145621"/>
</workbook>
</file>

<file path=xl/calcChain.xml><?xml version="1.0" encoding="utf-8"?>
<calcChain xmlns="http://schemas.openxmlformats.org/spreadsheetml/2006/main">
  <c r="E4" i="256" l="1"/>
  <c r="K4" i="220"/>
  <c r="E4" i="231"/>
  <c r="K4" i="232"/>
  <c r="E4" i="179"/>
  <c r="K4" i="178"/>
  <c r="M4" i="143"/>
  <c r="K4" i="211"/>
  <c r="L4" i="210" l="1"/>
  <c r="G24" i="262" l="1"/>
  <c r="G25" i="262" s="1"/>
  <c r="G11" i="262" s="1"/>
  <c r="G21" i="262"/>
  <c r="G13" i="262" l="1"/>
  <c r="M13" i="262" s="1"/>
  <c r="M11" i="262"/>
  <c r="G18" i="260" l="1"/>
  <c r="E14" i="254" l="1"/>
  <c r="M22" i="257" l="1"/>
  <c r="M27" i="257"/>
  <c r="G13" i="258" l="1"/>
  <c r="G18" i="252" l="1"/>
  <c r="E18" i="252"/>
  <c r="J22" i="210"/>
  <c r="J18" i="210"/>
  <c r="J20" i="210" s="1"/>
  <c r="J24" i="210" s="1"/>
  <c r="J14" i="210"/>
  <c r="J12" i="210"/>
  <c r="J10" i="210"/>
  <c r="I65" i="211"/>
  <c r="I67" i="211" s="1"/>
  <c r="I55" i="211"/>
  <c r="I41" i="211"/>
  <c r="I39" i="211"/>
  <c r="I29" i="211"/>
  <c r="I16" i="211"/>
  <c r="I11" i="260" l="1"/>
  <c r="L22" i="210"/>
  <c r="H22" i="210"/>
  <c r="I19" i="252" s="1"/>
  <c r="F22" i="210"/>
  <c r="G14" i="260"/>
  <c r="I15" i="260" s="1"/>
  <c r="G10" i="260"/>
  <c r="M13" i="258" l="1"/>
  <c r="J50" i="143" s="1"/>
  <c r="G24" i="258"/>
  <c r="E19" i="260" s="1"/>
  <c r="G20" i="260" s="1"/>
  <c r="G21" i="258"/>
  <c r="H52" i="143"/>
  <c r="H37" i="143"/>
  <c r="H29" i="143"/>
  <c r="H31" i="143"/>
  <c r="G29" i="245"/>
  <c r="G28" i="245"/>
  <c r="M28" i="245"/>
  <c r="M27" i="245"/>
  <c r="M23" i="245"/>
  <c r="M22" i="245"/>
  <c r="G24" i="245"/>
  <c r="G22" i="245"/>
  <c r="G19" i="245"/>
  <c r="M18" i="245"/>
  <c r="M17" i="245"/>
  <c r="M19" i="245" s="1"/>
  <c r="H50" i="143" s="1"/>
  <c r="G18" i="245"/>
  <c r="G17" i="245"/>
  <c r="M14" i="245"/>
  <c r="G14" i="245"/>
  <c r="M13" i="245"/>
  <c r="G25" i="258" l="1"/>
  <c r="G11" i="258" s="1"/>
  <c r="M11" i="258" s="1"/>
  <c r="J26" i="143" s="1"/>
  <c r="M24" i="245"/>
  <c r="H26" i="143" s="1"/>
  <c r="M29" i="245"/>
  <c r="I26" i="143"/>
  <c r="K26" i="257"/>
  <c r="K25" i="257"/>
  <c r="K14" i="257"/>
  <c r="K20" i="257"/>
  <c r="G13" i="257" s="1"/>
  <c r="K21" i="257"/>
  <c r="G14" i="257" s="1"/>
  <c r="M14" i="257" s="1"/>
  <c r="K22" i="257" l="1"/>
  <c r="K27" i="257"/>
  <c r="G16" i="257"/>
  <c r="M13" i="257"/>
  <c r="M16" i="257" s="1"/>
  <c r="I24" i="220" l="1"/>
  <c r="B85" i="256"/>
  <c r="B89" i="256" s="1"/>
  <c r="D89" i="231"/>
  <c r="I21" i="220"/>
  <c r="I23" i="220" s="1"/>
  <c r="D89" i="256" s="1"/>
  <c r="I25" i="220" l="1"/>
  <c r="I12" i="220" s="1"/>
  <c r="C87" i="256"/>
  <c r="D87" i="256" s="1"/>
  <c r="C79" i="256"/>
  <c r="D79" i="256" s="1"/>
  <c r="F79" i="256" s="1"/>
  <c r="C75" i="256"/>
  <c r="D75" i="256" s="1"/>
  <c r="F75" i="256" s="1"/>
  <c r="C71" i="256"/>
  <c r="D71" i="256" s="1"/>
  <c r="F71" i="256" s="1"/>
  <c r="C67" i="256"/>
  <c r="D67" i="256" s="1"/>
  <c r="F67" i="256" s="1"/>
  <c r="C63" i="256"/>
  <c r="D63" i="256" s="1"/>
  <c r="F63" i="256" s="1"/>
  <c r="C59" i="256"/>
  <c r="D59" i="256" s="1"/>
  <c r="F59" i="256" s="1"/>
  <c r="C55" i="256"/>
  <c r="D55" i="256" s="1"/>
  <c r="F55" i="256" s="1"/>
  <c r="C51" i="256"/>
  <c r="D51" i="256" s="1"/>
  <c r="F51" i="256" s="1"/>
  <c r="C47" i="256"/>
  <c r="D47" i="256" s="1"/>
  <c r="F47" i="256" s="1"/>
  <c r="C43" i="256"/>
  <c r="D43" i="256" s="1"/>
  <c r="F43" i="256" s="1"/>
  <c r="C39" i="256"/>
  <c r="D39" i="256" s="1"/>
  <c r="F39" i="256" s="1"/>
  <c r="C35" i="256"/>
  <c r="D35" i="256" s="1"/>
  <c r="F35" i="256" s="1"/>
  <c r="C31" i="256"/>
  <c r="D31" i="256" s="1"/>
  <c r="F31" i="256" s="1"/>
  <c r="C27" i="256"/>
  <c r="D27" i="256" s="1"/>
  <c r="F27" i="256" s="1"/>
  <c r="C23" i="256"/>
  <c r="D23" i="256" s="1"/>
  <c r="F23" i="256" s="1"/>
  <c r="C19" i="256"/>
  <c r="D19" i="256" s="1"/>
  <c r="F19" i="256" s="1"/>
  <c r="C15" i="256"/>
  <c r="D15" i="256" s="1"/>
  <c r="F15" i="256" s="1"/>
  <c r="C11" i="256"/>
  <c r="D11" i="256" s="1"/>
  <c r="F11" i="256" s="1"/>
  <c r="C9" i="256"/>
  <c r="D9" i="256" s="1"/>
  <c r="F9" i="256" s="1"/>
  <c r="C50" i="256"/>
  <c r="D50" i="256" s="1"/>
  <c r="F50" i="256" s="1"/>
  <c r="C46" i="256"/>
  <c r="D46" i="256" s="1"/>
  <c r="F46" i="256" s="1"/>
  <c r="C42" i="256"/>
  <c r="D42" i="256" s="1"/>
  <c r="F42" i="256" s="1"/>
  <c r="C26" i="256"/>
  <c r="D26" i="256" s="1"/>
  <c r="F26" i="256" s="1"/>
  <c r="C14" i="256"/>
  <c r="D14" i="256" s="1"/>
  <c r="F14" i="256" s="1"/>
  <c r="C10" i="256"/>
  <c r="D10" i="256" s="1"/>
  <c r="F10" i="256" s="1"/>
  <c r="C80" i="256"/>
  <c r="D80" i="256" s="1"/>
  <c r="F80" i="256" s="1"/>
  <c r="C76" i="256"/>
  <c r="D76" i="256" s="1"/>
  <c r="F76" i="256" s="1"/>
  <c r="C72" i="256"/>
  <c r="D72" i="256" s="1"/>
  <c r="F72" i="256" s="1"/>
  <c r="C68" i="256"/>
  <c r="D68" i="256" s="1"/>
  <c r="F68" i="256" s="1"/>
  <c r="C64" i="256"/>
  <c r="D64" i="256" s="1"/>
  <c r="F64" i="256" s="1"/>
  <c r="C60" i="256"/>
  <c r="D60" i="256" s="1"/>
  <c r="F60" i="256" s="1"/>
  <c r="C56" i="256"/>
  <c r="D56" i="256" s="1"/>
  <c r="F56" i="256" s="1"/>
  <c r="C52" i="256"/>
  <c r="D52" i="256" s="1"/>
  <c r="F52" i="256" s="1"/>
  <c r="C48" i="256"/>
  <c r="D48" i="256" s="1"/>
  <c r="F48" i="256" s="1"/>
  <c r="C44" i="256"/>
  <c r="D44" i="256" s="1"/>
  <c r="F44" i="256" s="1"/>
  <c r="C40" i="256"/>
  <c r="D40" i="256" s="1"/>
  <c r="F40" i="256" s="1"/>
  <c r="C36" i="256"/>
  <c r="D36" i="256" s="1"/>
  <c r="F36" i="256" s="1"/>
  <c r="C32" i="256"/>
  <c r="D32" i="256" s="1"/>
  <c r="F32" i="256" s="1"/>
  <c r="C28" i="256"/>
  <c r="D28" i="256" s="1"/>
  <c r="F28" i="256" s="1"/>
  <c r="C24" i="256"/>
  <c r="D24" i="256" s="1"/>
  <c r="F24" i="256" s="1"/>
  <c r="C20" i="256"/>
  <c r="D20" i="256" s="1"/>
  <c r="F20" i="256" s="1"/>
  <c r="C16" i="256"/>
  <c r="D16" i="256" s="1"/>
  <c r="F16" i="256" s="1"/>
  <c r="C12" i="256"/>
  <c r="D12" i="256" s="1"/>
  <c r="F12" i="256" s="1"/>
  <c r="C8" i="256"/>
  <c r="C82" i="256"/>
  <c r="D82" i="256" s="1"/>
  <c r="F82" i="256" s="1"/>
  <c r="C78" i="256"/>
  <c r="D78" i="256" s="1"/>
  <c r="F78" i="256" s="1"/>
  <c r="C74" i="256"/>
  <c r="D74" i="256" s="1"/>
  <c r="F74" i="256" s="1"/>
  <c r="C70" i="256"/>
  <c r="D70" i="256" s="1"/>
  <c r="F70" i="256" s="1"/>
  <c r="C66" i="256"/>
  <c r="D66" i="256" s="1"/>
  <c r="F66" i="256" s="1"/>
  <c r="C62" i="256"/>
  <c r="D62" i="256" s="1"/>
  <c r="F62" i="256" s="1"/>
  <c r="C58" i="256"/>
  <c r="D58" i="256" s="1"/>
  <c r="F58" i="256" s="1"/>
  <c r="C54" i="256"/>
  <c r="D54" i="256" s="1"/>
  <c r="F54" i="256" s="1"/>
  <c r="C30" i="256"/>
  <c r="D30" i="256" s="1"/>
  <c r="F30" i="256" s="1"/>
  <c r="C22" i="256"/>
  <c r="D22" i="256" s="1"/>
  <c r="F22" i="256" s="1"/>
  <c r="C18" i="256"/>
  <c r="D18" i="256" s="1"/>
  <c r="F18" i="256" s="1"/>
  <c r="C81" i="256"/>
  <c r="D81" i="256" s="1"/>
  <c r="F81" i="256" s="1"/>
  <c r="C77" i="256"/>
  <c r="D77" i="256" s="1"/>
  <c r="F77" i="256" s="1"/>
  <c r="C73" i="256"/>
  <c r="D73" i="256" s="1"/>
  <c r="F73" i="256" s="1"/>
  <c r="C69" i="256"/>
  <c r="D69" i="256" s="1"/>
  <c r="F69" i="256" s="1"/>
  <c r="C65" i="256"/>
  <c r="D65" i="256" s="1"/>
  <c r="F65" i="256" s="1"/>
  <c r="C61" i="256"/>
  <c r="D61" i="256" s="1"/>
  <c r="F61" i="256" s="1"/>
  <c r="C57" i="256"/>
  <c r="D57" i="256" s="1"/>
  <c r="F57" i="256" s="1"/>
  <c r="C53" i="256"/>
  <c r="D53" i="256" s="1"/>
  <c r="F53" i="256" s="1"/>
  <c r="C49" i="256"/>
  <c r="D49" i="256" s="1"/>
  <c r="F49" i="256" s="1"/>
  <c r="C45" i="256"/>
  <c r="D45" i="256" s="1"/>
  <c r="F45" i="256" s="1"/>
  <c r="C41" i="256"/>
  <c r="D41" i="256" s="1"/>
  <c r="F41" i="256" s="1"/>
  <c r="C37" i="256"/>
  <c r="D37" i="256" s="1"/>
  <c r="F37" i="256" s="1"/>
  <c r="C33" i="256"/>
  <c r="D33" i="256" s="1"/>
  <c r="F33" i="256" s="1"/>
  <c r="C29" i="256"/>
  <c r="D29" i="256" s="1"/>
  <c r="F29" i="256" s="1"/>
  <c r="C25" i="256"/>
  <c r="D25" i="256" s="1"/>
  <c r="F25" i="256" s="1"/>
  <c r="C21" i="256"/>
  <c r="D21" i="256" s="1"/>
  <c r="F21" i="256" s="1"/>
  <c r="C17" i="256"/>
  <c r="D17" i="256" s="1"/>
  <c r="F17" i="256" s="1"/>
  <c r="C13" i="256"/>
  <c r="D13" i="256" s="1"/>
  <c r="F13" i="256" s="1"/>
  <c r="C38" i="256"/>
  <c r="D38" i="256" s="1"/>
  <c r="F38" i="256" s="1"/>
  <c r="C34" i="256"/>
  <c r="D34" i="256" s="1"/>
  <c r="F34" i="256" s="1"/>
  <c r="I19" i="232"/>
  <c r="D89" i="179"/>
  <c r="I19" i="178"/>
  <c r="I18" i="178"/>
  <c r="I21" i="232"/>
  <c r="I21" i="178"/>
  <c r="I18" i="232"/>
  <c r="K24" i="143"/>
  <c r="K22" i="143"/>
  <c r="K21" i="143"/>
  <c r="K20" i="143"/>
  <c r="K19" i="143"/>
  <c r="K18" i="143"/>
  <c r="K17" i="143"/>
  <c r="K15" i="143"/>
  <c r="N18" i="143" l="1"/>
  <c r="N20" i="143"/>
  <c r="N21" i="143"/>
  <c r="N24" i="143"/>
  <c r="N17" i="143"/>
  <c r="N19" i="143"/>
  <c r="N22" i="143"/>
  <c r="D8" i="256"/>
  <c r="C85" i="256"/>
  <c r="C89" i="256" s="1"/>
  <c r="D88" i="180"/>
  <c r="I23" i="181"/>
  <c r="F8" i="256" l="1"/>
  <c r="D85" i="256"/>
  <c r="G52" i="143"/>
  <c r="G50" i="143"/>
  <c r="G31" i="143"/>
  <c r="G26" i="143"/>
  <c r="G23" i="255"/>
  <c r="M21" i="255"/>
  <c r="M20" i="255"/>
  <c r="M23" i="255" s="1"/>
  <c r="G21" i="255"/>
  <c r="G20" i="255"/>
  <c r="M18" i="255"/>
  <c r="M17" i="255"/>
  <c r="G14" i="255"/>
  <c r="M13" i="255"/>
  <c r="M12" i="255"/>
  <c r="M14" i="255" s="1"/>
  <c r="G13" i="255"/>
  <c r="G12" i="255"/>
  <c r="F85" i="256" l="1"/>
  <c r="O12" i="220" s="1"/>
  <c r="N15" i="143"/>
  <c r="G65" i="211"/>
  <c r="G55" i="211"/>
  <c r="G67" i="211" s="1"/>
  <c r="H10" i="210" s="1"/>
  <c r="G29" i="211"/>
  <c r="G39" i="211" s="1"/>
  <c r="G16" i="211"/>
  <c r="H18" i="210" l="1"/>
  <c r="E14" i="252"/>
  <c r="G41" i="211"/>
  <c r="H12" i="210" s="1"/>
  <c r="L16" i="210"/>
  <c r="H14" i="210" l="1"/>
  <c r="G14" i="252"/>
  <c r="I15" i="252" s="1"/>
  <c r="I19" i="260"/>
  <c r="I20" i="260"/>
  <c r="I18" i="260"/>
  <c r="H20" i="210"/>
  <c r="H24" i="210" s="1"/>
  <c r="O48" i="143"/>
  <c r="O57" i="143"/>
  <c r="O58" i="143" s="1"/>
  <c r="I22" i="260" l="1"/>
  <c r="I15" i="253" l="1"/>
  <c r="I14" i="253"/>
  <c r="I13" i="253"/>
  <c r="I12" i="253"/>
  <c r="E17" i="253"/>
  <c r="I17" i="253" l="1"/>
  <c r="B85" i="231" l="1"/>
  <c r="B89" i="231" s="1"/>
  <c r="C87" i="231" s="1"/>
  <c r="I20" i="232"/>
  <c r="C36" i="231" l="1"/>
  <c r="C11" i="231"/>
  <c r="C20" i="231"/>
  <c r="C41" i="231"/>
  <c r="C64" i="231"/>
  <c r="C9" i="231"/>
  <c r="C57" i="231"/>
  <c r="C12" i="231"/>
  <c r="C25" i="231"/>
  <c r="C47" i="231"/>
  <c r="C72" i="231"/>
  <c r="C15" i="231"/>
  <c r="C8" i="231"/>
  <c r="C13" i="231"/>
  <c r="C31" i="231"/>
  <c r="C52" i="231"/>
  <c r="D52" i="231" s="1"/>
  <c r="F52" i="231" s="1"/>
  <c r="C80" i="231"/>
  <c r="C17" i="231"/>
  <c r="C23" i="231"/>
  <c r="C28" i="231"/>
  <c r="C33" i="231"/>
  <c r="C39" i="231"/>
  <c r="C44" i="231"/>
  <c r="C49" i="231"/>
  <c r="C55" i="231"/>
  <c r="C60" i="231"/>
  <c r="C68" i="231"/>
  <c r="C76" i="231"/>
  <c r="C19" i="231"/>
  <c r="C24" i="231"/>
  <c r="C29" i="231"/>
  <c r="C35" i="231"/>
  <c r="C40" i="231"/>
  <c r="C45" i="231"/>
  <c r="C51" i="231"/>
  <c r="C56" i="231"/>
  <c r="C61" i="231"/>
  <c r="C69" i="231"/>
  <c r="C77" i="231"/>
  <c r="C16" i="231"/>
  <c r="C21" i="231"/>
  <c r="C27" i="231"/>
  <c r="C32" i="231"/>
  <c r="C37" i="231"/>
  <c r="C43" i="231"/>
  <c r="C48" i="231"/>
  <c r="C53" i="231"/>
  <c r="C59" i="231"/>
  <c r="C65" i="231"/>
  <c r="C73" i="231"/>
  <c r="C81" i="231"/>
  <c r="I22" i="232"/>
  <c r="I13" i="232" s="1"/>
  <c r="M12" i="245"/>
  <c r="D9" i="231"/>
  <c r="F9" i="231" s="1"/>
  <c r="D12" i="231"/>
  <c r="F12" i="231" s="1"/>
  <c r="D16" i="231"/>
  <c r="F16" i="231" s="1"/>
  <c r="D20" i="231"/>
  <c r="F20" i="231" s="1"/>
  <c r="D25" i="231"/>
  <c r="F25" i="231" s="1"/>
  <c r="D33" i="231"/>
  <c r="F33" i="231" s="1"/>
  <c r="D37" i="231"/>
  <c r="F37" i="231" s="1"/>
  <c r="D49" i="231"/>
  <c r="F49" i="231" s="1"/>
  <c r="D53" i="231"/>
  <c r="F53" i="231" s="1"/>
  <c r="D59" i="231"/>
  <c r="F59" i="231" s="1"/>
  <c r="D64" i="231"/>
  <c r="F64" i="231" s="1"/>
  <c r="D72" i="231"/>
  <c r="F72" i="231" s="1"/>
  <c r="D80" i="231"/>
  <c r="F80" i="231" s="1"/>
  <c r="D21" i="231"/>
  <c r="F21" i="231" s="1"/>
  <c r="D29" i="231"/>
  <c r="F29" i="231" s="1"/>
  <c r="D39" i="231"/>
  <c r="F39" i="231" s="1"/>
  <c r="D45" i="231"/>
  <c r="F45" i="231" s="1"/>
  <c r="D55" i="231"/>
  <c r="F55" i="231" s="1"/>
  <c r="D65" i="231"/>
  <c r="F65" i="231" s="1"/>
  <c r="D73" i="231"/>
  <c r="F73" i="231" s="1"/>
  <c r="D81" i="231"/>
  <c r="F81" i="231" s="1"/>
  <c r="D87" i="231"/>
  <c r="D11" i="231"/>
  <c r="F11" i="231" s="1"/>
  <c r="D13" i="231"/>
  <c r="F13" i="231" s="1"/>
  <c r="D19" i="231"/>
  <c r="F19" i="231" s="1"/>
  <c r="D23" i="231"/>
  <c r="F23" i="231" s="1"/>
  <c r="D31" i="231"/>
  <c r="F31" i="231" s="1"/>
  <c r="D40" i="231"/>
  <c r="F40" i="231" s="1"/>
  <c r="D47" i="231"/>
  <c r="F47" i="231" s="1"/>
  <c r="D56" i="231"/>
  <c r="F56" i="231" s="1"/>
  <c r="D60" i="231"/>
  <c r="F60" i="231" s="1"/>
  <c r="D68" i="231"/>
  <c r="F68" i="231" s="1"/>
  <c r="D76" i="231"/>
  <c r="F76" i="231" s="1"/>
  <c r="D17" i="231"/>
  <c r="F17" i="231" s="1"/>
  <c r="D27" i="231"/>
  <c r="F27" i="231" s="1"/>
  <c r="D35" i="231"/>
  <c r="F35" i="231" s="1"/>
  <c r="D43" i="231"/>
  <c r="F43" i="231" s="1"/>
  <c r="D51" i="231"/>
  <c r="F51" i="231" s="1"/>
  <c r="D15" i="231"/>
  <c r="F15" i="231" s="1"/>
  <c r="D24" i="231"/>
  <c r="F24" i="231" s="1"/>
  <c r="D28" i="231"/>
  <c r="F28" i="231" s="1"/>
  <c r="D32" i="231"/>
  <c r="F32" i="231" s="1"/>
  <c r="D36" i="231"/>
  <c r="F36" i="231" s="1"/>
  <c r="D41" i="231"/>
  <c r="F41" i="231" s="1"/>
  <c r="D44" i="231"/>
  <c r="F44" i="231" s="1"/>
  <c r="D48" i="231"/>
  <c r="F48" i="231" s="1"/>
  <c r="D57" i="231"/>
  <c r="F57" i="231" s="1"/>
  <c r="D61" i="231"/>
  <c r="F61" i="231" s="1"/>
  <c r="D69" i="231"/>
  <c r="F69" i="231" s="1"/>
  <c r="D77" i="231"/>
  <c r="F77" i="231" s="1"/>
  <c r="D8" i="231"/>
  <c r="C82" i="231"/>
  <c r="D82" i="231" s="1"/>
  <c r="F82" i="231" s="1"/>
  <c r="C78" i="231"/>
  <c r="D78" i="231" s="1"/>
  <c r="F78" i="231" s="1"/>
  <c r="C74" i="231"/>
  <c r="D74" i="231" s="1"/>
  <c r="F74" i="231" s="1"/>
  <c r="C70" i="231"/>
  <c r="D70" i="231" s="1"/>
  <c r="F70" i="231" s="1"/>
  <c r="C66" i="231"/>
  <c r="D66" i="231" s="1"/>
  <c r="F66" i="231" s="1"/>
  <c r="C62" i="231"/>
  <c r="D62" i="231" s="1"/>
  <c r="F62" i="231" s="1"/>
  <c r="C58" i="231"/>
  <c r="D58" i="231" s="1"/>
  <c r="F58" i="231" s="1"/>
  <c r="C54" i="231"/>
  <c r="D54" i="231" s="1"/>
  <c r="F54" i="231" s="1"/>
  <c r="C50" i="231"/>
  <c r="D50" i="231" s="1"/>
  <c r="F50" i="231" s="1"/>
  <c r="C46" i="231"/>
  <c r="D46" i="231" s="1"/>
  <c r="F46" i="231" s="1"/>
  <c r="C42" i="231"/>
  <c r="D42" i="231" s="1"/>
  <c r="F42" i="231" s="1"/>
  <c r="C38" i="231"/>
  <c r="D38" i="231" s="1"/>
  <c r="F38" i="231" s="1"/>
  <c r="C34" i="231"/>
  <c r="D34" i="231" s="1"/>
  <c r="F34" i="231" s="1"/>
  <c r="C30" i="231"/>
  <c r="D30" i="231" s="1"/>
  <c r="F30" i="231" s="1"/>
  <c r="C26" i="231"/>
  <c r="D26" i="231" s="1"/>
  <c r="F26" i="231" s="1"/>
  <c r="C22" i="231"/>
  <c r="D22" i="231" s="1"/>
  <c r="F22" i="231" s="1"/>
  <c r="C18" i="231"/>
  <c r="D18" i="231" s="1"/>
  <c r="F18" i="231" s="1"/>
  <c r="C14" i="231"/>
  <c r="D14" i="231" s="1"/>
  <c r="F14" i="231" s="1"/>
  <c r="C10" i="231"/>
  <c r="D10" i="231" s="1"/>
  <c r="F10" i="231" s="1"/>
  <c r="C79" i="231"/>
  <c r="D79" i="231" s="1"/>
  <c r="F79" i="231" s="1"/>
  <c r="C75" i="231"/>
  <c r="D75" i="231" s="1"/>
  <c r="F75" i="231" s="1"/>
  <c r="M24" i="143" s="1"/>
  <c r="C71" i="231"/>
  <c r="D71" i="231" s="1"/>
  <c r="F71" i="231" s="1"/>
  <c r="C67" i="231"/>
  <c r="D67" i="231" s="1"/>
  <c r="F67" i="231" s="1"/>
  <c r="M22" i="143" s="1"/>
  <c r="C63" i="231"/>
  <c r="D63" i="231" s="1"/>
  <c r="F63" i="231" s="1"/>
  <c r="B85" i="179"/>
  <c r="B89" i="179" s="1"/>
  <c r="I20" i="178"/>
  <c r="I22" i="178" s="1"/>
  <c r="B84" i="180"/>
  <c r="B88" i="180" s="1"/>
  <c r="C86" i="180" s="1"/>
  <c r="E36" i="237"/>
  <c r="E30" i="237"/>
  <c r="E29" i="237"/>
  <c r="G27" i="237"/>
  <c r="G26" i="237"/>
  <c r="G25" i="237"/>
  <c r="G24" i="237"/>
  <c r="G23" i="237"/>
  <c r="M18" i="143" l="1"/>
  <c r="M21" i="143"/>
  <c r="M20" i="143"/>
  <c r="M17" i="143"/>
  <c r="M19" i="143"/>
  <c r="C66" i="179"/>
  <c r="C49" i="179"/>
  <c r="C38" i="179"/>
  <c r="C26" i="179"/>
  <c r="C17" i="179"/>
  <c r="C24" i="179"/>
  <c r="C61" i="179"/>
  <c r="C45" i="179"/>
  <c r="C36" i="179"/>
  <c r="C82" i="179"/>
  <c r="C58" i="179"/>
  <c r="C42" i="179"/>
  <c r="C33" i="179"/>
  <c r="C22" i="179"/>
  <c r="C10" i="179"/>
  <c r="C74" i="179"/>
  <c r="C53" i="179"/>
  <c r="C40" i="179"/>
  <c r="C29" i="179"/>
  <c r="C20" i="179"/>
  <c r="C8" i="179"/>
  <c r="C13" i="179"/>
  <c r="D49" i="179"/>
  <c r="F49" i="179" s="1"/>
  <c r="E31" i="237"/>
  <c r="E34" i="237" s="1"/>
  <c r="C11" i="180"/>
  <c r="C15" i="180"/>
  <c r="C19" i="180"/>
  <c r="C23" i="180"/>
  <c r="C27" i="180"/>
  <c r="C31" i="180"/>
  <c r="C35" i="180"/>
  <c r="C39" i="180"/>
  <c r="C43" i="180"/>
  <c r="C47" i="180"/>
  <c r="C51" i="180"/>
  <c r="C55" i="180"/>
  <c r="C59" i="180"/>
  <c r="C63" i="180"/>
  <c r="C67" i="180"/>
  <c r="C71" i="180"/>
  <c r="C75" i="180"/>
  <c r="C79" i="180"/>
  <c r="C8" i="180"/>
  <c r="C12" i="180"/>
  <c r="C16" i="180"/>
  <c r="C20" i="180"/>
  <c r="C24" i="180"/>
  <c r="C28" i="180"/>
  <c r="C32" i="180"/>
  <c r="C36" i="180"/>
  <c r="C40" i="180"/>
  <c r="C44" i="180"/>
  <c r="C48" i="180"/>
  <c r="C52" i="180"/>
  <c r="C56" i="180"/>
  <c r="C60" i="180"/>
  <c r="C64" i="180"/>
  <c r="C68" i="180"/>
  <c r="C72" i="180"/>
  <c r="C76" i="180"/>
  <c r="C80" i="180"/>
  <c r="C9" i="180"/>
  <c r="C13" i="180"/>
  <c r="C17" i="180"/>
  <c r="C21" i="180"/>
  <c r="C25" i="180"/>
  <c r="C29" i="180"/>
  <c r="C33" i="180"/>
  <c r="C37" i="180"/>
  <c r="C41" i="180"/>
  <c r="C45" i="180"/>
  <c r="C49" i="180"/>
  <c r="C53" i="180"/>
  <c r="C57" i="180"/>
  <c r="C61" i="180"/>
  <c r="C65" i="180"/>
  <c r="C69" i="180"/>
  <c r="C73" i="180"/>
  <c r="C77" i="180"/>
  <c r="C81" i="180"/>
  <c r="C10" i="180"/>
  <c r="C14" i="180"/>
  <c r="C18" i="180"/>
  <c r="C22" i="180"/>
  <c r="C26" i="180"/>
  <c r="C30" i="180"/>
  <c r="C34" i="180"/>
  <c r="C38" i="180"/>
  <c r="C42" i="180"/>
  <c r="C46" i="180"/>
  <c r="C50" i="180"/>
  <c r="C54" i="180"/>
  <c r="C58" i="180"/>
  <c r="C62" i="180"/>
  <c r="C66" i="180"/>
  <c r="C70" i="180"/>
  <c r="C74" i="180"/>
  <c r="C78" i="180"/>
  <c r="C82" i="180"/>
  <c r="D61" i="179"/>
  <c r="F61" i="179" s="1"/>
  <c r="C85" i="231"/>
  <c r="C89" i="231" s="1"/>
  <c r="D85" i="231"/>
  <c r="F8" i="231"/>
  <c r="M15" i="143" s="1"/>
  <c r="D66" i="179"/>
  <c r="F66" i="179" s="1"/>
  <c r="D20" i="179"/>
  <c r="F20" i="179" s="1"/>
  <c r="D29" i="179"/>
  <c r="F29" i="179" s="1"/>
  <c r="D40" i="179"/>
  <c r="F40" i="179" s="1"/>
  <c r="D53" i="179"/>
  <c r="F53" i="179" s="1"/>
  <c r="D74" i="179"/>
  <c r="F74" i="179" s="1"/>
  <c r="D10" i="179"/>
  <c r="F10" i="179" s="1"/>
  <c r="D22" i="179"/>
  <c r="F22" i="179" s="1"/>
  <c r="D33" i="179"/>
  <c r="F33" i="179" s="1"/>
  <c r="D42" i="179"/>
  <c r="F42" i="179" s="1"/>
  <c r="D58" i="179"/>
  <c r="F58" i="179" s="1"/>
  <c r="D82" i="179"/>
  <c r="F82" i="179" s="1"/>
  <c r="C56" i="179"/>
  <c r="D56" i="179" s="1"/>
  <c r="F56" i="179" s="1"/>
  <c r="C79" i="179"/>
  <c r="D79" i="179" s="1"/>
  <c r="F79" i="179" s="1"/>
  <c r="C75" i="179"/>
  <c r="D75" i="179" s="1"/>
  <c r="F75" i="179" s="1"/>
  <c r="C71" i="179"/>
  <c r="D71" i="179" s="1"/>
  <c r="F71" i="179" s="1"/>
  <c r="C67" i="179"/>
  <c r="D67" i="179" s="1"/>
  <c r="F67" i="179" s="1"/>
  <c r="C63" i="179"/>
  <c r="D63" i="179" s="1"/>
  <c r="F63" i="179" s="1"/>
  <c r="C59" i="179"/>
  <c r="D59" i="179" s="1"/>
  <c r="F59" i="179" s="1"/>
  <c r="C55" i="179"/>
  <c r="D55" i="179" s="1"/>
  <c r="F55" i="179" s="1"/>
  <c r="C51" i="179"/>
  <c r="D51" i="179" s="1"/>
  <c r="F51" i="179" s="1"/>
  <c r="C47" i="179"/>
  <c r="D47" i="179" s="1"/>
  <c r="F47" i="179" s="1"/>
  <c r="C43" i="179"/>
  <c r="D43" i="179" s="1"/>
  <c r="F43" i="179" s="1"/>
  <c r="C39" i="179"/>
  <c r="D39" i="179" s="1"/>
  <c r="F39" i="179" s="1"/>
  <c r="C35" i="179"/>
  <c r="D35" i="179" s="1"/>
  <c r="F35" i="179" s="1"/>
  <c r="C31" i="179"/>
  <c r="D31" i="179" s="1"/>
  <c r="F31" i="179" s="1"/>
  <c r="C27" i="179"/>
  <c r="D27" i="179" s="1"/>
  <c r="F27" i="179" s="1"/>
  <c r="C23" i="179"/>
  <c r="D23" i="179" s="1"/>
  <c r="F23" i="179" s="1"/>
  <c r="C19" i="179"/>
  <c r="D19" i="179" s="1"/>
  <c r="F19" i="179" s="1"/>
  <c r="L17" i="143" s="1"/>
  <c r="C15" i="179"/>
  <c r="D15" i="179" s="1"/>
  <c r="F15" i="179" s="1"/>
  <c r="C11" i="179"/>
  <c r="D11" i="179" s="1"/>
  <c r="F11" i="179" s="1"/>
  <c r="C87" i="179"/>
  <c r="D87" i="179" s="1"/>
  <c r="C80" i="179"/>
  <c r="D80" i="179" s="1"/>
  <c r="F80" i="179" s="1"/>
  <c r="C76" i="179"/>
  <c r="D76" i="179" s="1"/>
  <c r="F76" i="179" s="1"/>
  <c r="C72" i="179"/>
  <c r="D72" i="179" s="1"/>
  <c r="F72" i="179" s="1"/>
  <c r="C68" i="179"/>
  <c r="D68" i="179" s="1"/>
  <c r="F68" i="179" s="1"/>
  <c r="C64" i="179"/>
  <c r="D64" i="179" s="1"/>
  <c r="F64" i="179" s="1"/>
  <c r="C60" i="179"/>
  <c r="D60" i="179" s="1"/>
  <c r="F60" i="179" s="1"/>
  <c r="C52" i="179"/>
  <c r="D52" i="179" s="1"/>
  <c r="F52" i="179" s="1"/>
  <c r="C12" i="179"/>
  <c r="D12" i="179" s="1"/>
  <c r="F12" i="179" s="1"/>
  <c r="C14" i="179"/>
  <c r="D14" i="179" s="1"/>
  <c r="F14" i="179" s="1"/>
  <c r="C21" i="179"/>
  <c r="D21" i="179" s="1"/>
  <c r="F21" i="179" s="1"/>
  <c r="C28" i="179"/>
  <c r="D28" i="179" s="1"/>
  <c r="F28" i="179" s="1"/>
  <c r="C30" i="179"/>
  <c r="D30" i="179" s="1"/>
  <c r="F30" i="179" s="1"/>
  <c r="C37" i="179"/>
  <c r="D37" i="179" s="1"/>
  <c r="F37" i="179" s="1"/>
  <c r="C44" i="179"/>
  <c r="D44" i="179" s="1"/>
  <c r="F44" i="179" s="1"/>
  <c r="C46" i="179"/>
  <c r="D46" i="179" s="1"/>
  <c r="F46" i="179" s="1"/>
  <c r="C54" i="179"/>
  <c r="D54" i="179" s="1"/>
  <c r="F54" i="179" s="1"/>
  <c r="C62" i="179"/>
  <c r="D62" i="179" s="1"/>
  <c r="F62" i="179" s="1"/>
  <c r="C70" i="179"/>
  <c r="D70" i="179" s="1"/>
  <c r="F70" i="179" s="1"/>
  <c r="C78" i="179"/>
  <c r="D78" i="179" s="1"/>
  <c r="F78" i="179" s="1"/>
  <c r="C69" i="179"/>
  <c r="D69" i="179" s="1"/>
  <c r="F69" i="179" s="1"/>
  <c r="C77" i="179"/>
  <c r="D77" i="179" s="1"/>
  <c r="F77" i="179" s="1"/>
  <c r="C9" i="179"/>
  <c r="D9" i="179" s="1"/>
  <c r="F9" i="179" s="1"/>
  <c r="C16" i="179"/>
  <c r="D16" i="179" s="1"/>
  <c r="F16" i="179" s="1"/>
  <c r="C18" i="179"/>
  <c r="D18" i="179" s="1"/>
  <c r="F18" i="179" s="1"/>
  <c r="C25" i="179"/>
  <c r="D25" i="179" s="1"/>
  <c r="F25" i="179" s="1"/>
  <c r="C32" i="179"/>
  <c r="D32" i="179" s="1"/>
  <c r="F32" i="179" s="1"/>
  <c r="C34" i="179"/>
  <c r="D34" i="179" s="1"/>
  <c r="F34" i="179" s="1"/>
  <c r="C41" i="179"/>
  <c r="D41" i="179" s="1"/>
  <c r="F41" i="179" s="1"/>
  <c r="C48" i="179"/>
  <c r="D48" i="179" s="1"/>
  <c r="F48" i="179" s="1"/>
  <c r="C50" i="179"/>
  <c r="D50" i="179" s="1"/>
  <c r="F50" i="179" s="1"/>
  <c r="C57" i="179"/>
  <c r="D57" i="179" s="1"/>
  <c r="F57" i="179" s="1"/>
  <c r="C65" i="179"/>
  <c r="D65" i="179" s="1"/>
  <c r="F65" i="179" s="1"/>
  <c r="C73" i="179"/>
  <c r="D73" i="179" s="1"/>
  <c r="F73" i="179" s="1"/>
  <c r="C81" i="179"/>
  <c r="D81" i="179" s="1"/>
  <c r="F81" i="179" s="1"/>
  <c r="C84" i="180"/>
  <c r="C88" i="180" s="1"/>
  <c r="L22" i="143" l="1"/>
  <c r="L21" i="143"/>
  <c r="L24" i="143"/>
  <c r="D8" i="179"/>
  <c r="D45" i="179"/>
  <c r="F45" i="179" s="1"/>
  <c r="L20" i="143" s="1"/>
  <c r="D13" i="179"/>
  <c r="F13" i="179" s="1"/>
  <c r="D38" i="179"/>
  <c r="F38" i="179" s="1"/>
  <c r="D36" i="179"/>
  <c r="F36" i="179" s="1"/>
  <c r="D26" i="179"/>
  <c r="F26" i="179" s="1"/>
  <c r="D24" i="179"/>
  <c r="F24" i="179" s="1"/>
  <c r="D17" i="179"/>
  <c r="F17" i="179" s="1"/>
  <c r="F85" i="231"/>
  <c r="O13" i="232" s="1"/>
  <c r="C85" i="179"/>
  <c r="C89" i="179" s="1"/>
  <c r="F8" i="179"/>
  <c r="L19" i="143" l="1"/>
  <c r="L18" i="143"/>
  <c r="D85" i="179"/>
  <c r="L15" i="143"/>
  <c r="F85" i="179"/>
  <c r="O13" i="178" s="1"/>
  <c r="H48" i="143" l="1"/>
  <c r="H57" i="143"/>
  <c r="H58" i="143" l="1"/>
  <c r="E23" i="252" s="1"/>
  <c r="G22" i="237" l="1"/>
  <c r="G21" i="237"/>
  <c r="G20" i="237"/>
  <c r="G19" i="237"/>
  <c r="G18" i="237"/>
  <c r="G17" i="237"/>
  <c r="G16" i="237"/>
  <c r="G15" i="237"/>
  <c r="G14" i="237"/>
  <c r="G13" i="237"/>
  <c r="G12" i="237"/>
  <c r="G11" i="237"/>
  <c r="F18" i="236"/>
  <c r="I20" i="181" s="1"/>
  <c r="I21" i="181" l="1"/>
  <c r="I22" i="181" s="1"/>
  <c r="D82" i="180" l="1"/>
  <c r="F82" i="180" s="1"/>
  <c r="D78" i="180"/>
  <c r="F78" i="180" s="1"/>
  <c r="D74" i="180"/>
  <c r="F74" i="180" s="1"/>
  <c r="D70" i="180"/>
  <c r="F70" i="180" s="1"/>
  <c r="D66" i="180"/>
  <c r="F66" i="180" s="1"/>
  <c r="D62" i="180"/>
  <c r="F62" i="180" s="1"/>
  <c r="D58" i="180"/>
  <c r="F58" i="180" s="1"/>
  <c r="D54" i="180"/>
  <c r="F54" i="180" s="1"/>
  <c r="D50" i="180"/>
  <c r="F50" i="180" s="1"/>
  <c r="D46" i="180"/>
  <c r="F46" i="180" s="1"/>
  <c r="D42" i="180"/>
  <c r="F42" i="180" s="1"/>
  <c r="D38" i="180"/>
  <c r="F38" i="180" s="1"/>
  <c r="D34" i="180"/>
  <c r="F34" i="180" s="1"/>
  <c r="D30" i="180"/>
  <c r="F30" i="180" s="1"/>
  <c r="D26" i="180"/>
  <c r="F26" i="180" s="1"/>
  <c r="D22" i="180"/>
  <c r="F22" i="180" s="1"/>
  <c r="D18" i="180"/>
  <c r="F18" i="180" s="1"/>
  <c r="D14" i="180"/>
  <c r="F14" i="180" s="1"/>
  <c r="D10" i="180"/>
  <c r="F10" i="180" s="1"/>
  <c r="D86" i="180"/>
  <c r="D76" i="180"/>
  <c r="F76" i="180" s="1"/>
  <c r="D68" i="180"/>
  <c r="F68" i="180" s="1"/>
  <c r="D60" i="180"/>
  <c r="F60" i="180" s="1"/>
  <c r="D52" i="180"/>
  <c r="F52" i="180" s="1"/>
  <c r="D40" i="180"/>
  <c r="F40" i="180" s="1"/>
  <c r="D32" i="180"/>
  <c r="F32" i="180" s="1"/>
  <c r="D24" i="180"/>
  <c r="F24" i="180" s="1"/>
  <c r="D16" i="180"/>
  <c r="F16" i="180" s="1"/>
  <c r="D8" i="180"/>
  <c r="F8" i="180" s="1"/>
  <c r="D75" i="180"/>
  <c r="F75" i="180" s="1"/>
  <c r="D67" i="180"/>
  <c r="F67" i="180" s="1"/>
  <c r="D63" i="180"/>
  <c r="F63" i="180" s="1"/>
  <c r="D51" i="180"/>
  <c r="F51" i="180" s="1"/>
  <c r="D43" i="180"/>
  <c r="F43" i="180" s="1"/>
  <c r="D81" i="180"/>
  <c r="F81" i="180" s="1"/>
  <c r="D77" i="180"/>
  <c r="F77" i="180" s="1"/>
  <c r="D73" i="180"/>
  <c r="F73" i="180" s="1"/>
  <c r="D69" i="180"/>
  <c r="F69" i="180" s="1"/>
  <c r="D65" i="180"/>
  <c r="F65" i="180" s="1"/>
  <c r="D61" i="180"/>
  <c r="F61" i="180" s="1"/>
  <c r="D57" i="180"/>
  <c r="F57" i="180" s="1"/>
  <c r="D53" i="180"/>
  <c r="F53" i="180" s="1"/>
  <c r="D49" i="180"/>
  <c r="F49" i="180" s="1"/>
  <c r="D45" i="180"/>
  <c r="F45" i="180" s="1"/>
  <c r="D41" i="180"/>
  <c r="F41" i="180" s="1"/>
  <c r="D37" i="180"/>
  <c r="F37" i="180" s="1"/>
  <c r="D33" i="180"/>
  <c r="F33" i="180" s="1"/>
  <c r="D29" i="180"/>
  <c r="F29" i="180" s="1"/>
  <c r="D25" i="180"/>
  <c r="F25" i="180" s="1"/>
  <c r="D21" i="180"/>
  <c r="F21" i="180" s="1"/>
  <c r="D17" i="180"/>
  <c r="F17" i="180" s="1"/>
  <c r="D13" i="180"/>
  <c r="F13" i="180" s="1"/>
  <c r="D9" i="180"/>
  <c r="D80" i="180"/>
  <c r="F80" i="180" s="1"/>
  <c r="D72" i="180"/>
  <c r="F72" i="180" s="1"/>
  <c r="D64" i="180"/>
  <c r="F64" i="180" s="1"/>
  <c r="D56" i="180"/>
  <c r="F56" i="180" s="1"/>
  <c r="D48" i="180"/>
  <c r="F48" i="180" s="1"/>
  <c r="D44" i="180"/>
  <c r="F44" i="180" s="1"/>
  <c r="D36" i="180"/>
  <c r="F36" i="180" s="1"/>
  <c r="D28" i="180"/>
  <c r="F28" i="180" s="1"/>
  <c r="D20" i="180"/>
  <c r="F20" i="180" s="1"/>
  <c r="D12" i="180"/>
  <c r="F12" i="180" s="1"/>
  <c r="D79" i="180"/>
  <c r="F79" i="180" s="1"/>
  <c r="D71" i="180"/>
  <c r="F71" i="180" s="1"/>
  <c r="D59" i="180"/>
  <c r="F59" i="180" s="1"/>
  <c r="D55" i="180"/>
  <c r="F55" i="180" s="1"/>
  <c r="D47" i="180"/>
  <c r="F47" i="180" s="1"/>
  <c r="D39" i="180"/>
  <c r="F39" i="180" s="1"/>
  <c r="D23" i="180"/>
  <c r="F23" i="180" s="1"/>
  <c r="D15" i="180"/>
  <c r="F15" i="180" s="1"/>
  <c r="D27" i="180"/>
  <c r="F27" i="180" s="1"/>
  <c r="D35" i="180"/>
  <c r="F35" i="180" s="1"/>
  <c r="D19" i="180"/>
  <c r="F19" i="180" s="1"/>
  <c r="D31" i="180"/>
  <c r="F31" i="180" s="1"/>
  <c r="D11" i="180"/>
  <c r="F11" i="180" s="1"/>
  <c r="H25" i="143"/>
  <c r="D84" i="180" l="1"/>
  <c r="F9" i="180"/>
  <c r="F84" i="180" s="1"/>
  <c r="O13" i="181" s="1"/>
  <c r="H34" i="143"/>
  <c r="H35" i="143" s="1"/>
  <c r="G23" i="252" s="1"/>
  <c r="H60" i="143" l="1"/>
  <c r="I57" i="143"/>
  <c r="I48" i="143"/>
  <c r="I25" i="143"/>
  <c r="I13" i="143"/>
  <c r="K57" i="143"/>
  <c r="K48" i="143"/>
  <c r="K25" i="143"/>
  <c r="K13" i="143"/>
  <c r="O13" i="143"/>
  <c r="L57" i="143"/>
  <c r="L48" i="143"/>
  <c r="L25" i="143"/>
  <c r="L13" i="143"/>
  <c r="K29" i="143" l="1"/>
  <c r="K34" i="143" s="1"/>
  <c r="K35" i="143" s="1"/>
  <c r="I58" i="143"/>
  <c r="I29" i="143"/>
  <c r="I34" i="143" s="1"/>
  <c r="I35" i="143" s="1"/>
  <c r="K58" i="143"/>
  <c r="L58" i="143"/>
  <c r="L29" i="143"/>
  <c r="L34" i="143" s="1"/>
  <c r="L35" i="143" s="1"/>
  <c r="E65" i="211"/>
  <c r="E55" i="211"/>
  <c r="E29" i="211"/>
  <c r="E39" i="211" s="1"/>
  <c r="E16" i="211"/>
  <c r="I23" i="252" l="1"/>
  <c r="G24" i="252"/>
  <c r="K60" i="143"/>
  <c r="G26" i="252"/>
  <c r="I26" i="252" s="1"/>
  <c r="L60" i="143"/>
  <c r="G27" i="252"/>
  <c r="I27" i="252" s="1"/>
  <c r="I60" i="143"/>
  <c r="O25" i="143"/>
  <c r="E67" i="211"/>
  <c r="E41" i="211"/>
  <c r="F12" i="210" l="1"/>
  <c r="G10" i="252" s="1"/>
  <c r="F10" i="210"/>
  <c r="I13" i="178"/>
  <c r="F18" i="210" l="1"/>
  <c r="F20" i="210" s="1"/>
  <c r="F24" i="210" s="1"/>
  <c r="E10" i="252"/>
  <c r="I24" i="181"/>
  <c r="I13" i="181" s="1"/>
  <c r="F14" i="210"/>
  <c r="I11" i="252" l="1"/>
  <c r="M13" i="143"/>
  <c r="N13" i="143"/>
  <c r="G13" i="143"/>
  <c r="G25" i="143"/>
  <c r="J13" i="143"/>
  <c r="J57" i="143"/>
  <c r="N48" i="143"/>
  <c r="N57" i="143"/>
  <c r="M48" i="143"/>
  <c r="M57" i="143"/>
  <c r="G57" i="143"/>
  <c r="E9" i="143"/>
  <c r="K12" i="211" s="1"/>
  <c r="M12" i="211" s="1"/>
  <c r="E10" i="143"/>
  <c r="K13" i="211" s="1"/>
  <c r="M13" i="211" s="1"/>
  <c r="E11" i="143"/>
  <c r="K14" i="211" s="1"/>
  <c r="M14" i="211" s="1"/>
  <c r="E16" i="143"/>
  <c r="K20" i="211" s="1"/>
  <c r="M20" i="211" s="1"/>
  <c r="E23" i="143"/>
  <c r="K27" i="211" s="1"/>
  <c r="M27" i="211" s="1"/>
  <c r="E27" i="143"/>
  <c r="K32" i="211" s="1"/>
  <c r="M32" i="211" s="1"/>
  <c r="E28" i="143"/>
  <c r="K33" i="211" s="1"/>
  <c r="M33" i="211" s="1"/>
  <c r="E31" i="143"/>
  <c r="K36" i="211" s="1"/>
  <c r="M36" i="211" s="1"/>
  <c r="E32" i="143"/>
  <c r="K37" i="211" s="1"/>
  <c r="M37" i="211" s="1"/>
  <c r="E33" i="143"/>
  <c r="K38" i="211" s="1"/>
  <c r="M38" i="211" s="1"/>
  <c r="E39" i="143"/>
  <c r="K46" i="211" s="1"/>
  <c r="M46" i="211" s="1"/>
  <c r="E40" i="143"/>
  <c r="K47" i="211" s="1"/>
  <c r="M47" i="211" s="1"/>
  <c r="E41" i="143"/>
  <c r="K48" i="211" s="1"/>
  <c r="M48" i="211" s="1"/>
  <c r="E42" i="143"/>
  <c r="K49" i="211" s="1"/>
  <c r="M49" i="211" s="1"/>
  <c r="E43" i="143"/>
  <c r="K50" i="211" s="1"/>
  <c r="M50" i="211" s="1"/>
  <c r="E44" i="143"/>
  <c r="K51" i="211" s="1"/>
  <c r="M51" i="211" s="1"/>
  <c r="E45" i="143"/>
  <c r="K52" i="211" s="1"/>
  <c r="M52" i="211" s="1"/>
  <c r="E46" i="143"/>
  <c r="K53" i="211" s="1"/>
  <c r="M53" i="211" s="1"/>
  <c r="E47" i="143"/>
  <c r="K54" i="211" s="1"/>
  <c r="M54" i="211" s="1"/>
  <c r="E51" i="143"/>
  <c r="K59" i="211" s="1"/>
  <c r="M59" i="211" s="1"/>
  <c r="E52" i="143"/>
  <c r="K60" i="211" s="1"/>
  <c r="M60" i="211" s="1"/>
  <c r="E53" i="143"/>
  <c r="K61" i="211" s="1"/>
  <c r="M61" i="211" s="1"/>
  <c r="E54" i="143"/>
  <c r="K62" i="211" s="1"/>
  <c r="M62" i="211" s="1"/>
  <c r="E55" i="143"/>
  <c r="K63" i="211" s="1"/>
  <c r="M63" i="211" s="1"/>
  <c r="E56" i="143"/>
  <c r="K64" i="211" s="1"/>
  <c r="M64" i="211" s="1"/>
  <c r="M58" i="143" l="1"/>
  <c r="N58" i="143"/>
  <c r="M25" i="143"/>
  <c r="E37" i="143" l="1"/>
  <c r="K44" i="211" s="1"/>
  <c r="M44" i="211" s="1"/>
  <c r="G48" i="143"/>
  <c r="G58" i="143" s="1"/>
  <c r="E22" i="252" s="1"/>
  <c r="E38" i="143"/>
  <c r="K45" i="211" s="1"/>
  <c r="M45" i="211" s="1"/>
  <c r="J48" i="143"/>
  <c r="J58" i="143" s="1"/>
  <c r="E25" i="252" s="1"/>
  <c r="E50" i="143"/>
  <c r="K58" i="211" s="1"/>
  <c r="M58" i="211" s="1"/>
  <c r="G34" i="143"/>
  <c r="G35" i="143" s="1"/>
  <c r="G22" i="252" s="1"/>
  <c r="M29" i="143"/>
  <c r="M34" i="143" s="1"/>
  <c r="M35" i="143" s="1"/>
  <c r="G28" i="252" s="1"/>
  <c r="I28" i="252" s="1"/>
  <c r="E26" i="143"/>
  <c r="K31" i="211" s="1"/>
  <c r="M31" i="211" s="1"/>
  <c r="G60" i="143" l="1"/>
  <c r="I22" i="252"/>
  <c r="M60" i="143"/>
  <c r="K65" i="211"/>
  <c r="M65" i="211"/>
  <c r="K55" i="211"/>
  <c r="M55" i="211"/>
  <c r="E57" i="143"/>
  <c r="E48" i="143"/>
  <c r="N25" i="143"/>
  <c r="E12" i="143"/>
  <c r="K15" i="211" s="1"/>
  <c r="M15" i="211" s="1"/>
  <c r="M16" i="211" l="1"/>
  <c r="K16" i="211"/>
  <c r="K67" i="211"/>
  <c r="M67" i="211"/>
  <c r="E13" i="143"/>
  <c r="E58" i="143"/>
  <c r="N29" i="143"/>
  <c r="N34" i="143" s="1"/>
  <c r="N35" i="143" s="1"/>
  <c r="L10" i="210" l="1"/>
  <c r="L18" i="210" s="1"/>
  <c r="E12" i="254"/>
  <c r="E16" i="254" s="1"/>
  <c r="E20" i="254" s="1"/>
  <c r="E24" i="254" s="1"/>
  <c r="O29" i="143" s="1"/>
  <c r="O34" i="143" s="1"/>
  <c r="O35" i="143" s="1"/>
  <c r="G30" i="252" s="1"/>
  <c r="N60" i="143"/>
  <c r="G29" i="252"/>
  <c r="I29" i="252" s="1"/>
  <c r="E30" i="143"/>
  <c r="K35" i="211" s="1"/>
  <c r="M35" i="211" s="1"/>
  <c r="O60" i="143" l="1"/>
  <c r="I30" i="252"/>
  <c r="E19" i="143" l="1"/>
  <c r="K23" i="211" s="1"/>
  <c r="M23" i="211" s="1"/>
  <c r="E20" i="143"/>
  <c r="K24" i="211" s="1"/>
  <c r="M24" i="211" s="1"/>
  <c r="E22" i="143"/>
  <c r="K26" i="211" s="1"/>
  <c r="M26" i="211" s="1"/>
  <c r="E17" i="143"/>
  <c r="K21" i="211" s="1"/>
  <c r="M21" i="211" s="1"/>
  <c r="E18" i="143" l="1"/>
  <c r="K22" i="211" s="1"/>
  <c r="M22" i="211" s="1"/>
  <c r="E21" i="143"/>
  <c r="K25" i="211" s="1"/>
  <c r="M25" i="211" s="1"/>
  <c r="E24" i="143"/>
  <c r="K28" i="211" s="1"/>
  <c r="M28" i="211" s="1"/>
  <c r="J25" i="143" l="1"/>
  <c r="J29" i="143" s="1"/>
  <c r="E15" i="143"/>
  <c r="K19" i="211" l="1"/>
  <c r="M19" i="211" s="1"/>
  <c r="E25" i="143"/>
  <c r="J34" i="143"/>
  <c r="J35" i="143" s="1"/>
  <c r="G25" i="252" s="1"/>
  <c r="I25" i="252" s="1"/>
  <c r="E29" i="143"/>
  <c r="K34" i="211" s="1"/>
  <c r="M34" i="211" s="1"/>
  <c r="I24" i="252" l="1"/>
  <c r="I32" i="252" s="1"/>
  <c r="J60" i="143"/>
  <c r="E34" i="143"/>
  <c r="E35" i="143" s="1"/>
  <c r="M29" i="211"/>
  <c r="M39" i="211" s="1"/>
  <c r="M41" i="211" s="1"/>
  <c r="L12" i="210" s="1"/>
  <c r="K29" i="211"/>
  <c r="K39" i="211" s="1"/>
  <c r="K41" i="211" s="1"/>
  <c r="L14" i="210" l="1"/>
  <c r="L20" i="210"/>
  <c r="L24" i="210" s="1"/>
</calcChain>
</file>

<file path=xl/sharedStrings.xml><?xml version="1.0" encoding="utf-8"?>
<sst xmlns="http://schemas.openxmlformats.org/spreadsheetml/2006/main" count="1171" uniqueCount="483">
  <si>
    <t>Line</t>
  </si>
  <si>
    <t>Description</t>
  </si>
  <si>
    <t>Amount</t>
  </si>
  <si>
    <t>No.</t>
  </si>
  <si>
    <t>Total</t>
  </si>
  <si>
    <t>Description of Adjustment:</t>
  </si>
  <si>
    <t>Company</t>
  </si>
  <si>
    <t>Factor</t>
  </si>
  <si>
    <t>Allocation</t>
  </si>
  <si>
    <t>Factor %</t>
  </si>
  <si>
    <t>Acct.</t>
  </si>
  <si>
    <t>Adjustment to Expense:</t>
  </si>
  <si>
    <t>Source:</t>
  </si>
  <si>
    <t>FIT</t>
  </si>
  <si>
    <t>Adjustments</t>
  </si>
  <si>
    <t xml:space="preserve"> Operating Revenues:</t>
  </si>
  <si>
    <t xml:space="preserve">  General Business</t>
  </si>
  <si>
    <t xml:space="preserve">  Interdepartmental</t>
  </si>
  <si>
    <t xml:space="preserve">  Special Sales</t>
  </si>
  <si>
    <t xml:space="preserve">  Other Operating Revenues</t>
  </si>
  <si>
    <t xml:space="preserve">    Total Operating Revenues </t>
  </si>
  <si>
    <t xml:space="preserve"> Operating Expenses: </t>
  </si>
  <si>
    <t xml:space="preserve">    Steam Production</t>
  </si>
  <si>
    <t xml:space="preserve">    Nuclear Production</t>
  </si>
  <si>
    <t xml:space="preserve">    Hydro Production</t>
  </si>
  <si>
    <t xml:space="preserve">    Other Power Supply</t>
  </si>
  <si>
    <t xml:space="preserve">    Transmission</t>
  </si>
  <si>
    <t xml:space="preserve">    Distribution</t>
  </si>
  <si>
    <t xml:space="preserve">    Customer Accounting</t>
  </si>
  <si>
    <t xml:space="preserve">    Customer Service &amp; Info</t>
  </si>
  <si>
    <t xml:space="preserve">    Sales</t>
  </si>
  <si>
    <t xml:space="preserve">    Administrative &amp; General</t>
  </si>
  <si>
    <t xml:space="preserve">        Total O &amp; M Expense</t>
  </si>
  <si>
    <t xml:space="preserve">  Depreciation</t>
  </si>
  <si>
    <t xml:space="preserve">  Amortization</t>
  </si>
  <si>
    <t xml:space="preserve">  Taxes Other Than Income</t>
  </si>
  <si>
    <t xml:space="preserve">  Income Taxes - Federal</t>
  </si>
  <si>
    <t xml:space="preserve">  Income Taxes - State</t>
  </si>
  <si>
    <t xml:space="preserve">  Income Taxes Deferred - Net</t>
  </si>
  <si>
    <t xml:space="preserve">  Investment Tax Credit Adjustment</t>
  </si>
  <si>
    <t xml:space="preserve">  Misc. Revenue &amp; Expense</t>
  </si>
  <si>
    <t xml:space="preserve">    Total Operating Expenses</t>
  </si>
  <si>
    <t>Operating Revenue for Return:</t>
  </si>
  <si>
    <t xml:space="preserve"> Additions to Rate Base: </t>
  </si>
  <si>
    <t xml:space="preserve">   Electric Plant In Service</t>
  </si>
  <si>
    <t xml:space="preserve">   Plant Held for Future Use</t>
  </si>
  <si>
    <t xml:space="preserve">   Misc Deferred Debits</t>
  </si>
  <si>
    <t xml:space="preserve">   Electric Plant Acq Adj</t>
  </si>
  <si>
    <t xml:space="preserve">   Nuclear Fuel</t>
  </si>
  <si>
    <t xml:space="preserve">   Prepayments</t>
  </si>
  <si>
    <t xml:space="preserve">   Fuel Stock</t>
  </si>
  <si>
    <t xml:space="preserve">   Materials and Supplies</t>
  </si>
  <si>
    <t xml:space="preserve">   Cash Working Capital</t>
  </si>
  <si>
    <t xml:space="preserve">   Weatherization Loans</t>
  </si>
  <si>
    <t xml:space="preserve">   Misc. Additions to Rate Base</t>
  </si>
  <si>
    <t xml:space="preserve">      Total Additions</t>
  </si>
  <si>
    <t xml:space="preserve"> Deductions from Rate Base: </t>
  </si>
  <si>
    <t xml:space="preserve">   Accum Prov For Depreciation</t>
  </si>
  <si>
    <t xml:space="preserve">   Accum Prov For Amortization</t>
  </si>
  <si>
    <t xml:space="preserve">   Accum Def Income Taxes</t>
  </si>
  <si>
    <t xml:space="preserve">   Unamortized ITC</t>
  </si>
  <si>
    <t xml:space="preserve">   Customer Adv For Construction</t>
  </si>
  <si>
    <t xml:space="preserve">   Customer Service Deposits</t>
  </si>
  <si>
    <t xml:space="preserve">    Total Deductions</t>
  </si>
  <si>
    <t>Actual</t>
  </si>
  <si>
    <t>Accts.</t>
  </si>
  <si>
    <t>500SG</t>
  </si>
  <si>
    <t>501SE</t>
  </si>
  <si>
    <t>557SG</t>
  </si>
  <si>
    <t>560SG</t>
  </si>
  <si>
    <t>580SNPD</t>
  </si>
  <si>
    <t>920SO</t>
  </si>
  <si>
    <t>Percentage</t>
  </si>
  <si>
    <t>Rate Base</t>
  </si>
  <si>
    <t>Account</t>
  </si>
  <si>
    <t>Adjustment</t>
  </si>
  <si>
    <t>500-935</t>
  </si>
  <si>
    <t>Multiple</t>
  </si>
  <si>
    <t>Purpose of Adjustment:</t>
  </si>
  <si>
    <t>Details:</t>
  </si>
  <si>
    <t>A.1</t>
  </si>
  <si>
    <t>A.2</t>
  </si>
  <si>
    <t>A.3</t>
  </si>
  <si>
    <t>A.4</t>
  </si>
  <si>
    <t>A.5</t>
  </si>
  <si>
    <t>REDUCTION TO PENSION EXPENSE</t>
  </si>
  <si>
    <t>Reduction to Pension Expense</t>
  </si>
  <si>
    <t>Reference</t>
  </si>
  <si>
    <t xml:space="preserve">  Investment Tax Credit Adj.</t>
  </si>
  <si>
    <t xml:space="preserve">   Working Capital</t>
  </si>
  <si>
    <t xml:space="preserve">   Misc. Rate Base</t>
  </si>
  <si>
    <t xml:space="preserve">   Accum Prov For Deprec.</t>
  </si>
  <si>
    <t xml:space="preserve">   Accum Prov For Amort.</t>
  </si>
  <si>
    <t xml:space="preserve">   Customer Adv For Const</t>
  </si>
  <si>
    <t xml:space="preserve">   Misc. Rate Base Deductions</t>
  </si>
  <si>
    <t>Per Company</t>
  </si>
  <si>
    <t>No</t>
  </si>
  <si>
    <t>Rate Base, as Adjusted</t>
  </si>
  <si>
    <t>Operating Income, as Adjusted</t>
  </si>
  <si>
    <t>Earned Rate of Return</t>
  </si>
  <si>
    <t>L.2 / L.1</t>
  </si>
  <si>
    <t>Required Operating Income</t>
  </si>
  <si>
    <t>L.1 X L.4</t>
  </si>
  <si>
    <t>Income (Deficiency) Sufficiency</t>
  </si>
  <si>
    <t>L.2 - L.5</t>
  </si>
  <si>
    <t>Revenue Conversion Factor</t>
  </si>
  <si>
    <t>Total Revenue (Deficiency) Sufficiency</t>
  </si>
  <si>
    <t>L. 6 X L.7</t>
  </si>
  <si>
    <t>Adjusted</t>
  </si>
  <si>
    <t>(A)</t>
  </si>
  <si>
    <t>(B)</t>
  </si>
  <si>
    <t>(C)</t>
  </si>
  <si>
    <t xml:space="preserve">    RATE BASE</t>
  </si>
  <si>
    <t>Expense</t>
  </si>
  <si>
    <t>Adjustment to Plant in Service:</t>
  </si>
  <si>
    <t>580CA</t>
  </si>
  <si>
    <t>580OR</t>
  </si>
  <si>
    <t>580WA</t>
  </si>
  <si>
    <t>920CA</t>
  </si>
  <si>
    <t>920OR</t>
  </si>
  <si>
    <t>920UT</t>
  </si>
  <si>
    <t>920WA</t>
  </si>
  <si>
    <t>Utility Labor</t>
  </si>
  <si>
    <t>Per Company Expense Factor</t>
  </si>
  <si>
    <t>Reduction to Labor Expense</t>
  </si>
  <si>
    <t>Reduction to Expense</t>
  </si>
  <si>
    <t>Month</t>
  </si>
  <si>
    <t>580UT</t>
  </si>
  <si>
    <t>580WYP</t>
  </si>
  <si>
    <t>580WYU</t>
  </si>
  <si>
    <t>Change</t>
  </si>
  <si>
    <t xml:space="preserve"> - Labor Costs Directly Impacted by Change in Employee Level</t>
  </si>
  <si>
    <t>Labor Costs Impacted by Employee Level</t>
  </si>
  <si>
    <t>Employee Full Time Equivalent Count</t>
  </si>
  <si>
    <t>Full-Time</t>
  </si>
  <si>
    <t>Equivalent</t>
  </si>
  <si>
    <t xml:space="preserve">    FTE Employee Compliment</t>
  </si>
  <si>
    <t>Actual % FTE Employee Reduction from Average Base Year Level</t>
  </si>
  <si>
    <t>Reduction to Labor Costs to Reflect Employee Reductions</t>
  </si>
  <si>
    <t>Monthly</t>
  </si>
  <si>
    <t>IMPACT OF EMPLOYEE REDUCTIONS ON LABOR COSTS</t>
  </si>
  <si>
    <t>Employee</t>
  </si>
  <si>
    <t>Reductions</t>
  </si>
  <si>
    <t>Pension</t>
  </si>
  <si>
    <t>Average Lines 1 - 12</t>
  </si>
  <si>
    <t>Washington</t>
  </si>
  <si>
    <t>Per PC</t>
  </si>
  <si>
    <t>Pacific Power &amp; Light Company</t>
  </si>
  <si>
    <t xml:space="preserve">  -  Washington Operations</t>
  </si>
  <si>
    <t>Schedule 1</t>
  </si>
  <si>
    <t>Schedule 2</t>
  </si>
  <si>
    <t>Rev. Req. @ Co. ROR</t>
  </si>
  <si>
    <t>REVENUE REQUIREMENT</t>
  </si>
  <si>
    <t>RESULTS OF OPERATIONS</t>
  </si>
  <si>
    <t>500CAGE</t>
  </si>
  <si>
    <t>500JBG</t>
  </si>
  <si>
    <t>501CAEE</t>
  </si>
  <si>
    <t>501JBE</t>
  </si>
  <si>
    <t>500CAGW</t>
  </si>
  <si>
    <t>535CAGE</t>
  </si>
  <si>
    <t>535CAGW</t>
  </si>
  <si>
    <t>557CAGE</t>
  </si>
  <si>
    <t>557CAGW</t>
  </si>
  <si>
    <t>557JBG</t>
  </si>
  <si>
    <t>560CAGE</t>
  </si>
  <si>
    <t>560CAGW</t>
  </si>
  <si>
    <t>560JBG</t>
  </si>
  <si>
    <t>920WYP</t>
  </si>
  <si>
    <t>Non-Utility/Capital</t>
  </si>
  <si>
    <t>Public Counsel</t>
  </si>
  <si>
    <t>B.1</t>
  </si>
  <si>
    <t>B.2</t>
  </si>
  <si>
    <t>B.3</t>
  </si>
  <si>
    <t>Medical Expense, per Company</t>
  </si>
  <si>
    <t>Stock/401(k)/ESOP, per Company</t>
  </si>
  <si>
    <t>All Other Labor and Benefit Items, per Company</t>
  </si>
  <si>
    <t>Labor Costs Impacted by Employee Level, as Adjusted</t>
  </si>
  <si>
    <t>Line 18</t>
  </si>
  <si>
    <t>Line 20 - Line 19</t>
  </si>
  <si>
    <t>Line 21 / Line 19</t>
  </si>
  <si>
    <t>Line 18 - Line 1</t>
  </si>
  <si>
    <t>Test Year Pension Expense, per Company</t>
  </si>
  <si>
    <t>Known and Measurable Reduction to Pension Expense</t>
  </si>
  <si>
    <t>Line A.2 - Line A.1</t>
  </si>
  <si>
    <t>REDUCTION TO OPEB EXPENSE</t>
  </si>
  <si>
    <t>Reduction to OPEB Expense</t>
  </si>
  <si>
    <t>Test Year OPEB Expense, per Company</t>
  </si>
  <si>
    <t>Known and Measurable Reduction to OPEB Expense</t>
  </si>
  <si>
    <t>OPEB</t>
  </si>
  <si>
    <t>Plant amount</t>
  </si>
  <si>
    <t>CAGW</t>
  </si>
  <si>
    <t>JBG</t>
  </si>
  <si>
    <t>Deprec.</t>
  </si>
  <si>
    <t>Rate</t>
  </si>
  <si>
    <t>Adjustment to  Expense:</t>
  </si>
  <si>
    <t>403SP</t>
  </si>
  <si>
    <t>(a)</t>
  </si>
  <si>
    <t>(b)</t>
  </si>
  <si>
    <t>REDUCTION TO PRO FORMA MAJOR PLANT ADDITIONS</t>
  </si>
  <si>
    <t>Adjustment to Depreciation Reserve:</t>
  </si>
  <si>
    <t>Depreciation Expense</t>
  </si>
  <si>
    <t>108SP</t>
  </si>
  <si>
    <t>Plant Additions</t>
  </si>
  <si>
    <t>Schedule 5</t>
  </si>
  <si>
    <t>Sch. 4</t>
  </si>
  <si>
    <t>500 - 935</t>
  </si>
  <si>
    <t>Net</t>
  </si>
  <si>
    <t>SUMMARY OF ADJUSTMENTS</t>
  </si>
  <si>
    <t>Income</t>
  </si>
  <si>
    <t>Revenue</t>
  </si>
  <si>
    <t>Requirement</t>
  </si>
  <si>
    <t>Impact</t>
  </si>
  <si>
    <t>Operating</t>
  </si>
  <si>
    <t>Company Adjusted Amounts</t>
  </si>
  <si>
    <t>Public Counsel Adjustments:</t>
  </si>
  <si>
    <t>Reflect Current Employee Level</t>
  </si>
  <si>
    <t>Capitalization</t>
  </si>
  <si>
    <t>Ratio</t>
  </si>
  <si>
    <t>Cost</t>
  </si>
  <si>
    <t>Weighted</t>
  </si>
  <si>
    <t>Cost Rate</t>
  </si>
  <si>
    <t>Common Equity</t>
  </si>
  <si>
    <t>Preferred Stock</t>
  </si>
  <si>
    <t>Long Term Debt</t>
  </si>
  <si>
    <t>Short Term Debt</t>
  </si>
  <si>
    <t>Interest Deduction for Income Taxes</t>
  </si>
  <si>
    <t>Line 1 x Line 2</t>
  </si>
  <si>
    <t>Interest Deduction, per Company</t>
  </si>
  <si>
    <t>Increase (Reduction) in Deductible Interest</t>
  </si>
  <si>
    <t>Reduction (Increase) to Income Tax Expense</t>
  </si>
  <si>
    <t>Adjusted Rate Base, per Public Counsel</t>
  </si>
  <si>
    <t>Federal Income Tax Rate</t>
  </si>
  <si>
    <t>Line 3 - Line 4</t>
  </si>
  <si>
    <t>Interest</t>
  </si>
  <si>
    <t>INTEREST SYNCHRONIZATION ADJUSTMENT</t>
  </si>
  <si>
    <t>Description of Adjustment</t>
  </si>
  <si>
    <t>Interest Synchronization</t>
  </si>
  <si>
    <t>Sch. 6</t>
  </si>
  <si>
    <t>Sch. 8</t>
  </si>
  <si>
    <t>Sch. 9</t>
  </si>
  <si>
    <t>Sch. 10</t>
  </si>
  <si>
    <t>Sch. 11</t>
  </si>
  <si>
    <t>Schedule 6</t>
  </si>
  <si>
    <t>Revenue Requirement Based on Above Adjustments</t>
  </si>
  <si>
    <t xml:space="preserve">(C) </t>
  </si>
  <si>
    <t>(D)</t>
  </si>
  <si>
    <t>Avg. Test Year Employee Compliment</t>
  </si>
  <si>
    <t>Reduction to Average Test Year Employee Level</t>
  </si>
  <si>
    <t>Actual % Change from Average Test Year</t>
  </si>
  <si>
    <t>Page 1 of 1</t>
  </si>
  <si>
    <t>Schedule 8, page 1 of 4</t>
  </si>
  <si>
    <t>See Sch. 8, page 3 of 3</t>
  </si>
  <si>
    <t>See Sch. 8, page 2 of 3</t>
  </si>
  <si>
    <t>Schedule 8, page 2 of 4</t>
  </si>
  <si>
    <t>Schedule 8, page 3 of 4</t>
  </si>
  <si>
    <t>Schedule 8, page 4 of 4</t>
  </si>
  <si>
    <t>Schedule 9, page 1 of 2</t>
  </si>
  <si>
    <t>Schedule 9, page 2 of 2</t>
  </si>
  <si>
    <t>Schedule 10, page 1 of 2</t>
  </si>
  <si>
    <t>Schedule 10, page 2 of 2</t>
  </si>
  <si>
    <t>Exhibit No. DMR-2</t>
  </si>
  <si>
    <t>Exhibit No. DMR-3</t>
  </si>
  <si>
    <t>Revised Amounts Including Impacts of PATH Act of 2015 (a)</t>
  </si>
  <si>
    <t>(a)  On December 18, 2015, the Protecting Americans from Tax Hikes (PATH) Act of 2015 was signed into</t>
  </si>
  <si>
    <t>Act Impacts</t>
  </si>
  <si>
    <t>Col. (A):  Company Exhibit SEM-3, page 1.1</t>
  </si>
  <si>
    <t>Revised Company Adjusted Amounts</t>
  </si>
  <si>
    <t>Remove Accelerated Deprec. on Jim Bridger and Colstrip Plants</t>
  </si>
  <si>
    <t>Schedule 4</t>
  </si>
  <si>
    <t>REVERSE ACCELERATED DEPREC. ON JIM BRIDGER AND COLSTRIP PLANTS</t>
  </si>
  <si>
    <t>Remove Incremental Depreciation Exp.</t>
  </si>
  <si>
    <t>Adjustment to Rate Base:</t>
  </si>
  <si>
    <t>Incremental Depreciation Reserve</t>
  </si>
  <si>
    <t>Total Expense Adjustment</t>
  </si>
  <si>
    <t>Total Rate Base Adjustment</t>
  </si>
  <si>
    <t>Reverse</t>
  </si>
  <si>
    <t>Accelerated Dep.</t>
  </si>
  <si>
    <t>500CAEE</t>
  </si>
  <si>
    <t>510CAGE</t>
  </si>
  <si>
    <t>510JBG</t>
  </si>
  <si>
    <t>510CAGW</t>
  </si>
  <si>
    <t>541CAGE</t>
  </si>
  <si>
    <t>541CAGW</t>
  </si>
  <si>
    <t>546CAGE</t>
  </si>
  <si>
    <t>546CAGW</t>
  </si>
  <si>
    <t>549CAGE</t>
  </si>
  <si>
    <t>549CAGW</t>
  </si>
  <si>
    <t>549OR</t>
  </si>
  <si>
    <t>549SG</t>
  </si>
  <si>
    <t>551CAGE</t>
  </si>
  <si>
    <t>551CAGW</t>
  </si>
  <si>
    <t>568CAGE</t>
  </si>
  <si>
    <t>568CAGW</t>
  </si>
  <si>
    <t>568SG</t>
  </si>
  <si>
    <t>568JBG</t>
  </si>
  <si>
    <t>580IDU</t>
  </si>
  <si>
    <t>590CA</t>
  </si>
  <si>
    <t>590IDU</t>
  </si>
  <si>
    <t>590OR</t>
  </si>
  <si>
    <t>590SNPD</t>
  </si>
  <si>
    <t>590UT</t>
  </si>
  <si>
    <t>590WA</t>
  </si>
  <si>
    <t>590WYP</t>
  </si>
  <si>
    <t>590WYU</t>
  </si>
  <si>
    <t>901CN</t>
  </si>
  <si>
    <t>901WYP</t>
  </si>
  <si>
    <t>901CA</t>
  </si>
  <si>
    <t>901IDU</t>
  </si>
  <si>
    <t>901OR</t>
  </si>
  <si>
    <t>901UT</t>
  </si>
  <si>
    <t>901WA</t>
  </si>
  <si>
    <t>901WYU</t>
  </si>
  <si>
    <t>907CN</t>
  </si>
  <si>
    <t>907OR</t>
  </si>
  <si>
    <t>907CA</t>
  </si>
  <si>
    <t>907IDU</t>
  </si>
  <si>
    <t>907OTHER</t>
  </si>
  <si>
    <t>907UT</t>
  </si>
  <si>
    <t>907WA</t>
  </si>
  <si>
    <t>907WYP</t>
  </si>
  <si>
    <t>920IDU</t>
  </si>
  <si>
    <t>920WYU</t>
  </si>
  <si>
    <t>Actual FTE Employee Compliment Dec. 2015</t>
  </si>
  <si>
    <t>Reduction from Start of Base Year to Dec 2015</t>
  </si>
  <si>
    <t>Pro Forma Regular Time, Overtime and Premium Pay, per Company</t>
  </si>
  <si>
    <t>Annual Incentive Plan, per Company</t>
  </si>
  <si>
    <t>Payroll Tax Expense, per Company</t>
  </si>
  <si>
    <t>Lines 1 - 6:  Exhibit No.SEM-3, page 4.2.2</t>
  </si>
  <si>
    <t>Adjusted Test Year labor costs incorporated in the filing are based on the employee compliment that existed during the test year ended June 30, 2015.  The employee compliment declined steadily throughout the base year and subsequent to date.  The above adjustment reduces the Company's adjusted test year labor costs to reflect the current employee compliment as of December 31, 2015.</t>
  </si>
  <si>
    <t>Exh. No. SEM-3, p. 4.2.2</t>
  </si>
  <si>
    <t>(a)  Based on Pension amount in Company Exh. No. SEM-3, page 4.2.2 of $24,712,488 less administrative costs of $937,209. See</t>
  </si>
  <si>
    <t>Based on the most recent actuarial valuation for 2016, pension expense has declined as compared to the amount incorporated in the year, which was based on a combination of the 2014 and 2015 actuarial valuations for pension expense.  The 2016 pension projections provided by the actuarial firm are based on known and measurable changes, such as the 2016 actuarial assumptions selection that occurred at the end of 2015 and impact of the actual 2014 and 2015 plan experience.</t>
  </si>
  <si>
    <t>Calendar Year 2014</t>
  </si>
  <si>
    <t>Calendar Year 2015</t>
  </si>
  <si>
    <t>Average</t>
  </si>
  <si>
    <t>TY Ended June 2015</t>
  </si>
  <si>
    <t>Reduction to Other Salary Overheads Costs</t>
  </si>
  <si>
    <t>Other Salary Overheads:</t>
  </si>
  <si>
    <t>Normalization of Other Salary Overhead Costs</t>
  </si>
  <si>
    <t>Other Salary</t>
  </si>
  <si>
    <t>Overheads</t>
  </si>
  <si>
    <t>JIM BRIDGER PLANT RETIREMENTS - DEPRECIATION EXPENSE</t>
  </si>
  <si>
    <t>Account 312 Jim Bridger U3 Overhaul Retirements</t>
  </si>
  <si>
    <t>Account 314 Jim Bridger U3 Overhaul Retirements</t>
  </si>
  <si>
    <t xml:space="preserve">Depreciation Expense </t>
  </si>
  <si>
    <t>Depreciation Expense at Current Rates</t>
  </si>
  <si>
    <t>Details at current rates:</t>
  </si>
  <si>
    <t>Details at requested revised Jim Bridger Depreciation Rates:</t>
  </si>
  <si>
    <t>Depreciation Expense at Requested Depreciation Rates</t>
  </si>
  <si>
    <t>JB U3 Deprec.</t>
  </si>
  <si>
    <t>on Retired Plant</t>
  </si>
  <si>
    <t>Jim Bridger U3 Plant Retirements - Deprec. Exp. Impact</t>
  </si>
  <si>
    <t>Steam Production, per Company filing</t>
  </si>
  <si>
    <t>Steam Production, updated for Actual</t>
  </si>
  <si>
    <t>Accumulated Reserve, per Co. Filing</t>
  </si>
  <si>
    <t xml:space="preserve">Accum. Reserve, updated </t>
  </si>
  <si>
    <t>Depreciation Exp., per Co. Filing</t>
  </si>
  <si>
    <t>Depreciation Exp., Updated</t>
  </si>
  <si>
    <t>Adjustment to PIS</t>
  </si>
  <si>
    <t>Adjustment to Deprec. Reserve</t>
  </si>
  <si>
    <t>Adjustment to Deprec. Exp.</t>
  </si>
  <si>
    <t>Adjustment to ADIT:</t>
  </si>
  <si>
    <t>ADIT, per Company Filing</t>
  </si>
  <si>
    <t>ADIT, per Company Update</t>
  </si>
  <si>
    <t>Adjustment to ADIT</t>
  </si>
  <si>
    <t>Red. To Pro Forma</t>
  </si>
  <si>
    <t>Update Pro Forma Major Plant Additions to Actual</t>
  </si>
  <si>
    <t>Steam Production Plant Addition, as Updated</t>
  </si>
  <si>
    <t>Accelerated Depreciation Rate, per Company</t>
  </si>
  <si>
    <t>Per Company Depreciation w/Acceleration</t>
  </si>
  <si>
    <t>Current JB Account 312 Depreciation Rate</t>
  </si>
  <si>
    <t>Depreciation Expense w/out Acceleration</t>
  </si>
  <si>
    <t>Reduction to Depreciation Expense</t>
  </si>
  <si>
    <t>A.6</t>
  </si>
  <si>
    <t>A.1 * A.2</t>
  </si>
  <si>
    <t>A.1 * A.4</t>
  </si>
  <si>
    <t>A.5 - A.3</t>
  </si>
  <si>
    <t>REMOVE ACCELERATION OF DEPRECIATION ON PRO FORMA PLANT ADD</t>
  </si>
  <si>
    <t>Reduction to Depreciation Reserve</t>
  </si>
  <si>
    <t>Remove Accelerated Deprec. on Jim Bridger SCR Addition</t>
  </si>
  <si>
    <t>Schedule 7</t>
  </si>
  <si>
    <t>Schedule 11, page 1 of 2</t>
  </si>
  <si>
    <t>Schedule 11, page 2 of 2</t>
  </si>
  <si>
    <t>OTHER SALARY OVERHEADS NORMALIZATION</t>
  </si>
  <si>
    <t>Test Year Ended June 30, 2015</t>
  </si>
  <si>
    <t>YE 6/30/15</t>
  </si>
  <si>
    <t>Docket UE-152253</t>
  </si>
  <si>
    <t>Notes:</t>
  </si>
  <si>
    <t>Based on the most recent actuarial valuation for 2016, OPEB expense has declined significantly as compared to the amount incorporated in the adjusted test year, which was based on the test year recorded amount.  The 2016 OPEB projections provided by the actuarial firm are based on known and measurable changes, such as the 2016 actuarial assumptions selection that occurred at the end of 2015 and impact of the actual 2014 and 2015 plan experience.</t>
  </si>
  <si>
    <t xml:space="preserve">The above adjustment synchronizes the tax deductible interest expense with Public Counsel's recommended rate base.  </t>
  </si>
  <si>
    <t>YEAR TWO INCREMENTAL REVENUE REQUIREMENT</t>
  </si>
  <si>
    <t>Exhibit No. DMR-4</t>
  </si>
  <si>
    <t>Remove Accelerated Deprec. on Jim Bridger Unit 4 Plant Additions</t>
  </si>
  <si>
    <t>Steam Production Plant Addition</t>
  </si>
  <si>
    <t>Additional Year Accumulated Deprec. On Yr 1 PTY Plant Adds</t>
  </si>
  <si>
    <t>Revised Company Adjusted Amounts - AMA Approach</t>
  </si>
  <si>
    <t>Revised Amount</t>
  </si>
  <si>
    <t>with PATH</t>
  </si>
  <si>
    <t>Rev. Amount with</t>
  </si>
  <si>
    <t>PATH Act and</t>
  </si>
  <si>
    <t>AMA Impacts</t>
  </si>
  <si>
    <t xml:space="preserve">(E) </t>
  </si>
  <si>
    <t>Boise DR 13, page 1.1</t>
  </si>
  <si>
    <t>Col. (D):  See Schedule 3</t>
  </si>
  <si>
    <t>Exhibit DMR-3</t>
  </si>
  <si>
    <t>Co. Exh. No. SEM-3, page 8.4.2</t>
  </si>
  <si>
    <t>Co. Exh. No. SEM-3, page 6.4.2</t>
  </si>
  <si>
    <t>Revised Amounts with PATH Act of 2015 Impacts and AMA Rate Base (b):</t>
  </si>
  <si>
    <t>Wa. Allocation</t>
  </si>
  <si>
    <t xml:space="preserve">law.  In response to Boise Data Request 9 (Exhibit No. DMR-6) , the Company provided the impacts on its filing </t>
  </si>
  <si>
    <t>resulting from the PATH Act.</t>
  </si>
  <si>
    <t xml:space="preserve">(b)  In response to Boise Data Request 13 (Exhibit No. DMR-7), the Company provided the impacts on its filing </t>
  </si>
  <si>
    <t>resulting from the PATH Act and reflecting rate base using the Average of Month Averages approach instead of the</t>
  </si>
  <si>
    <t>End of Period approach.</t>
  </si>
  <si>
    <t>Per Company Revenue Requirement Increase at 7.30% ROR</t>
  </si>
  <si>
    <t>Per Co. Revised Revenue Requirement Increase @7.30% ROR</t>
  </si>
  <si>
    <t xml:space="preserve">   Misc. Deferred Debits</t>
  </si>
  <si>
    <t>Accumulated Deferred Income Taxes</t>
  </si>
  <si>
    <t>Schedule 12</t>
  </si>
  <si>
    <t>RATE OF RETURN, PER COMPANY</t>
  </si>
  <si>
    <t>Fair Rate of Return, per Company</t>
  </si>
  <si>
    <t>Schedule 13</t>
  </si>
  <si>
    <t>Weighted Cost of Debt, per Company</t>
  </si>
  <si>
    <t>The above table is based on the per Company rate of return and has not been</t>
  </si>
  <si>
    <t>adjusted at this time.</t>
  </si>
  <si>
    <t>Col. (B):  Company response to Boise Data Request 009 (Exhibit No. DMR-6)</t>
  </si>
  <si>
    <t>Col. (C):  Company response to Boise Data Request 013 (Exhibit No. DMR-7)</t>
  </si>
  <si>
    <t>Notes/Sources:</t>
  </si>
  <si>
    <t>Col. (B):  Company response to Boise Data Request No. 9 (Exhibit No. DMR-6)</t>
  </si>
  <si>
    <t>Col. (C):  Company response to Boise Data Request No. 13 (Exhibit No. DMR-7)</t>
  </si>
  <si>
    <t>Sch. 7</t>
  </si>
  <si>
    <t>Sch. 5</t>
  </si>
  <si>
    <t>Synch</t>
  </si>
  <si>
    <t>Sch. 12</t>
  </si>
  <si>
    <t>on Plant Adds</t>
  </si>
  <si>
    <t>Remove A/Dep</t>
  </si>
  <si>
    <t>Schedule 3</t>
  </si>
  <si>
    <t>Page 1 of 19</t>
  </si>
  <si>
    <t>Page 2 of 19</t>
  </si>
  <si>
    <t>Page 3 of 19</t>
  </si>
  <si>
    <t>Page 4 of 19</t>
  </si>
  <si>
    <t>Page 5 of 19</t>
  </si>
  <si>
    <t>Page 6 of 19</t>
  </si>
  <si>
    <t>Page 7 of 19</t>
  </si>
  <si>
    <t>Page 8 of 19</t>
  </si>
  <si>
    <t>Page 9 of 19</t>
  </si>
  <si>
    <t>Page 10 of 19</t>
  </si>
  <si>
    <t>Page 11 of 19</t>
  </si>
  <si>
    <t>Page 12 of 19</t>
  </si>
  <si>
    <t>Page 13 of 19</t>
  </si>
  <si>
    <t>Page 14 of 19</t>
  </si>
  <si>
    <t>Page 15 of 19</t>
  </si>
  <si>
    <t>Page 16 of 19</t>
  </si>
  <si>
    <t>Page 17 of 19</t>
  </si>
  <si>
    <t>Page 18 of 19</t>
  </si>
  <si>
    <t>Page 19 of 19</t>
  </si>
  <si>
    <t>The above adjustment revises the Company's proposed pro forma major plant additions adjustment to reflect the actual costs placed into service, per the responses to Public Counsel Data Request No. 20 (redacted version provided as Exhibit No. DMR-16) and Boise Data Request No. 62 (redacted version provided as Exhibit No. DMR-17).</t>
  </si>
  <si>
    <t>Adjustment Calculations:</t>
  </si>
  <si>
    <t>Lines 1 - 18:  Response to Public Counsel Data Request No. 38, provied as Exhibit No.</t>
  </si>
  <si>
    <t>DMR-19.</t>
  </si>
  <si>
    <t xml:space="preserve">      Response to Public Counsel Data Request No. 36, Attachment PC 36-1 1st Supplement (Exhibit No. DMR-20) for breakdown </t>
  </si>
  <si>
    <t xml:space="preserve">      including administrative costs.</t>
  </si>
  <si>
    <t xml:space="preserve">      of $22,855,427 less administrative costs of $920,000.</t>
  </si>
  <si>
    <t xml:space="preserve">(b)  Per Response to Public Counsel Data Request No. 52, Attachment PC 52-3 (Exhibit No. DMR-21).  Consists of total amount </t>
  </si>
  <si>
    <t>Reference:</t>
  </si>
  <si>
    <t>Pension Expense Based on Most Recent Actuarial Report</t>
  </si>
  <si>
    <t>OPEB Expense Based on Most Recent Actuarial Report</t>
  </si>
  <si>
    <t>(a)  Per response to Public Counsel Data Request No. 53 provided as Exhibit No. DMR-23.</t>
  </si>
  <si>
    <t>(a)  Per Response to Public Counsel Data Request No. 49, provided as Exhibit No. DMR-24.</t>
  </si>
  <si>
    <t>(b)  Per Response to Public Counsel Data Request No. 40, provided as Exhibit No. DMR-25.</t>
  </si>
  <si>
    <t>law.  In response to Boise Data Request No. 9 (Exhibit DMR-6), the Company provided the impacts on its filing</t>
  </si>
  <si>
    <t>from the PATH Act.</t>
  </si>
  <si>
    <t>Page 2 of 2</t>
  </si>
  <si>
    <t>REMOVE ACCELERATION OF DEPRECIATION ON JIM BRIDGER UNIT 4</t>
  </si>
  <si>
    <t>PLANT ADDITIONS</t>
  </si>
  <si>
    <t>Page 1 of 2</t>
  </si>
  <si>
    <t>(a)  Response to Boise Data Request No. 9, Attachment Boise 009-4 REDACTED version</t>
  </si>
  <si>
    <t>Since the Company added certain plant additions associated with the Jim Bridger Unit 3 Overhaul and SCR replacement as a post-test year plant addition, then the plant retirements associated with the additions should also be reflected in the adjusted test year.  The above adjustments removes the depreciation expense on the retired plant items.  Since the adjustment to plant in service is equally offset by the adjustment to accumulated depreciation, only the depreciation expense is being adjusted.  The above adjustment is based on the currently authorized depreciation rates.  If the Company is permitted in this case to accelerate the depreciation of Jim Bridger Unit 3 plant assets, then the above adjustment should be revised to reflected the accelerated depreciation shown on lines B.1 to B.3, above.  (See response to Public Counsel Data Request No. 64 provided as Exhibit No. DMR-18.)</t>
  </si>
  <si>
    <t>Corrected</t>
  </si>
  <si>
    <t>Known &amp; Measurable Pension Expense Reduction, corrected</t>
  </si>
  <si>
    <t>Known &amp; Measurable OPEB Expense Reduction, corrected</t>
  </si>
  <si>
    <t>Normalize Salary Overhead Costs, corrected</t>
  </si>
  <si>
    <t>Revised 3/29/16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</si>
</sst>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41" formatCode="_(* #,##0_);_(* \(#,##0\);_(* &quot;-&quot;_);_(@_)"/>
    <numFmt numFmtId="44" formatCode="_(&quot;$&quot;* #,##0.00_);_(&quot;$&quot;* \(#,##0.00\);_(&quot;$&quot;* &quot;-&quot;??_);_(@_)"/>
    <numFmt numFmtId="43" formatCode="_(* #,##0.00_);_(* \(#,##0.00\);_(* &quot;-&quot;??_);_(@_)"/>
    <numFmt numFmtId="164" formatCode="0.0000%"/>
    <numFmt numFmtId="165" formatCode="0.000%"/>
    <numFmt numFmtId="166" formatCode="_(* #,##0_);_(* \(#,##0\);_(* &quot;-&quot;??_);_(@_)"/>
    <numFmt numFmtId="167" formatCode="_(&quot;$&quot;* #,##0_);_(&quot;$&quot;* \(#,##0\);_(&quot;$&quot;* &quot;-&quot;??_);_(@_)"/>
    <numFmt numFmtId="168" formatCode="_(* #,##0.0_);_(* \(#,##0.0\);_(* &quot;-&quot;??_);_(@_)"/>
    <numFmt numFmtId="169" formatCode="0.00000"/>
  </numFmts>
  <fonts count="22" x14ac:knownFonts="1">
    <font>
      <sz val="12"/>
      <name val="Times New Roman"/>
      <family val="1"/>
    </font>
    <font>
      <sz val="10"/>
      <name val="Arial"/>
      <family val="2"/>
    </font>
    <font>
      <sz val="10"/>
      <name val="Arial"/>
      <family val="2"/>
    </font>
    <font>
      <u/>
      <sz val="12"/>
      <name val="Times New Roman"/>
      <family val="1"/>
    </font>
    <font>
      <sz val="12"/>
      <name val="Times New Roman"/>
      <family val="1"/>
    </font>
    <font>
      <b/>
      <sz val="12"/>
      <name val="Times New Roman"/>
      <family val="1"/>
    </font>
    <font>
      <sz val="12"/>
      <name val="Times New Roman"/>
      <family val="1"/>
    </font>
    <font>
      <sz val="10"/>
      <name val="Times New Roman"/>
      <family val="1"/>
    </font>
    <font>
      <sz val="8"/>
      <name val="Times New Roman"/>
      <family val="1"/>
    </font>
    <font>
      <sz val="10"/>
      <name val="MS Sans Serif"/>
      <family val="2"/>
    </font>
    <font>
      <sz val="10"/>
      <name val="Arial"/>
      <family val="2"/>
    </font>
    <font>
      <sz val="10"/>
      <color indexed="8"/>
      <name val="Arial"/>
      <family val="2"/>
    </font>
    <font>
      <sz val="11"/>
      <color theme="1"/>
      <name val="Calibri"/>
      <family val="2"/>
      <scheme val="minor"/>
    </font>
    <font>
      <sz val="12"/>
      <color theme="1"/>
      <name val="Times New Roman"/>
      <family val="1"/>
    </font>
    <font>
      <b/>
      <sz val="10"/>
      <name val="Times New Roman"/>
      <family val="1"/>
    </font>
    <font>
      <u/>
      <sz val="10"/>
      <name val="Times New Roman"/>
      <family val="1"/>
    </font>
    <font>
      <sz val="10"/>
      <color theme="1"/>
      <name val="Arial"/>
      <family val="2"/>
    </font>
    <font>
      <sz val="11"/>
      <color theme="1"/>
      <name val="Arial"/>
      <family val="2"/>
    </font>
    <font>
      <sz val="10"/>
      <color theme="1"/>
      <name val="Calibri"/>
      <family val="2"/>
      <scheme val="minor"/>
    </font>
    <font>
      <b/>
      <sz val="10"/>
      <color indexed="8"/>
      <name val="Arial"/>
      <family val="2"/>
    </font>
    <font>
      <sz val="10"/>
      <color indexed="8"/>
      <name val="Calibri"/>
      <family val="2"/>
    </font>
    <font>
      <u val="singleAccounting"/>
      <sz val="12"/>
      <name val="Times New Roman"/>
      <family val="1"/>
    </font>
  </fonts>
  <fills count="7">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indexed="43"/>
        <bgColor indexed="64"/>
      </patternFill>
    </fill>
    <fill>
      <patternFill patternType="solid">
        <fgColor indexed="43"/>
      </patternFill>
    </fill>
    <fill>
      <patternFill patternType="solid">
        <fgColor rgb="FFFFFF00"/>
        <bgColor indexed="64"/>
      </patternFill>
    </fill>
  </fills>
  <borders count="17">
    <border>
      <left/>
      <right/>
      <top/>
      <bottom/>
      <diagonal/>
    </border>
    <border>
      <left style="thin">
        <color indexed="48"/>
      </left>
      <right style="thin">
        <color indexed="48"/>
      </right>
      <top style="thin">
        <color indexed="48"/>
      </top>
      <bottom style="thin">
        <color indexed="48"/>
      </bottom>
      <diagonal/>
    </border>
    <border>
      <left/>
      <right/>
      <top/>
      <bottom style="thin">
        <color indexed="64"/>
      </bottom>
      <diagonal/>
    </border>
    <border>
      <left/>
      <right/>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8"/>
      </bottom>
      <diagonal/>
    </border>
    <border>
      <left/>
      <right/>
      <top/>
      <bottom style="double">
        <color indexed="8"/>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1">
    <xf numFmtId="0" fontId="0" fillId="0" borderId="0"/>
    <xf numFmtId="41" fontId="1" fillId="0" borderId="0" applyFont="0" applyFill="0" applyBorder="0" applyAlignment="0" applyProtection="0"/>
    <xf numFmtId="43" fontId="9" fillId="0" borderId="0" applyFont="0" applyFill="0" applyBorder="0" applyAlignment="0" applyProtection="0"/>
    <xf numFmtId="0" fontId="9" fillId="0" borderId="0"/>
    <xf numFmtId="41" fontId="4" fillId="0" borderId="0"/>
    <xf numFmtId="41" fontId="4" fillId="0" borderId="0"/>
    <xf numFmtId="9" fontId="2" fillId="0" borderId="0" applyFont="0" applyFill="0" applyBorder="0" applyAlignment="0" applyProtection="0"/>
    <xf numFmtId="9" fontId="9" fillId="0" borderId="0" applyFont="0" applyFill="0" applyBorder="0" applyAlignment="0" applyProtection="0"/>
    <xf numFmtId="4" fontId="11" fillId="2" borderId="1" applyNumberFormat="0" applyProtection="0">
      <alignment horizontal="left" vertical="center" indent="1"/>
    </xf>
    <xf numFmtId="0" fontId="10" fillId="0" borderId="0"/>
    <xf numFmtId="0" fontId="10" fillId="0" borderId="0"/>
    <xf numFmtId="43"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44" fontId="4"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12"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4" fillId="0" borderId="0"/>
    <xf numFmtId="0" fontId="4"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 fontId="11" fillId="0" borderId="1" applyNumberFormat="0" applyProtection="0">
      <alignment horizontal="left" vertical="center" indent="1"/>
    </xf>
    <xf numFmtId="0" fontId="1" fillId="0" borderId="0"/>
    <xf numFmtId="0" fontId="1" fillId="0" borderId="0"/>
    <xf numFmtId="43" fontId="1" fillId="0" borderId="0" applyFont="0" applyFill="0" applyBorder="0" applyAlignment="0" applyProtection="0"/>
    <xf numFmtId="0" fontId="1" fillId="0" borderId="0"/>
    <xf numFmtId="4" fontId="11" fillId="2" borderId="1" applyNumberFormat="0" applyProtection="0">
      <alignment horizontal="left" vertical="center" indent="1"/>
    </xf>
    <xf numFmtId="9" fontId="12" fillId="0" borderId="0" applyFont="0" applyFill="0" applyBorder="0" applyAlignment="0" applyProtection="0"/>
    <xf numFmtId="0" fontId="1" fillId="0" borderId="0"/>
    <xf numFmtId="0" fontId="1" fillId="0" borderId="0"/>
    <xf numFmtId="0" fontId="1" fillId="0" borderId="0"/>
    <xf numFmtId="0" fontId="17" fillId="0" borderId="0"/>
    <xf numFmtId="0" fontId="1" fillId="0" borderId="0"/>
    <xf numFmtId="0" fontId="1" fillId="0" borderId="0"/>
    <xf numFmtId="0" fontId="12" fillId="0" borderId="0"/>
    <xf numFmtId="43" fontId="12" fillId="0" borderId="0" applyFont="0" applyFill="0" applyBorder="0" applyAlignment="0" applyProtection="0"/>
    <xf numFmtId="41" fontId="12" fillId="0" borderId="0" applyFont="0" applyFill="0" applyBorder="0" applyAlignment="0" applyProtection="0"/>
    <xf numFmtId="41" fontId="1" fillId="0" borderId="0" applyFont="0" applyFill="0" applyBorder="0" applyAlignment="0" applyProtection="0"/>
    <xf numFmtId="9" fontId="12" fillId="0" borderId="0" applyFont="0" applyFill="0" applyBorder="0" applyAlignment="0" applyProtection="0"/>
    <xf numFmtId="41" fontId="1" fillId="0" borderId="0" applyFont="0" applyFill="0" applyBorder="0" applyAlignment="0" applyProtection="0"/>
    <xf numFmtId="43" fontId="12" fillId="0" borderId="0" applyFont="0" applyFill="0" applyBorder="0" applyAlignment="0" applyProtection="0"/>
    <xf numFmtId="4" fontId="19" fillId="3" borderId="1" applyNumberFormat="0" applyProtection="0"/>
    <xf numFmtId="0" fontId="11" fillId="3" borderId="1" applyNumberFormat="0" applyProtection="0">
      <alignment horizontal="left" vertical="top"/>
    </xf>
    <xf numFmtId="4" fontId="11" fillId="0" borderId="1" applyNumberFormat="0" applyProtection="0">
      <alignment horizontal="right" vertical="center"/>
    </xf>
    <xf numFmtId="0" fontId="18" fillId="0" borderId="0"/>
    <xf numFmtId="9" fontId="18" fillId="0" borderId="0" applyFont="0" applyFill="0" applyBorder="0" applyAlignment="0" applyProtection="0"/>
    <xf numFmtId="4" fontId="19" fillId="4" borderId="1" applyNumberFormat="0" applyProtection="0">
      <alignment horizontal="left" vertical="center" indent="1"/>
    </xf>
    <xf numFmtId="4" fontId="19" fillId="5" borderId="1" applyNumberFormat="0" applyProtection="0">
      <alignment vertical="center"/>
    </xf>
    <xf numFmtId="0" fontId="18" fillId="0" borderId="0"/>
    <xf numFmtId="0" fontId="20" fillId="0" borderId="0"/>
    <xf numFmtId="0" fontId="20" fillId="0" borderId="0"/>
    <xf numFmtId="4" fontId="11" fillId="0" borderId="1" applyNumberFormat="0" applyProtection="0">
      <alignment horizontal="left" vertical="center"/>
    </xf>
    <xf numFmtId="0" fontId="12" fillId="0" borderId="0"/>
    <xf numFmtId="43" fontId="12" fillId="0" borderId="0" applyFont="0" applyFill="0" applyBorder="0" applyAlignment="0" applyProtection="0"/>
    <xf numFmtId="0" fontId="12" fillId="0" borderId="0"/>
    <xf numFmtId="43" fontId="12" fillId="0" borderId="0" applyFont="0" applyFill="0" applyBorder="0" applyAlignment="0" applyProtection="0"/>
    <xf numFmtId="43" fontId="12" fillId="0" borderId="0" applyFont="0" applyFill="0" applyBorder="0" applyAlignment="0" applyProtection="0"/>
    <xf numFmtId="43" fontId="16" fillId="0" borderId="0" applyFont="0" applyFill="0" applyBorder="0" applyAlignment="0" applyProtection="0"/>
    <xf numFmtId="0" fontId="12" fillId="0" borderId="0"/>
    <xf numFmtId="43" fontId="1" fillId="0" borderId="0" applyFont="0" applyFill="0" applyBorder="0" applyAlignment="0" applyProtection="0"/>
    <xf numFmtId="43" fontId="1" fillId="0" borderId="0" applyFont="0" applyFill="0" applyBorder="0" applyAlignment="0" applyProtection="0"/>
  </cellStyleXfs>
  <cellXfs count="238">
    <xf numFmtId="0" fontId="0" fillId="0" borderId="0" xfId="0"/>
    <xf numFmtId="0" fontId="0" fillId="0" borderId="0" xfId="0" applyAlignment="1">
      <alignment horizontal="center"/>
    </xf>
    <xf numFmtId="0" fontId="0" fillId="0" borderId="2" xfId="0" applyBorder="1"/>
    <xf numFmtId="0" fontId="3" fillId="0" borderId="0" xfId="0" applyFont="1"/>
    <xf numFmtId="0" fontId="0" fillId="0" borderId="0" xfId="0" applyBorder="1"/>
    <xf numFmtId="0" fontId="0" fillId="0" borderId="0" xfId="0" applyAlignment="1">
      <alignment horizontal="left"/>
    </xf>
    <xf numFmtId="41" fontId="0" fillId="0" borderId="0" xfId="0" applyNumberFormat="1"/>
    <xf numFmtId="0" fontId="4" fillId="0" borderId="0" xfId="0" applyFont="1"/>
    <xf numFmtId="0" fontId="0" fillId="0" borderId="0" xfId="0" applyBorder="1" applyAlignment="1">
      <alignment horizontal="center"/>
    </xf>
    <xf numFmtId="0" fontId="4" fillId="0" borderId="0" xfId="0" applyFont="1" applyAlignment="1">
      <alignment horizontal="left"/>
    </xf>
    <xf numFmtId="0" fontId="0" fillId="0" borderId="2" xfId="0" applyBorder="1" applyAlignment="1">
      <alignment horizontal="center"/>
    </xf>
    <xf numFmtId="0" fontId="0" fillId="0" borderId="2" xfId="0" quotePrefix="1" applyBorder="1" applyAlignment="1">
      <alignment horizontal="center"/>
    </xf>
    <xf numFmtId="41" fontId="0" fillId="0" borderId="0" xfId="0" applyNumberFormat="1" applyBorder="1"/>
    <xf numFmtId="0" fontId="0" fillId="0" borderId="0" xfId="0" quotePrefix="1"/>
    <xf numFmtId="0" fontId="3" fillId="0" borderId="0" xfId="0" applyFont="1" applyBorder="1" applyAlignment="1">
      <alignment horizontal="center"/>
    </xf>
    <xf numFmtId="0" fontId="4" fillId="0" borderId="0" xfId="0" applyFont="1" applyAlignment="1">
      <alignment horizontal="center"/>
    </xf>
    <xf numFmtId="41" fontId="4" fillId="0" borderId="0" xfId="5"/>
    <xf numFmtId="0" fontId="5" fillId="0" borderId="0" xfId="0" applyFont="1"/>
    <xf numFmtId="0" fontId="0" fillId="0" borderId="0" xfId="0" applyFill="1" applyBorder="1"/>
    <xf numFmtId="41" fontId="0" fillId="0" borderId="0" xfId="1" applyNumberFormat="1" applyFont="1" applyBorder="1"/>
    <xf numFmtId="10" fontId="0" fillId="0" borderId="0" xfId="6" applyNumberFormat="1" applyFont="1" applyBorder="1"/>
    <xf numFmtId="0" fontId="6" fillId="0" borderId="0" xfId="0" applyFont="1"/>
    <xf numFmtId="41" fontId="4" fillId="0" borderId="0" xfId="4"/>
    <xf numFmtId="10" fontId="4" fillId="0" borderId="0" xfId="4" applyNumberFormat="1"/>
    <xf numFmtId="10" fontId="4" fillId="0" borderId="0" xfId="4" applyNumberFormat="1" applyFont="1"/>
    <xf numFmtId="41" fontId="4" fillId="0" borderId="0" xfId="4" applyFont="1"/>
    <xf numFmtId="41" fontId="4" fillId="0" borderId="0" xfId="4" applyFont="1" applyAlignment="1">
      <alignment horizontal="center"/>
    </xf>
    <xf numFmtId="41" fontId="7" fillId="0" borderId="0" xfId="4" applyFont="1" applyAlignment="1">
      <alignment horizontal="center"/>
    </xf>
    <xf numFmtId="41" fontId="4" fillId="0" borderId="0" xfId="4" applyAlignment="1">
      <alignment horizontal="center"/>
    </xf>
    <xf numFmtId="0" fontId="7" fillId="0" borderId="0" xfId="0" applyFont="1" applyAlignment="1">
      <alignment horizontal="center"/>
    </xf>
    <xf numFmtId="41" fontId="4" fillId="0" borderId="0" xfId="4" applyBorder="1"/>
    <xf numFmtId="41" fontId="4" fillId="0" borderId="2" xfId="4" applyBorder="1"/>
    <xf numFmtId="41" fontId="4" fillId="0" borderId="3" xfId="4" applyBorder="1"/>
    <xf numFmtId="0" fontId="3" fillId="0" borderId="0" xfId="0" applyFont="1" applyAlignment="1">
      <alignment horizontal="center"/>
    </xf>
    <xf numFmtId="0" fontId="4" fillId="0" borderId="0" xfId="0" applyFont="1" applyBorder="1" applyAlignment="1">
      <alignment horizontal="center"/>
    </xf>
    <xf numFmtId="0" fontId="4" fillId="0" borderId="0" xfId="0" applyFont="1" applyBorder="1"/>
    <xf numFmtId="0" fontId="3" fillId="0" borderId="0" xfId="0" applyFont="1" applyBorder="1"/>
    <xf numFmtId="41" fontId="0" fillId="0" borderId="0" xfId="1" applyNumberFormat="1" applyFont="1"/>
    <xf numFmtId="41" fontId="0" fillId="0" borderId="2" xfId="0" applyNumberFormat="1" applyBorder="1"/>
    <xf numFmtId="0" fontId="6" fillId="0" borderId="0" xfId="0" applyFont="1" applyBorder="1"/>
    <xf numFmtId="0" fontId="6" fillId="0" borderId="0" xfId="0" applyFont="1" applyBorder="1" applyAlignment="1">
      <alignment horizontal="center"/>
    </xf>
    <xf numFmtId="41" fontId="6" fillId="0" borderId="0" xfId="0" applyNumberFormat="1" applyFont="1" applyBorder="1"/>
    <xf numFmtId="41" fontId="0" fillId="0" borderId="0" xfId="1" applyFont="1"/>
    <xf numFmtId="41" fontId="0" fillId="0" borderId="2" xfId="1" applyFont="1" applyBorder="1"/>
    <xf numFmtId="41" fontId="0" fillId="0" borderId="0" xfId="1" applyFont="1" applyBorder="1"/>
    <xf numFmtId="41" fontId="5" fillId="0" borderId="0" xfId="4" applyFont="1"/>
    <xf numFmtId="41" fontId="0" fillId="0" borderId="7" xfId="1" applyFont="1" applyBorder="1"/>
    <xf numFmtId="0" fontId="0" fillId="0" borderId="0" xfId="0" quotePrefix="1" applyAlignment="1">
      <alignment horizontal="center"/>
    </xf>
    <xf numFmtId="41" fontId="0" fillId="0" borderId="0" xfId="4" applyFont="1" applyAlignment="1">
      <alignment horizontal="center"/>
    </xf>
    <xf numFmtId="41" fontId="0" fillId="0" borderId="0" xfId="4" applyFont="1"/>
    <xf numFmtId="41" fontId="0" fillId="0" borderId="0" xfId="4" applyFont="1" applyBorder="1"/>
    <xf numFmtId="17" fontId="0" fillId="0" borderId="0" xfId="0" applyNumberFormat="1"/>
    <xf numFmtId="0" fontId="4" fillId="0" borderId="12" xfId="0" applyFont="1" applyBorder="1"/>
    <xf numFmtId="0" fontId="4" fillId="0" borderId="12" xfId="0" applyFont="1" applyBorder="1" applyAlignment="1">
      <alignment horizontal="center"/>
    </xf>
    <xf numFmtId="0" fontId="4" fillId="0" borderId="0" xfId="0" quotePrefix="1" applyFont="1" applyAlignment="1">
      <alignment horizontal="left"/>
    </xf>
    <xf numFmtId="41" fontId="4" fillId="0" borderId="0" xfId="0" applyNumberFormat="1" applyFont="1" applyProtection="1"/>
    <xf numFmtId="5" fontId="4" fillId="0" borderId="0" xfId="0" applyNumberFormat="1" applyFont="1" applyProtection="1"/>
    <xf numFmtId="9" fontId="4" fillId="0" borderId="0" xfId="0" applyNumberFormat="1" applyFont="1" applyProtection="1"/>
    <xf numFmtId="165" fontId="4" fillId="0" borderId="0" xfId="0" applyNumberFormat="1" applyFont="1" applyProtection="1"/>
    <xf numFmtId="165" fontId="4" fillId="0" borderId="0" xfId="0" applyNumberFormat="1" applyFont="1" applyBorder="1" applyProtection="1"/>
    <xf numFmtId="37" fontId="4" fillId="0" borderId="0" xfId="0" applyNumberFormat="1" applyFont="1" applyProtection="1"/>
    <xf numFmtId="5" fontId="4" fillId="0" borderId="13" xfId="0" applyNumberFormat="1" applyFont="1" applyBorder="1" applyProtection="1"/>
    <xf numFmtId="5" fontId="4" fillId="0" borderId="0" xfId="0" applyNumberFormat="1" applyFont="1" applyBorder="1" applyProtection="1"/>
    <xf numFmtId="41" fontId="4" fillId="0" borderId="0" xfId="0" applyNumberFormat="1" applyFont="1"/>
    <xf numFmtId="41" fontId="4" fillId="0" borderId="0" xfId="4" applyFont="1" applyBorder="1" applyAlignment="1">
      <alignment horizontal="center"/>
    </xf>
    <xf numFmtId="41" fontId="4" fillId="0" borderId="2" xfId="4" applyFont="1" applyBorder="1" applyAlignment="1">
      <alignment horizontal="center"/>
    </xf>
    <xf numFmtId="41" fontId="4" fillId="0" borderId="0" xfId="4" quotePrefix="1" applyFont="1" applyAlignment="1">
      <alignment horizontal="center"/>
    </xf>
    <xf numFmtId="41" fontId="4" fillId="0" borderId="0" xfId="4" quotePrefix="1" applyFont="1" applyBorder="1" applyAlignment="1">
      <alignment horizontal="center"/>
    </xf>
    <xf numFmtId="41" fontId="4" fillId="0" borderId="7" xfId="4" applyBorder="1"/>
    <xf numFmtId="41" fontId="0" fillId="0" borderId="2" xfId="4" applyFont="1" applyBorder="1"/>
    <xf numFmtId="165" fontId="0" fillId="0" borderId="0" xfId="6" applyNumberFormat="1" applyFont="1" applyBorder="1" applyAlignment="1">
      <alignment horizontal="center"/>
    </xf>
    <xf numFmtId="10" fontId="0" fillId="0" borderId="2" xfId="0" applyNumberFormat="1" applyBorder="1"/>
    <xf numFmtId="166" fontId="0" fillId="0" borderId="7" xfId="0" quotePrefix="1" applyNumberFormat="1" applyBorder="1"/>
    <xf numFmtId="41" fontId="0" fillId="0" borderId="14" xfId="1" applyFont="1" applyBorder="1"/>
    <xf numFmtId="0" fontId="0" fillId="0" borderId="0" xfId="0" applyFont="1"/>
    <xf numFmtId="0" fontId="0" fillId="0" borderId="0" xfId="0" applyFont="1" applyAlignment="1">
      <alignment horizontal="center"/>
    </xf>
    <xf numFmtId="167" fontId="0" fillId="0" borderId="0" xfId="16" applyNumberFormat="1" applyFont="1"/>
    <xf numFmtId="168" fontId="0" fillId="0" borderId="0" xfId="1" applyNumberFormat="1" applyFont="1" applyAlignment="1">
      <alignment horizontal="right"/>
    </xf>
    <xf numFmtId="168" fontId="0" fillId="0" borderId="0" xfId="1" applyNumberFormat="1" applyFont="1" applyFill="1"/>
    <xf numFmtId="0" fontId="3" fillId="0" borderId="0" xfId="0" applyFont="1" applyAlignment="1">
      <alignment horizontal="right"/>
    </xf>
    <xf numFmtId="168" fontId="0" fillId="0" borderId="0" xfId="0" applyNumberFormat="1"/>
    <xf numFmtId="168" fontId="0" fillId="0" borderId="2" xfId="0" applyNumberFormat="1" applyBorder="1"/>
    <xf numFmtId="168" fontId="0" fillId="0" borderId="14" xfId="0" applyNumberFormat="1" applyBorder="1"/>
    <xf numFmtId="10" fontId="0" fillId="0" borderId="3" xfId="6" applyNumberFormat="1" applyFont="1" applyBorder="1"/>
    <xf numFmtId="168" fontId="0" fillId="0" borderId="3" xfId="0" applyNumberFormat="1" applyBorder="1"/>
    <xf numFmtId="165" fontId="0" fillId="0" borderId="0" xfId="22" applyNumberFormat="1" applyFont="1" applyAlignment="1">
      <alignment horizontal="center"/>
    </xf>
    <xf numFmtId="0" fontId="7" fillId="0" borderId="0" xfId="0" applyFont="1"/>
    <xf numFmtId="41" fontId="0" fillId="0" borderId="0" xfId="0" applyNumberFormat="1" applyFont="1" applyBorder="1"/>
    <xf numFmtId="0" fontId="0" fillId="0" borderId="0" xfId="0" applyFont="1" applyBorder="1"/>
    <xf numFmtId="41" fontId="4" fillId="0" borderId="0" xfId="4" applyFill="1"/>
    <xf numFmtId="41" fontId="0" fillId="0" borderId="0" xfId="4" applyFont="1" applyAlignment="1">
      <alignment horizontal="right"/>
    </xf>
    <xf numFmtId="41" fontId="0" fillId="0" borderId="0" xfId="4" applyFont="1" applyBorder="1" applyAlignment="1">
      <alignment horizontal="center"/>
    </xf>
    <xf numFmtId="10" fontId="0" fillId="0" borderId="0" xfId="6" applyNumberFormat="1" applyFont="1"/>
    <xf numFmtId="10" fontId="4" fillId="0" borderId="12" xfId="0" applyNumberFormat="1" applyFont="1" applyBorder="1" applyProtection="1"/>
    <xf numFmtId="169" fontId="4" fillId="0" borderId="0" xfId="1" applyNumberFormat="1" applyFont="1" applyBorder="1" applyProtection="1"/>
    <xf numFmtId="41" fontId="0" fillId="0" borderId="0" xfId="4" applyFont="1" applyFill="1"/>
    <xf numFmtId="169" fontId="0" fillId="0" borderId="2" xfId="0" applyNumberFormat="1" applyBorder="1"/>
    <xf numFmtId="0" fontId="13" fillId="0" borderId="0" xfId="19" applyFont="1" applyBorder="1"/>
    <xf numFmtId="166" fontId="0" fillId="0" borderId="0" xfId="21" applyNumberFormat="1" applyFont="1" applyBorder="1"/>
    <xf numFmtId="10" fontId="0" fillId="0" borderId="0" xfId="18" applyNumberFormat="1" applyFont="1" applyBorder="1"/>
    <xf numFmtId="166" fontId="0" fillId="0" borderId="0" xfId="2" applyNumberFormat="1" applyFont="1" applyBorder="1"/>
    <xf numFmtId="165" fontId="0" fillId="0" borderId="0" xfId="22" applyNumberFormat="1" applyFont="1" applyBorder="1"/>
    <xf numFmtId="0" fontId="13" fillId="0" borderId="0" xfId="19" applyFont="1" applyFill="1" applyBorder="1"/>
    <xf numFmtId="166" fontId="0" fillId="0" borderId="0" xfId="21" applyNumberFormat="1" applyFont="1" applyFill="1" applyBorder="1"/>
    <xf numFmtId="0" fontId="0" fillId="0" borderId="0" xfId="3" applyFont="1" applyBorder="1"/>
    <xf numFmtId="164" fontId="0" fillId="0" borderId="0" xfId="0" applyNumberFormat="1" applyFont="1" applyBorder="1"/>
    <xf numFmtId="0" fontId="5" fillId="0" borderId="0" xfId="20" applyFont="1" applyBorder="1"/>
    <xf numFmtId="166" fontId="5" fillId="0" borderId="0" xfId="3" applyNumberFormat="1" applyFont="1" applyFill="1" applyBorder="1"/>
    <xf numFmtId="10" fontId="5" fillId="0" borderId="0" xfId="18" applyNumberFormat="1" applyFont="1" applyBorder="1"/>
    <xf numFmtId="0" fontId="0" fillId="0" borderId="0" xfId="20" applyFont="1" applyBorder="1"/>
    <xf numFmtId="0" fontId="0" fillId="0" borderId="0" xfId="3" applyFont="1" applyFill="1" applyBorder="1"/>
    <xf numFmtId="166" fontId="0" fillId="0" borderId="0" xfId="17" applyNumberFormat="1" applyFont="1" applyFill="1" applyBorder="1"/>
    <xf numFmtId="0" fontId="7" fillId="0" borderId="0" xfId="3" applyFont="1"/>
    <xf numFmtId="166" fontId="7" fillId="0" borderId="0" xfId="2" applyNumberFormat="1" applyFont="1" applyAlignment="1">
      <alignment horizontal="center"/>
    </xf>
    <xf numFmtId="10" fontId="7" fillId="0" borderId="0" xfId="7" applyNumberFormat="1" applyFont="1"/>
    <xf numFmtId="0" fontId="15" fillId="0" borderId="0" xfId="3" applyFont="1"/>
    <xf numFmtId="166" fontId="15" fillId="0" borderId="0" xfId="2" applyNumberFormat="1" applyFont="1" applyAlignment="1">
      <alignment horizontal="center"/>
    </xf>
    <xf numFmtId="10" fontId="15" fillId="0" borderId="0" xfId="7" applyNumberFormat="1" applyFont="1" applyAlignment="1">
      <alignment horizontal="center"/>
    </xf>
    <xf numFmtId="0" fontId="15" fillId="0" borderId="0" xfId="0" applyFont="1" applyAlignment="1">
      <alignment horizontal="center"/>
    </xf>
    <xf numFmtId="165" fontId="7" fillId="0" borderId="0" xfId="22" applyNumberFormat="1" applyFont="1"/>
    <xf numFmtId="166" fontId="7" fillId="0" borderId="0" xfId="2" applyNumberFormat="1" applyFont="1" applyBorder="1"/>
    <xf numFmtId="0" fontId="7" fillId="0" borderId="0" xfId="25" applyFont="1" applyBorder="1"/>
    <xf numFmtId="166" fontId="7" fillId="0" borderId="0" xfId="26" applyNumberFormat="1" applyFont="1"/>
    <xf numFmtId="10" fontId="7" fillId="0" borderId="0" xfId="27" applyNumberFormat="1" applyFont="1" applyFill="1"/>
    <xf numFmtId="166" fontId="7" fillId="0" borderId="0" xfId="26" applyNumberFormat="1" applyFont="1" applyFill="1"/>
    <xf numFmtId="166" fontId="7" fillId="0" borderId="0" xfId="1" applyNumberFormat="1" applyFont="1" applyFill="1"/>
    <xf numFmtId="10" fontId="7" fillId="0" borderId="0" xfId="27" applyNumberFormat="1" applyFont="1"/>
    <xf numFmtId="0" fontId="7" fillId="0" borderId="0" xfId="25" applyFont="1" applyFill="1"/>
    <xf numFmtId="0" fontId="7" fillId="0" borderId="0" xfId="25" applyFont="1"/>
    <xf numFmtId="0" fontId="14" fillId="0" borderId="7" xfId="25" applyFont="1" applyBorder="1"/>
    <xf numFmtId="166" fontId="14" fillId="0" borderId="7" xfId="25" applyNumberFormat="1" applyFont="1" applyBorder="1"/>
    <xf numFmtId="10" fontId="14" fillId="0" borderId="7" xfId="6" applyNumberFormat="1" applyFont="1" applyBorder="1"/>
    <xf numFmtId="0" fontId="14" fillId="0" borderId="9" xfId="25" applyFont="1" applyBorder="1"/>
    <xf numFmtId="166" fontId="14" fillId="0" borderId="9" xfId="25" applyNumberFormat="1" applyFont="1" applyFill="1" applyBorder="1"/>
    <xf numFmtId="10" fontId="14" fillId="0" borderId="9" xfId="27" applyNumberFormat="1" applyFont="1" applyBorder="1"/>
    <xf numFmtId="164" fontId="7" fillId="0" borderId="0" xfId="27" applyNumberFormat="1" applyFont="1" applyFill="1" applyAlignment="1">
      <alignment horizontal="center"/>
    </xf>
    <xf numFmtId="166" fontId="5" fillId="0" borderId="0" xfId="20" applyNumberFormat="1" applyFont="1" applyFill="1" applyBorder="1"/>
    <xf numFmtId="0" fontId="0" fillId="0" borderId="0" xfId="20" applyFont="1" applyFill="1" applyBorder="1"/>
    <xf numFmtId="0" fontId="0" fillId="0" borderId="0" xfId="0" applyFont="1" applyBorder="1" applyAlignment="1">
      <alignment horizontal="center"/>
    </xf>
    <xf numFmtId="164" fontId="0" fillId="0" borderId="0" xfId="6" applyNumberFormat="1" applyFont="1"/>
    <xf numFmtId="41" fontId="0" fillId="0" borderId="0" xfId="1" applyFont="1" applyBorder="1" applyAlignment="1">
      <alignment horizontal="center"/>
    </xf>
    <xf numFmtId="41" fontId="0" fillId="0" borderId="0" xfId="0" quotePrefix="1" applyNumberFormat="1" applyFont="1" applyBorder="1"/>
    <xf numFmtId="165" fontId="0" fillId="0" borderId="0" xfId="6" applyNumberFormat="1" applyFont="1" applyAlignment="1">
      <alignment horizontal="center"/>
    </xf>
    <xf numFmtId="10" fontId="0" fillId="0" borderId="2" xfId="6" applyNumberFormat="1" applyFont="1" applyBorder="1"/>
    <xf numFmtId="166" fontId="0" fillId="0" borderId="0" xfId="1" applyNumberFormat="1" applyFont="1"/>
    <xf numFmtId="166" fontId="0" fillId="0" borderId="2" xfId="1" applyNumberFormat="1" applyFont="1" applyBorder="1"/>
    <xf numFmtId="0" fontId="0" fillId="0" borderId="0" xfId="0" quotePrefix="1" applyFont="1"/>
    <xf numFmtId="0" fontId="4" fillId="0" borderId="0" xfId="0" applyFont="1" applyAlignment="1"/>
    <xf numFmtId="167" fontId="4" fillId="0" borderId="0" xfId="16" applyNumberFormat="1" applyFont="1" applyAlignment="1"/>
    <xf numFmtId="167" fontId="4" fillId="0" borderId="0" xfId="16" applyNumberFormat="1" applyFont="1"/>
    <xf numFmtId="0" fontId="4" fillId="0" borderId="2" xfId="0" applyFont="1" applyBorder="1" applyAlignment="1">
      <alignment horizontal="center"/>
    </xf>
    <xf numFmtId="0" fontId="4" fillId="0" borderId="2" xfId="0" applyFont="1" applyBorder="1"/>
    <xf numFmtId="167" fontId="4" fillId="0" borderId="2" xfId="16" applyNumberFormat="1" applyFont="1" applyBorder="1" applyAlignment="1">
      <alignment horizontal="center"/>
    </xf>
    <xf numFmtId="10" fontId="4" fillId="0" borderId="2" xfId="6" applyNumberFormat="1" applyFont="1" applyBorder="1"/>
    <xf numFmtId="167" fontId="4" fillId="0" borderId="2" xfId="16" applyNumberFormat="1" applyFont="1" applyFill="1" applyBorder="1"/>
    <xf numFmtId="167" fontId="4" fillId="0" borderId="3" xfId="16" applyNumberFormat="1" applyFont="1" applyBorder="1"/>
    <xf numFmtId="0" fontId="4" fillId="0" borderId="0" xfId="0" quotePrefix="1" applyFont="1"/>
    <xf numFmtId="167" fontId="4" fillId="0" borderId="0" xfId="16" applyNumberFormat="1" applyFont="1" applyBorder="1"/>
    <xf numFmtId="0" fontId="0" fillId="0" borderId="0" xfId="0" applyFont="1" applyAlignment="1">
      <alignment horizontal="left"/>
    </xf>
    <xf numFmtId="0" fontId="0" fillId="0" borderId="0" xfId="0" quotePrefix="1" applyFont="1" applyAlignment="1">
      <alignment horizontal="left"/>
    </xf>
    <xf numFmtId="9" fontId="4" fillId="0" borderId="2" xfId="6" applyNumberFormat="1" applyFont="1" applyBorder="1"/>
    <xf numFmtId="0" fontId="0" fillId="0" borderId="0" xfId="0" applyAlignment="1">
      <alignment horizontal="centerContinuous" wrapText="1"/>
    </xf>
    <xf numFmtId="166" fontId="0" fillId="0" borderId="0" xfId="1" applyNumberFormat="1" applyFont="1" applyBorder="1"/>
    <xf numFmtId="166" fontId="0" fillId="0" borderId="3" xfId="1" applyNumberFormat="1" applyFont="1" applyBorder="1"/>
    <xf numFmtId="41" fontId="21" fillId="0" borderId="0" xfId="4" applyFont="1"/>
    <xf numFmtId="167" fontId="0" fillId="0" borderId="0" xfId="16" applyNumberFormat="1" applyFont="1" applyBorder="1"/>
    <xf numFmtId="41" fontId="0" fillId="0" borderId="0" xfId="4" quotePrefix="1" applyFont="1"/>
    <xf numFmtId="5" fontId="0" fillId="0" borderId="0" xfId="0" applyNumberFormat="1" applyBorder="1"/>
    <xf numFmtId="41" fontId="4" fillId="0" borderId="0" xfId="0" applyNumberFormat="1" applyFont="1" applyBorder="1" applyProtection="1"/>
    <xf numFmtId="41" fontId="4" fillId="0" borderId="0" xfId="4" quotePrefix="1" applyFont="1" applyFill="1" applyBorder="1" applyAlignment="1">
      <alignment horizontal="center"/>
    </xf>
    <xf numFmtId="0" fontId="0" fillId="0" borderId="0" xfId="0" quotePrefix="1" applyFill="1" applyBorder="1" applyAlignment="1">
      <alignment horizontal="center"/>
    </xf>
    <xf numFmtId="0" fontId="0" fillId="0" borderId="0" xfId="0" quotePrefix="1" applyFont="1" applyAlignment="1">
      <alignment horizontal="center"/>
    </xf>
    <xf numFmtId="166" fontId="7" fillId="0" borderId="0" xfId="34" applyNumberFormat="1" applyFont="1" applyFill="1"/>
    <xf numFmtId="0" fontId="7" fillId="0" borderId="0" xfId="0" applyFont="1" applyFill="1" applyBorder="1"/>
    <xf numFmtId="0" fontId="0" fillId="0" borderId="0" xfId="0" quotePrefix="1" applyFill="1" applyBorder="1"/>
    <xf numFmtId="41" fontId="4" fillId="0" borderId="0" xfId="0" applyNumberFormat="1" applyFont="1" applyBorder="1"/>
    <xf numFmtId="165" fontId="4" fillId="0" borderId="0" xfId="30" applyNumberFormat="1" applyFont="1" applyBorder="1" applyAlignment="1">
      <alignment horizontal="center"/>
    </xf>
    <xf numFmtId="41" fontId="4" fillId="0" borderId="2" xfId="0" applyNumberFormat="1" applyFont="1" applyBorder="1"/>
    <xf numFmtId="10" fontId="0" fillId="0" borderId="0" xfId="30" applyNumberFormat="1" applyFont="1"/>
    <xf numFmtId="0" fontId="0" fillId="0" borderId="0" xfId="0" applyFill="1"/>
    <xf numFmtId="0" fontId="3" fillId="0" borderId="0" xfId="0" applyFont="1" applyFill="1" applyBorder="1"/>
    <xf numFmtId="0" fontId="0" fillId="0" borderId="0" xfId="0" applyFont="1" applyFill="1" applyBorder="1"/>
    <xf numFmtId="10" fontId="4" fillId="0" borderId="0" xfId="0" applyNumberFormat="1" applyFont="1" applyBorder="1" applyProtection="1"/>
    <xf numFmtId="169" fontId="0" fillId="0" borderId="0" xfId="0" applyNumberFormat="1" applyBorder="1"/>
    <xf numFmtId="41" fontId="0" fillId="0" borderId="0" xfId="0" applyNumberFormat="1" applyFill="1" applyBorder="1"/>
    <xf numFmtId="41" fontId="0" fillId="0" borderId="0" xfId="1" applyFont="1" applyFill="1"/>
    <xf numFmtId="166" fontId="0" fillId="0" borderId="0" xfId="1" applyNumberFormat="1" applyFont="1" applyFill="1"/>
    <xf numFmtId="41" fontId="4" fillId="0" borderId="2" xfId="4" applyFill="1" applyBorder="1"/>
    <xf numFmtId="41" fontId="4" fillId="0" borderId="3" xfId="4" applyFill="1" applyBorder="1"/>
    <xf numFmtId="41" fontId="4" fillId="0" borderId="0" xfId="4" applyFill="1" applyBorder="1"/>
    <xf numFmtId="41" fontId="0" fillId="0" borderId="2" xfId="0" applyNumberFormat="1" applyFill="1" applyBorder="1"/>
    <xf numFmtId="0" fontId="0" fillId="0" borderId="0" xfId="0" applyFill="1" applyAlignment="1">
      <alignment horizontal="center"/>
    </xf>
    <xf numFmtId="165" fontId="0" fillId="0" borderId="0" xfId="6" applyNumberFormat="1" applyFont="1" applyFill="1" applyAlignment="1">
      <alignment horizontal="center"/>
    </xf>
    <xf numFmtId="41" fontId="0" fillId="0" borderId="0" xfId="0" applyNumberFormat="1" applyFill="1"/>
    <xf numFmtId="165" fontId="0" fillId="0" borderId="0" xfId="6" applyNumberFormat="1" applyFont="1" applyFill="1"/>
    <xf numFmtId="164" fontId="0" fillId="0" borderId="0" xfId="6" applyNumberFormat="1" applyFont="1" applyFill="1" applyAlignment="1">
      <alignment horizontal="center"/>
    </xf>
    <xf numFmtId="0" fontId="0" fillId="0" borderId="2" xfId="0" applyFill="1" applyBorder="1" applyAlignment="1">
      <alignment horizontal="center"/>
    </xf>
    <xf numFmtId="0" fontId="0" fillId="0" borderId="2" xfId="0" quotePrefix="1" applyFill="1" applyBorder="1" applyAlignment="1">
      <alignment horizontal="center"/>
    </xf>
    <xf numFmtId="165" fontId="0" fillId="0" borderId="2" xfId="6" applyNumberFormat="1" applyFont="1" applyFill="1" applyBorder="1"/>
    <xf numFmtId="41" fontId="0" fillId="0" borderId="7" xfId="1" applyFont="1" applyFill="1" applyBorder="1"/>
    <xf numFmtId="41" fontId="0" fillId="0" borderId="7" xfId="0" applyNumberFormat="1" applyFill="1" applyBorder="1"/>
    <xf numFmtId="41" fontId="0" fillId="0" borderId="2" xfId="1" applyFont="1" applyBorder="1" applyAlignment="1">
      <alignment horizontal="center"/>
    </xf>
    <xf numFmtId="0" fontId="0" fillId="0" borderId="0" xfId="0" quotePrefix="1" applyBorder="1"/>
    <xf numFmtId="166" fontId="0" fillId="0" borderId="7" xfId="1" applyNumberFormat="1" applyFont="1" applyFill="1" applyBorder="1"/>
    <xf numFmtId="0" fontId="0" fillId="0" borderId="0" xfId="0" quotePrefix="1" applyFill="1"/>
    <xf numFmtId="164" fontId="0" fillId="0" borderId="0" xfId="6" applyNumberFormat="1" applyFont="1" applyBorder="1"/>
    <xf numFmtId="0" fontId="7" fillId="6" borderId="0" xfId="0" applyFont="1" applyFill="1" applyAlignment="1">
      <alignment horizontal="center"/>
    </xf>
    <xf numFmtId="0" fontId="15" fillId="6" borderId="0" xfId="0" applyFont="1" applyFill="1" applyAlignment="1">
      <alignment horizontal="center"/>
    </xf>
    <xf numFmtId="41" fontId="0" fillId="6" borderId="0" xfId="1" applyFont="1" applyFill="1"/>
    <xf numFmtId="41" fontId="0" fillId="0" borderId="0" xfId="5" applyFont="1"/>
    <xf numFmtId="41" fontId="0" fillId="6" borderId="3" xfId="1" applyFont="1" applyFill="1" applyBorder="1"/>
    <xf numFmtId="41" fontId="0" fillId="0" borderId="0" xfId="5" applyFont="1" applyAlignment="1">
      <alignment horizontal="center"/>
    </xf>
    <xf numFmtId="166" fontId="0" fillId="6" borderId="0" xfId="1" applyNumberFormat="1" applyFont="1" applyFill="1"/>
    <xf numFmtId="0" fontId="0" fillId="0" borderId="8" xfId="0" applyBorder="1" applyAlignment="1">
      <alignment wrapText="1"/>
    </xf>
    <xf numFmtId="0" fontId="0" fillId="0" borderId="9" xfId="0" applyBorder="1" applyAlignment="1">
      <alignment wrapText="1"/>
    </xf>
    <xf numFmtId="0" fontId="0" fillId="0" borderId="4" xfId="0" applyBorder="1" applyAlignment="1">
      <alignment wrapText="1"/>
    </xf>
    <xf numFmtId="0" fontId="0" fillId="0" borderId="10" xfId="0" applyBorder="1" applyAlignment="1">
      <alignment wrapText="1"/>
    </xf>
    <xf numFmtId="0" fontId="0" fillId="0" borderId="0" xfId="0" applyBorder="1" applyAlignment="1">
      <alignment wrapText="1"/>
    </xf>
    <xf numFmtId="0" fontId="0" fillId="0" borderId="5" xfId="0" applyBorder="1" applyAlignment="1">
      <alignment wrapText="1"/>
    </xf>
    <xf numFmtId="0" fontId="0" fillId="0" borderId="11" xfId="0" applyBorder="1" applyAlignment="1">
      <alignment wrapText="1"/>
    </xf>
    <xf numFmtId="0" fontId="0" fillId="0" borderId="2" xfId="0" applyBorder="1" applyAlignment="1">
      <alignment wrapText="1"/>
    </xf>
    <xf numFmtId="0" fontId="0" fillId="0" borderId="6" xfId="0" applyBorder="1" applyAlignment="1">
      <alignment wrapText="1"/>
    </xf>
    <xf numFmtId="0" fontId="0" fillId="0" borderId="8" xfId="0" applyBorder="1" applyAlignment="1">
      <alignment horizontal="justify"/>
    </xf>
    <xf numFmtId="0" fontId="0" fillId="0" borderId="9" xfId="0" applyBorder="1" applyAlignment="1">
      <alignment horizontal="justify"/>
    </xf>
    <xf numFmtId="0" fontId="0" fillId="0" borderId="4" xfId="0" applyBorder="1" applyAlignment="1">
      <alignment horizontal="justify"/>
    </xf>
    <xf numFmtId="0" fontId="0" fillId="0" borderId="10" xfId="0" applyBorder="1" applyAlignment="1">
      <alignment horizontal="justify"/>
    </xf>
    <xf numFmtId="0" fontId="0" fillId="0" borderId="0" xfId="0" applyBorder="1" applyAlignment="1">
      <alignment horizontal="justify"/>
    </xf>
    <xf numFmtId="0" fontId="0" fillId="0" borderId="5" xfId="0" applyBorder="1" applyAlignment="1">
      <alignment horizontal="justify"/>
    </xf>
    <xf numFmtId="0" fontId="0" fillId="0" borderId="11" xfId="0" applyBorder="1" applyAlignment="1">
      <alignment horizontal="justify"/>
    </xf>
    <xf numFmtId="0" fontId="0" fillId="0" borderId="2" xfId="0" applyBorder="1" applyAlignment="1">
      <alignment horizontal="justify"/>
    </xf>
    <xf numFmtId="0" fontId="0" fillId="0" borderId="6" xfId="0" applyBorder="1" applyAlignment="1">
      <alignment horizontal="justify"/>
    </xf>
    <xf numFmtId="0" fontId="0" fillId="0" borderId="15" xfId="0" applyBorder="1" applyAlignment="1">
      <alignment horizontal="justify" wrapText="1"/>
    </xf>
    <xf numFmtId="0" fontId="0" fillId="0" borderId="7" xfId="0" applyBorder="1" applyAlignment="1">
      <alignment horizontal="justify" wrapText="1"/>
    </xf>
    <xf numFmtId="0" fontId="0" fillId="0" borderId="16" xfId="0" applyBorder="1" applyAlignment="1">
      <alignment horizontal="justify" wrapText="1"/>
    </xf>
    <xf numFmtId="41" fontId="7" fillId="6" borderId="0" xfId="4" applyFont="1" applyFill="1" applyAlignment="1">
      <alignment horizontal="center"/>
    </xf>
    <xf numFmtId="41" fontId="4" fillId="6" borderId="0" xfId="4" applyFill="1"/>
    <xf numFmtId="41" fontId="4" fillId="6" borderId="2" xfId="4" applyFill="1" applyBorder="1"/>
    <xf numFmtId="164" fontId="7" fillId="6" borderId="0" xfId="27" applyNumberFormat="1" applyFont="1" applyFill="1" applyAlignment="1">
      <alignment horizontal="center"/>
    </xf>
  </cellXfs>
  <cellStyles count="71">
    <cellStyle name="Comma" xfId="1" builtinId="3"/>
    <cellStyle name="Comma [0] 2" xfId="46"/>
    <cellStyle name="Comma [0] 3" xfId="49"/>
    <cellStyle name="Comma [0] 4" xfId="47"/>
    <cellStyle name="Comma 13" xfId="21"/>
    <cellStyle name="Comma 2" xfId="2"/>
    <cellStyle name="Comma 2 2" xfId="66"/>
    <cellStyle name="Comma 2 2 2" xfId="11"/>
    <cellStyle name="Comma 2 3" xfId="65"/>
    <cellStyle name="Comma 2 4" xfId="34"/>
    <cellStyle name="Comma 3" xfId="45"/>
    <cellStyle name="Comma 3 2" xfId="67"/>
    <cellStyle name="Comma 4" xfId="12"/>
    <cellStyle name="Comma 4 2" xfId="50"/>
    <cellStyle name="Comma 5" xfId="17"/>
    <cellStyle name="Comma 5 2" xfId="63"/>
    <cellStyle name="Comma 6" xfId="29"/>
    <cellStyle name="Comma 6 2" xfId="26"/>
    <cellStyle name="Comma 7" xfId="69"/>
    <cellStyle name="Comma 8" xfId="70"/>
    <cellStyle name="Currency" xfId="16" builtinId="4"/>
    <cellStyle name="Currency 2 2 2" xfId="14"/>
    <cellStyle name="Normal" xfId="0" builtinId="0"/>
    <cellStyle name="Normal 12" xfId="9"/>
    <cellStyle name="Normal 18" xfId="33"/>
    <cellStyle name="Normal 19" xfId="20"/>
    <cellStyle name="Normal 19 2" xfId="40"/>
    <cellStyle name="Normal 2" xfId="3"/>
    <cellStyle name="Normal 2 2" xfId="10"/>
    <cellStyle name="Normal 2 2 2" xfId="68"/>
    <cellStyle name="Normal 2 2 3" xfId="32"/>
    <cellStyle name="Normal 2 3" xfId="54"/>
    <cellStyle name="Normal 2 4" xfId="64"/>
    <cellStyle name="Normal 2 5" xfId="41"/>
    <cellStyle name="Normal 2_Composite Rates" xfId="59"/>
    <cellStyle name="Normal 22" xfId="42"/>
    <cellStyle name="Normal 3" xfId="38"/>
    <cellStyle name="Normal 3 2" xfId="58"/>
    <cellStyle name="Normal 3_Composite Rates" xfId="60"/>
    <cellStyle name="Normal 4" xfId="43"/>
    <cellStyle name="Normal 4 3" xfId="25"/>
    <cellStyle name="Normal 5" xfId="35"/>
    <cellStyle name="Normal 5 3" xfId="19"/>
    <cellStyle name="Normal 6" xfId="44"/>
    <cellStyle name="Normal 7" xfId="23"/>
    <cellStyle name="Normal 7 2" xfId="24"/>
    <cellStyle name="Normal 7 3" xfId="39"/>
    <cellStyle name="Normal 8" xfId="62"/>
    <cellStyle name="Normal 9" xfId="28"/>
    <cellStyle name="Normal_SHEET" xfId="4"/>
    <cellStyle name="Normal_SHEET_3" xfId="5"/>
    <cellStyle name="Percent" xfId="6" builtinId="5"/>
    <cellStyle name="Percent 11" xfId="22"/>
    <cellStyle name="Percent 2" xfId="7"/>
    <cellStyle name="Percent 2 2" xfId="55"/>
    <cellStyle name="Percent 2 2 2" xfId="15"/>
    <cellStyle name="Percent 3" xfId="13"/>
    <cellStyle name="Percent 3 2" xfId="48"/>
    <cellStyle name="Percent 3 3" xfId="37"/>
    <cellStyle name="Percent 4" xfId="18"/>
    <cellStyle name="Percent 5" xfId="27"/>
    <cellStyle name="Percent 6" xfId="30"/>
    <cellStyle name="SAPBEXaggData" xfId="57"/>
    <cellStyle name="SAPBEXaggItem" xfId="56"/>
    <cellStyle name="SAPBEXchaText" xfId="51"/>
    <cellStyle name="SAPBEXstdData" xfId="53"/>
    <cellStyle name="SAPBEXstdItem" xfId="8"/>
    <cellStyle name="SAPBEXstdItem 2" xfId="36"/>
    <cellStyle name="SAPBEXstdItem 3" xfId="31"/>
    <cellStyle name="SAPBEXstdItem_Composite Rates" xfId="61"/>
    <cellStyle name="SAPBEXstdItemX" xfId="5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62"/>
  <sheetViews>
    <sheetView workbookViewId="0">
      <selection activeCell="G28" sqref="G28"/>
    </sheetView>
  </sheetViews>
  <sheetFormatPr defaultRowHeight="15.75" x14ac:dyDescent="0.25"/>
  <cols>
    <col min="1" max="1" width="3.875" customWidth="1"/>
    <col min="2" max="2" width="1.5" customWidth="1"/>
    <col min="3" max="3" width="49.75" customWidth="1"/>
    <col min="4" max="4" width="2.125" customWidth="1"/>
    <col min="5" max="5" width="12.5" customWidth="1"/>
    <col min="6" max="6" width="1.125" customWidth="1"/>
    <col min="7" max="7" width="11.25" customWidth="1"/>
    <col min="8" max="8" width="1.75" customWidth="1"/>
    <col min="9" max="9" width="12" customWidth="1"/>
  </cols>
  <sheetData>
    <row r="1" spans="1:10" x14ac:dyDescent="0.25">
      <c r="A1" t="s">
        <v>147</v>
      </c>
      <c r="G1" t="s">
        <v>386</v>
      </c>
    </row>
    <row r="2" spans="1:10" x14ac:dyDescent="0.25">
      <c r="A2" t="s">
        <v>148</v>
      </c>
      <c r="G2" t="s">
        <v>260</v>
      </c>
    </row>
    <row r="3" spans="1:10" x14ac:dyDescent="0.25">
      <c r="A3" t="s">
        <v>207</v>
      </c>
      <c r="G3" t="s">
        <v>249</v>
      </c>
    </row>
    <row r="4" spans="1:10" x14ac:dyDescent="0.25">
      <c r="A4" t="s">
        <v>384</v>
      </c>
      <c r="G4" t="s">
        <v>482</v>
      </c>
    </row>
    <row r="6" spans="1:10" x14ac:dyDescent="0.25">
      <c r="C6" s="179"/>
      <c r="G6" s="1" t="s">
        <v>206</v>
      </c>
      <c r="H6" s="1"/>
      <c r="I6" s="1" t="s">
        <v>209</v>
      </c>
    </row>
    <row r="7" spans="1:10" x14ac:dyDescent="0.25">
      <c r="E7" s="1"/>
      <c r="F7" s="1"/>
      <c r="G7" s="1" t="s">
        <v>212</v>
      </c>
      <c r="H7" s="1"/>
      <c r="I7" s="1" t="s">
        <v>210</v>
      </c>
    </row>
    <row r="8" spans="1:10" x14ac:dyDescent="0.25">
      <c r="A8" t="s">
        <v>0</v>
      </c>
      <c r="C8" s="2" t="s">
        <v>1</v>
      </c>
      <c r="E8" s="10" t="s">
        <v>73</v>
      </c>
      <c r="F8" s="1"/>
      <c r="G8" s="10" t="s">
        <v>208</v>
      </c>
      <c r="H8" s="1"/>
      <c r="I8" s="10" t="s">
        <v>211</v>
      </c>
    </row>
    <row r="10" spans="1:10" x14ac:dyDescent="0.25">
      <c r="A10">
        <v>1</v>
      </c>
      <c r="C10" t="s">
        <v>213</v>
      </c>
      <c r="E10" s="42">
        <f>DMR3Sch1!F10</f>
        <v>838124164</v>
      </c>
      <c r="F10" s="42"/>
      <c r="G10" s="42">
        <f>DMR3Sch1!F12</f>
        <v>54518748</v>
      </c>
      <c r="H10" s="42"/>
      <c r="I10" s="42"/>
      <c r="J10" s="42"/>
    </row>
    <row r="11" spans="1:10" x14ac:dyDescent="0.25">
      <c r="A11">
        <v>2</v>
      </c>
      <c r="C11" t="s">
        <v>414</v>
      </c>
      <c r="E11" s="42"/>
      <c r="F11" s="42"/>
      <c r="G11" s="42"/>
      <c r="H11" s="42"/>
      <c r="I11" s="42">
        <f>((E10*DMR3Sch1!F16)-G10)*DMR3Sch1!F22</f>
        <v>10746470.10675008</v>
      </c>
      <c r="J11" s="42"/>
    </row>
    <row r="12" spans="1:10" ht="8.25" customHeight="1" x14ac:dyDescent="0.25">
      <c r="E12" s="42"/>
      <c r="F12" s="42"/>
      <c r="G12" s="42"/>
      <c r="H12" s="42"/>
      <c r="I12" s="42"/>
      <c r="J12" s="42"/>
    </row>
    <row r="13" spans="1:10" x14ac:dyDescent="0.25">
      <c r="C13" s="2" t="s">
        <v>262</v>
      </c>
      <c r="J13" s="42"/>
    </row>
    <row r="14" spans="1:10" x14ac:dyDescent="0.25">
      <c r="A14">
        <v>3</v>
      </c>
      <c r="C14" s="18" t="s">
        <v>266</v>
      </c>
      <c r="E14" s="6">
        <f>DMR3Sch1!H10</f>
        <v>835682807</v>
      </c>
      <c r="G14" s="6">
        <f>DMR3Sch1!H12</f>
        <v>54496241</v>
      </c>
      <c r="J14" s="42"/>
    </row>
    <row r="15" spans="1:10" x14ac:dyDescent="0.25">
      <c r="A15">
        <v>4</v>
      </c>
      <c r="C15" s="18" t="s">
        <v>415</v>
      </c>
      <c r="I15" s="42">
        <f>((E14*DMR3Sch1!H16)-G14)*DMR3Sch1!H22</f>
        <v>10495378.319411743</v>
      </c>
      <c r="J15" s="42"/>
    </row>
    <row r="16" spans="1:10" x14ac:dyDescent="0.25">
      <c r="J16" s="42"/>
    </row>
    <row r="17" spans="1:10" x14ac:dyDescent="0.25">
      <c r="C17" s="180" t="s">
        <v>407</v>
      </c>
      <c r="J17" s="42"/>
    </row>
    <row r="18" spans="1:10" x14ac:dyDescent="0.25">
      <c r="A18">
        <v>5</v>
      </c>
      <c r="C18" s="181" t="s">
        <v>395</v>
      </c>
      <c r="E18" s="6">
        <f>DMR3Sch1!J10</f>
        <v>828023254</v>
      </c>
      <c r="G18" s="6">
        <f>DMR3Sch1!J12</f>
        <v>54792366</v>
      </c>
      <c r="J18" s="42"/>
    </row>
    <row r="19" spans="1:10" x14ac:dyDescent="0.25">
      <c r="A19">
        <v>6</v>
      </c>
      <c r="C19" s="18" t="s">
        <v>415</v>
      </c>
      <c r="I19" s="42">
        <f>((E18*DMR3Sch1!H16)-G18)*DMR3Sch1!H22</f>
        <v>9116218.1797658522</v>
      </c>
      <c r="J19" s="42"/>
    </row>
    <row r="20" spans="1:10" x14ac:dyDescent="0.25">
      <c r="J20" s="42"/>
    </row>
    <row r="21" spans="1:10" x14ac:dyDescent="0.25">
      <c r="C21" s="3" t="s">
        <v>214</v>
      </c>
      <c r="E21" s="42"/>
      <c r="F21" s="42"/>
      <c r="G21" s="42"/>
      <c r="H21" s="42"/>
      <c r="I21" s="42"/>
      <c r="J21" s="42"/>
    </row>
    <row r="22" spans="1:10" x14ac:dyDescent="0.25">
      <c r="A22">
        <v>7</v>
      </c>
      <c r="C22" t="s">
        <v>267</v>
      </c>
      <c r="E22" s="42">
        <f>'Sch3'!G58</f>
        <v>3188308</v>
      </c>
      <c r="F22" s="42"/>
      <c r="G22" s="42">
        <f>'Sch3'!G35</f>
        <v>6376617</v>
      </c>
      <c r="H22" s="42"/>
      <c r="I22" s="144">
        <f>(E22*DMR3Sch1!$L$16*DMR3Sch1!$L$22)-(G22*DMR3Sch1!$L$22)</f>
        <v>-9907231.4574128408</v>
      </c>
      <c r="J22" s="42"/>
    </row>
    <row r="23" spans="1:10" x14ac:dyDescent="0.25">
      <c r="A23">
        <v>8</v>
      </c>
      <c r="C23" t="s">
        <v>366</v>
      </c>
      <c r="E23" s="185">
        <f>'Sch3'!H58</f>
        <v>-2148790</v>
      </c>
      <c r="F23" s="185"/>
      <c r="G23" s="185">
        <f>'Sch3'!H35</f>
        <v>109239.64999999991</v>
      </c>
      <c r="H23" s="185"/>
      <c r="I23" s="186">
        <f>(E23*DMR3Sch1!$L$16*DMR3Sch1!$L$22)-(G23*DMR3Sch1!$L$22)</f>
        <v>-429098.78414551535</v>
      </c>
      <c r="J23" s="42"/>
    </row>
    <row r="24" spans="1:10" x14ac:dyDescent="0.25">
      <c r="A24">
        <v>9</v>
      </c>
      <c r="C24" t="s">
        <v>351</v>
      </c>
      <c r="E24" s="185"/>
      <c r="F24" s="185"/>
      <c r="G24" s="185">
        <f>'Sch3'!I35</f>
        <v>45128.738479500011</v>
      </c>
      <c r="H24" s="185"/>
      <c r="I24" s="186">
        <f>(E24*DMR3Sch1!$L$16*DMR3Sch1!$L$22)-(G24*DMR3Sch1!$L$22)</f>
        <v>-72771.855515690026</v>
      </c>
      <c r="J24" s="42"/>
    </row>
    <row r="25" spans="1:10" x14ac:dyDescent="0.25">
      <c r="A25">
        <v>10</v>
      </c>
      <c r="C25" t="s">
        <v>379</v>
      </c>
      <c r="E25" s="185">
        <f>'Sch3'!J58</f>
        <v>764903</v>
      </c>
      <c r="F25" s="185"/>
      <c r="G25" s="185">
        <f>'Sch3'!J35</f>
        <v>734269.25</v>
      </c>
      <c r="H25" s="185"/>
      <c r="I25" s="186">
        <f>(E25*DMR3Sch1!$L$16*DMR3Sch1!$L$22)-(G25*DMR3Sch1!$L$22)</f>
        <v>-1093997.0506659786</v>
      </c>
      <c r="J25" s="42"/>
    </row>
    <row r="26" spans="1:10" ht="14.25" customHeight="1" x14ac:dyDescent="0.25">
      <c r="A26">
        <v>11</v>
      </c>
      <c r="C26" t="s">
        <v>215</v>
      </c>
      <c r="E26" s="42"/>
      <c r="F26" s="42"/>
      <c r="G26" s="42">
        <f>'Sch3'!K35</f>
        <v>426187.4458635631</v>
      </c>
      <c r="H26" s="42"/>
      <c r="I26" s="144">
        <f>(E26*DMR3Sch1!$L$16*DMR3Sch1!$L$22)-(G26*DMR3Sch1!$L$22)</f>
        <v>-687243.92212010687</v>
      </c>
      <c r="J26" s="42"/>
    </row>
    <row r="27" spans="1:10" x14ac:dyDescent="0.25">
      <c r="A27">
        <v>12</v>
      </c>
      <c r="C27" t="s">
        <v>479</v>
      </c>
      <c r="E27" s="42"/>
      <c r="F27" s="42"/>
      <c r="G27" s="208">
        <f>'Sch3'!L35</f>
        <v>51061.648640839281</v>
      </c>
      <c r="H27" s="208"/>
      <c r="I27" s="212">
        <f>(E27*DMR3Sch1!$L$16*DMR3Sch1!$L$22)-(G27*DMR3Sch1!$L$22)</f>
        <v>-82338.905151803265</v>
      </c>
      <c r="J27" s="42"/>
    </row>
    <row r="28" spans="1:10" ht="17.25" customHeight="1" x14ac:dyDescent="0.25">
      <c r="A28">
        <v>13</v>
      </c>
      <c r="C28" t="s">
        <v>480</v>
      </c>
      <c r="E28" s="42"/>
      <c r="F28" s="42"/>
      <c r="G28" s="208">
        <f>'Sch3'!M35</f>
        <v>116000.55526853602</v>
      </c>
      <c r="H28" s="208"/>
      <c r="I28" s="212">
        <f>(E28*DMR3Sch1!$L$16*DMR3Sch1!$L$22)-(G28*DMR3Sch1!$L$22)</f>
        <v>-187055.43146472733</v>
      </c>
      <c r="J28" s="42"/>
    </row>
    <row r="29" spans="1:10" x14ac:dyDescent="0.25">
      <c r="A29">
        <v>14</v>
      </c>
      <c r="C29" t="s">
        <v>481</v>
      </c>
      <c r="E29" s="42"/>
      <c r="F29" s="42"/>
      <c r="G29" s="208">
        <f>'Sch3'!N35</f>
        <v>11882.363123409999</v>
      </c>
      <c r="H29" s="208"/>
      <c r="I29" s="212">
        <f>(E29*DMR3Sch1!$L$16*DMR3Sch1!$L$22)-(G29*DMR3Sch1!$L$22)</f>
        <v>-19160.775185296869</v>
      </c>
      <c r="J29" s="42"/>
    </row>
    <row r="30" spans="1:10" x14ac:dyDescent="0.25">
      <c r="A30">
        <v>15</v>
      </c>
      <c r="C30" t="s">
        <v>236</v>
      </c>
      <c r="E30" s="42"/>
      <c r="F30" s="42"/>
      <c r="G30" s="42">
        <f>'Sch3'!O35</f>
        <v>20951</v>
      </c>
      <c r="H30" s="42"/>
      <c r="I30" s="145">
        <f>(E30*DMR3Sch1!$L$16*DMR3Sch1!$L$22)-(G30*DMR3Sch1!$L$22)</f>
        <v>-33784.306769439158</v>
      </c>
      <c r="J30" s="42"/>
    </row>
    <row r="31" spans="1:10" x14ac:dyDescent="0.25">
      <c r="E31" s="42"/>
      <c r="F31" s="42"/>
      <c r="G31" s="42"/>
      <c r="H31" s="42"/>
      <c r="I31" s="162"/>
      <c r="J31" s="42"/>
    </row>
    <row r="32" spans="1:10" ht="16.5" thickBot="1" x14ac:dyDescent="0.3">
      <c r="A32">
        <v>16</v>
      </c>
      <c r="C32" t="s">
        <v>243</v>
      </c>
      <c r="E32" s="42"/>
      <c r="F32" s="42"/>
      <c r="G32" s="42"/>
      <c r="H32" s="42"/>
      <c r="I32" s="163">
        <f>SUM(I19:I30)</f>
        <v>-3396464.3086655461</v>
      </c>
      <c r="J32" s="42"/>
    </row>
    <row r="33" spans="3:10" ht="16.5" thickTop="1" x14ac:dyDescent="0.25">
      <c r="E33" s="42"/>
      <c r="F33" s="42"/>
      <c r="G33" s="42"/>
      <c r="H33" s="42"/>
      <c r="I33" s="144"/>
      <c r="J33" s="42"/>
    </row>
    <row r="34" spans="3:10" x14ac:dyDescent="0.25">
      <c r="E34" s="42"/>
      <c r="F34" s="42"/>
      <c r="G34" s="42"/>
      <c r="H34" s="42"/>
      <c r="I34" s="42"/>
      <c r="J34" s="42"/>
    </row>
    <row r="35" spans="3:10" x14ac:dyDescent="0.25">
      <c r="C35" s="3" t="s">
        <v>387</v>
      </c>
      <c r="E35" s="42"/>
      <c r="F35" s="42"/>
      <c r="G35" s="42"/>
      <c r="H35" s="42"/>
      <c r="I35" s="42"/>
      <c r="J35" s="42"/>
    </row>
    <row r="36" spans="3:10" x14ac:dyDescent="0.25">
      <c r="C36" s="13" t="s">
        <v>263</v>
      </c>
      <c r="E36" s="42"/>
      <c r="F36" s="42"/>
      <c r="G36" s="42"/>
      <c r="H36" s="42"/>
      <c r="I36" s="42"/>
      <c r="J36" s="42"/>
    </row>
    <row r="37" spans="3:10" x14ac:dyDescent="0.25">
      <c r="C37" t="s">
        <v>409</v>
      </c>
      <c r="E37" s="42"/>
      <c r="F37" s="42"/>
      <c r="G37" s="42"/>
      <c r="H37" s="42"/>
      <c r="I37" s="42"/>
      <c r="J37" s="42"/>
    </row>
    <row r="38" spans="3:10" x14ac:dyDescent="0.25">
      <c r="C38" t="s">
        <v>410</v>
      </c>
      <c r="E38" s="42"/>
      <c r="F38" s="42"/>
      <c r="G38" s="42"/>
      <c r="H38" s="42"/>
      <c r="I38" s="42"/>
      <c r="J38" s="42"/>
    </row>
    <row r="39" spans="3:10" x14ac:dyDescent="0.25">
      <c r="C39" s="13" t="s">
        <v>411</v>
      </c>
      <c r="E39" s="42"/>
      <c r="F39" s="42"/>
      <c r="G39" s="42"/>
      <c r="H39" s="42"/>
      <c r="I39" s="42"/>
      <c r="J39" s="42"/>
    </row>
    <row r="40" spans="3:10" x14ac:dyDescent="0.25">
      <c r="C40" t="s">
        <v>412</v>
      </c>
      <c r="E40" s="42"/>
      <c r="F40" s="42"/>
      <c r="G40" s="42"/>
      <c r="H40" s="42"/>
      <c r="I40" s="42"/>
      <c r="J40" s="42"/>
    </row>
    <row r="41" spans="3:10" x14ac:dyDescent="0.25">
      <c r="C41" t="s">
        <v>413</v>
      </c>
      <c r="E41" s="42"/>
      <c r="F41" s="42"/>
      <c r="G41" s="42"/>
      <c r="H41" s="42"/>
      <c r="I41" s="42"/>
      <c r="J41" s="42"/>
    </row>
    <row r="42" spans="3:10" x14ac:dyDescent="0.25">
      <c r="E42" s="42"/>
      <c r="F42" s="42"/>
      <c r="G42" s="42"/>
      <c r="H42" s="42"/>
      <c r="I42" s="42"/>
      <c r="J42" s="42"/>
    </row>
    <row r="43" spans="3:10" x14ac:dyDescent="0.25">
      <c r="E43" s="42"/>
      <c r="F43" s="42"/>
      <c r="G43" s="42"/>
      <c r="H43" s="42"/>
      <c r="I43" s="42"/>
      <c r="J43" s="42"/>
    </row>
    <row r="44" spans="3:10" x14ac:dyDescent="0.25">
      <c r="E44" s="42"/>
      <c r="F44" s="42"/>
      <c r="G44" s="42"/>
      <c r="H44" s="42"/>
      <c r="I44" s="42"/>
      <c r="J44" s="42"/>
    </row>
    <row r="45" spans="3:10" x14ac:dyDescent="0.25">
      <c r="E45" s="42"/>
      <c r="F45" s="42"/>
      <c r="G45" s="42"/>
      <c r="H45" s="42"/>
      <c r="I45" s="42"/>
      <c r="J45" s="42"/>
    </row>
    <row r="46" spans="3:10" x14ac:dyDescent="0.25">
      <c r="E46" s="42"/>
      <c r="F46" s="42"/>
      <c r="G46" s="42"/>
      <c r="H46" s="42"/>
      <c r="I46" s="42"/>
      <c r="J46" s="42"/>
    </row>
    <row r="47" spans="3:10" x14ac:dyDescent="0.25">
      <c r="E47" s="42"/>
      <c r="F47" s="42"/>
      <c r="G47" s="42"/>
      <c r="H47" s="42"/>
      <c r="I47" s="42"/>
      <c r="J47" s="42"/>
    </row>
    <row r="48" spans="3:10" x14ac:dyDescent="0.25">
      <c r="E48" s="42"/>
      <c r="F48" s="42"/>
      <c r="G48" s="42"/>
      <c r="H48" s="42"/>
      <c r="I48" s="42"/>
      <c r="J48" s="42"/>
    </row>
    <row r="49" spans="5:10" x14ac:dyDescent="0.25">
      <c r="E49" s="42"/>
      <c r="F49" s="42"/>
      <c r="G49" s="42"/>
      <c r="H49" s="42"/>
      <c r="I49" s="42"/>
      <c r="J49" s="42"/>
    </row>
    <row r="50" spans="5:10" x14ac:dyDescent="0.25">
      <c r="E50" s="42"/>
      <c r="F50" s="42"/>
      <c r="G50" s="42"/>
      <c r="H50" s="42"/>
      <c r="I50" s="42"/>
      <c r="J50" s="42"/>
    </row>
    <row r="51" spans="5:10" x14ac:dyDescent="0.25">
      <c r="E51" s="42"/>
      <c r="F51" s="42"/>
      <c r="G51" s="42"/>
      <c r="H51" s="42"/>
      <c r="I51" s="42"/>
      <c r="J51" s="42"/>
    </row>
    <row r="52" spans="5:10" x14ac:dyDescent="0.25">
      <c r="E52" s="42"/>
      <c r="F52" s="42"/>
      <c r="G52" s="42"/>
      <c r="H52" s="42"/>
      <c r="I52" s="42"/>
      <c r="J52" s="42"/>
    </row>
    <row r="53" spans="5:10" x14ac:dyDescent="0.25">
      <c r="E53" s="42"/>
      <c r="F53" s="42"/>
      <c r="G53" s="42"/>
      <c r="H53" s="42"/>
      <c r="I53" s="42"/>
      <c r="J53" s="42"/>
    </row>
    <row r="54" spans="5:10" x14ac:dyDescent="0.25">
      <c r="E54" s="42"/>
      <c r="F54" s="42"/>
      <c r="G54" s="42"/>
      <c r="H54" s="42"/>
      <c r="I54" s="42"/>
      <c r="J54" s="42"/>
    </row>
    <row r="55" spans="5:10" x14ac:dyDescent="0.25">
      <c r="E55" s="42"/>
      <c r="F55" s="42"/>
      <c r="G55" s="42"/>
      <c r="H55" s="42"/>
      <c r="I55" s="42"/>
      <c r="J55" s="42"/>
    </row>
    <row r="56" spans="5:10" x14ac:dyDescent="0.25">
      <c r="E56" s="42"/>
      <c r="F56" s="42"/>
      <c r="G56" s="42"/>
      <c r="H56" s="42"/>
      <c r="I56" s="42"/>
      <c r="J56" s="42"/>
    </row>
    <row r="57" spans="5:10" x14ac:dyDescent="0.25">
      <c r="E57" s="42"/>
      <c r="F57" s="42"/>
      <c r="G57" s="42"/>
      <c r="H57" s="42"/>
      <c r="I57" s="42"/>
      <c r="J57" s="42"/>
    </row>
    <row r="58" spans="5:10" x14ac:dyDescent="0.25">
      <c r="E58" s="42"/>
      <c r="F58" s="42"/>
      <c r="G58" s="42"/>
      <c r="H58" s="42"/>
      <c r="I58" s="42"/>
      <c r="J58" s="42"/>
    </row>
    <row r="59" spans="5:10" x14ac:dyDescent="0.25">
      <c r="E59" s="42"/>
      <c r="F59" s="42"/>
      <c r="G59" s="42"/>
      <c r="H59" s="42"/>
      <c r="I59" s="42"/>
      <c r="J59" s="42"/>
    </row>
    <row r="60" spans="5:10" x14ac:dyDescent="0.25">
      <c r="E60" s="42"/>
      <c r="F60" s="42"/>
      <c r="G60" s="42"/>
      <c r="H60" s="42"/>
      <c r="I60" s="42"/>
      <c r="J60" s="42"/>
    </row>
    <row r="61" spans="5:10" x14ac:dyDescent="0.25">
      <c r="J61" s="42"/>
    </row>
    <row r="62" spans="5:10" x14ac:dyDescent="0.25">
      <c r="J62" s="42"/>
    </row>
  </sheetData>
  <pageMargins left="0.7" right="0.7" top="0.75" bottom="0.75" header="0.3" footer="0.3"/>
  <pageSetup scale="81"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topLeftCell="A9" workbookViewId="0">
      <selection activeCell="C41" sqref="C41"/>
    </sheetView>
  </sheetViews>
  <sheetFormatPr defaultRowHeight="15.75" x14ac:dyDescent="0.25"/>
  <cols>
    <col min="1" max="1" width="4.375" customWidth="1"/>
    <col min="2" max="2" width="1.125" customWidth="1"/>
    <col min="3" max="3" width="30.375" customWidth="1"/>
    <col min="4" max="4" width="10.125" customWidth="1"/>
    <col min="5" max="5" width="9.75" bestFit="1" customWidth="1"/>
    <col min="6" max="6" width="1.625" customWidth="1"/>
  </cols>
  <sheetData>
    <row r="1" spans="1:7" x14ac:dyDescent="0.25">
      <c r="A1" t="s">
        <v>253</v>
      </c>
      <c r="G1" t="s">
        <v>386</v>
      </c>
    </row>
    <row r="2" spans="1:7" x14ac:dyDescent="0.25">
      <c r="A2" t="s">
        <v>147</v>
      </c>
      <c r="G2" t="s">
        <v>261</v>
      </c>
    </row>
    <row r="3" spans="1:7" x14ac:dyDescent="0.25">
      <c r="A3" t="s">
        <v>148</v>
      </c>
      <c r="G3" t="s">
        <v>445</v>
      </c>
    </row>
    <row r="4" spans="1:7" x14ac:dyDescent="0.25">
      <c r="A4" t="s">
        <v>140</v>
      </c>
    </row>
    <row r="5" spans="1:7" x14ac:dyDescent="0.25">
      <c r="A5" t="s">
        <v>384</v>
      </c>
    </row>
    <row r="7" spans="1:7" x14ac:dyDescent="0.25">
      <c r="A7" t="s">
        <v>133</v>
      </c>
    </row>
    <row r="8" spans="1:7" x14ac:dyDescent="0.25">
      <c r="E8" t="s">
        <v>134</v>
      </c>
      <c r="G8" s="1" t="s">
        <v>139</v>
      </c>
    </row>
    <row r="9" spans="1:7" x14ac:dyDescent="0.25">
      <c r="A9" s="2" t="s">
        <v>0</v>
      </c>
      <c r="C9" s="79" t="s">
        <v>126</v>
      </c>
      <c r="E9" s="2" t="s">
        <v>135</v>
      </c>
      <c r="G9" s="10" t="s">
        <v>130</v>
      </c>
    </row>
    <row r="10" spans="1:7" x14ac:dyDescent="0.25">
      <c r="A10">
        <v>1</v>
      </c>
      <c r="C10" s="51">
        <v>41821</v>
      </c>
      <c r="E10" s="77">
        <v>5280</v>
      </c>
      <c r="G10" s="80"/>
    </row>
    <row r="11" spans="1:7" x14ac:dyDescent="0.25">
      <c r="A11">
        <v>2</v>
      </c>
      <c r="C11" s="51">
        <v>41852</v>
      </c>
      <c r="E11" s="77">
        <v>5274.5</v>
      </c>
      <c r="G11" s="80">
        <f t="shared" ref="G11:G17" si="0">E11-E10</f>
        <v>-5.5</v>
      </c>
    </row>
    <row r="12" spans="1:7" x14ac:dyDescent="0.25">
      <c r="A12">
        <v>3</v>
      </c>
      <c r="C12" s="51">
        <v>41883</v>
      </c>
      <c r="E12" s="77">
        <v>5261</v>
      </c>
      <c r="G12" s="80">
        <f t="shared" si="0"/>
        <v>-13.5</v>
      </c>
    </row>
    <row r="13" spans="1:7" x14ac:dyDescent="0.25">
      <c r="A13">
        <v>4</v>
      </c>
      <c r="C13" s="51">
        <v>41913</v>
      </c>
      <c r="E13" s="77">
        <v>5235.5</v>
      </c>
      <c r="G13" s="80">
        <f t="shared" si="0"/>
        <v>-25.5</v>
      </c>
    </row>
    <row r="14" spans="1:7" x14ac:dyDescent="0.25">
      <c r="A14">
        <v>5</v>
      </c>
      <c r="C14" s="51">
        <v>41944</v>
      </c>
      <c r="E14" s="77">
        <v>5243</v>
      </c>
      <c r="G14" s="80">
        <f t="shared" si="0"/>
        <v>7.5</v>
      </c>
    </row>
    <row r="15" spans="1:7" x14ac:dyDescent="0.25">
      <c r="A15">
        <v>6</v>
      </c>
      <c r="C15" s="51">
        <v>41974</v>
      </c>
      <c r="E15" s="77">
        <v>5256</v>
      </c>
      <c r="G15" s="80">
        <f t="shared" si="0"/>
        <v>13</v>
      </c>
    </row>
    <row r="16" spans="1:7" x14ac:dyDescent="0.25">
      <c r="A16">
        <v>7</v>
      </c>
      <c r="C16" s="51">
        <v>42005</v>
      </c>
      <c r="E16" s="77">
        <v>5239.5</v>
      </c>
      <c r="G16" s="80">
        <f t="shared" si="0"/>
        <v>-16.5</v>
      </c>
    </row>
    <row r="17" spans="1:7" x14ac:dyDescent="0.25">
      <c r="A17">
        <v>8</v>
      </c>
      <c r="C17" s="51">
        <v>42036</v>
      </c>
      <c r="E17" s="77">
        <v>5237</v>
      </c>
      <c r="G17" s="80">
        <f t="shared" si="0"/>
        <v>-2.5</v>
      </c>
    </row>
    <row r="18" spans="1:7" x14ac:dyDescent="0.25">
      <c r="A18">
        <v>9</v>
      </c>
      <c r="C18" s="51">
        <v>42064</v>
      </c>
      <c r="E18" s="77">
        <v>5241</v>
      </c>
      <c r="G18" s="80">
        <f t="shared" ref="G18:G27" si="1">E18-E17</f>
        <v>4</v>
      </c>
    </row>
    <row r="19" spans="1:7" x14ac:dyDescent="0.25">
      <c r="A19">
        <v>10</v>
      </c>
      <c r="C19" s="51">
        <v>42095</v>
      </c>
      <c r="E19" s="77">
        <v>5230</v>
      </c>
      <c r="G19" s="80">
        <f t="shared" si="1"/>
        <v>-11</v>
      </c>
    </row>
    <row r="20" spans="1:7" x14ac:dyDescent="0.25">
      <c r="A20">
        <v>11</v>
      </c>
      <c r="C20" s="51">
        <v>42125</v>
      </c>
      <c r="E20" s="78">
        <v>5232.5</v>
      </c>
      <c r="G20" s="80">
        <f t="shared" si="1"/>
        <v>2.5</v>
      </c>
    </row>
    <row r="21" spans="1:7" x14ac:dyDescent="0.25">
      <c r="A21">
        <v>12</v>
      </c>
      <c r="C21" s="51">
        <v>42156</v>
      </c>
      <c r="E21" s="77">
        <v>5231.5</v>
      </c>
      <c r="G21" s="80">
        <f t="shared" si="1"/>
        <v>-1</v>
      </c>
    </row>
    <row r="22" spans="1:7" x14ac:dyDescent="0.25">
      <c r="A22">
        <v>13</v>
      </c>
      <c r="C22" s="51">
        <v>42186</v>
      </c>
      <c r="E22" s="77">
        <v>5212.5</v>
      </c>
      <c r="G22" s="80">
        <f t="shared" si="1"/>
        <v>-19</v>
      </c>
    </row>
    <row r="23" spans="1:7" x14ac:dyDescent="0.25">
      <c r="A23">
        <v>14</v>
      </c>
      <c r="C23" s="51">
        <v>42217</v>
      </c>
      <c r="E23" s="77">
        <v>5216</v>
      </c>
      <c r="G23" s="80">
        <f t="shared" si="1"/>
        <v>3.5</v>
      </c>
    </row>
    <row r="24" spans="1:7" x14ac:dyDescent="0.25">
      <c r="A24">
        <v>15</v>
      </c>
      <c r="C24" s="51">
        <v>42248</v>
      </c>
      <c r="E24" s="77">
        <v>5190</v>
      </c>
      <c r="G24" s="80">
        <f t="shared" si="1"/>
        <v>-26</v>
      </c>
    </row>
    <row r="25" spans="1:7" x14ac:dyDescent="0.25">
      <c r="A25">
        <v>16</v>
      </c>
      <c r="C25" s="51">
        <v>42278</v>
      </c>
      <c r="E25" s="77">
        <v>5174.5</v>
      </c>
      <c r="G25" s="80">
        <f t="shared" si="1"/>
        <v>-15.5</v>
      </c>
    </row>
    <row r="26" spans="1:7" x14ac:dyDescent="0.25">
      <c r="A26">
        <v>17</v>
      </c>
      <c r="C26" s="51">
        <v>42309</v>
      </c>
      <c r="E26" s="77">
        <v>5163</v>
      </c>
      <c r="G26" s="80">
        <f t="shared" si="1"/>
        <v>-11.5</v>
      </c>
    </row>
    <row r="27" spans="1:7" x14ac:dyDescent="0.25">
      <c r="A27">
        <v>18</v>
      </c>
      <c r="C27" s="51">
        <v>42339</v>
      </c>
      <c r="E27" s="77">
        <v>5128</v>
      </c>
      <c r="G27" s="80">
        <f t="shared" si="1"/>
        <v>-35</v>
      </c>
    </row>
    <row r="29" spans="1:7" x14ac:dyDescent="0.25">
      <c r="A29">
        <v>19</v>
      </c>
      <c r="C29" t="s">
        <v>246</v>
      </c>
      <c r="E29" s="80">
        <f>ROUND(AVERAGE(E10:E21),0)</f>
        <v>5247</v>
      </c>
      <c r="G29" t="s">
        <v>144</v>
      </c>
    </row>
    <row r="30" spans="1:7" x14ac:dyDescent="0.25">
      <c r="A30">
        <v>20</v>
      </c>
      <c r="C30" t="s">
        <v>322</v>
      </c>
      <c r="E30" s="81">
        <f>E27</f>
        <v>5128</v>
      </c>
      <c r="G30" t="s">
        <v>177</v>
      </c>
    </row>
    <row r="31" spans="1:7" ht="16.5" thickBot="1" x14ac:dyDescent="0.3">
      <c r="A31">
        <v>21</v>
      </c>
      <c r="C31" t="s">
        <v>247</v>
      </c>
      <c r="E31" s="82">
        <f>E30-E29</f>
        <v>-119</v>
      </c>
      <c r="G31" t="s">
        <v>178</v>
      </c>
    </row>
    <row r="32" spans="1:7" ht="16.5" thickTop="1" x14ac:dyDescent="0.25"/>
    <row r="33" spans="1:7" x14ac:dyDescent="0.25">
      <c r="A33">
        <v>2</v>
      </c>
      <c r="C33" t="s">
        <v>248</v>
      </c>
    </row>
    <row r="34" spans="1:7" ht="16.5" thickBot="1" x14ac:dyDescent="0.3">
      <c r="C34" t="s">
        <v>136</v>
      </c>
      <c r="E34" s="83">
        <f>ROUND(E31/E29,4)</f>
        <v>-2.2700000000000001E-2</v>
      </c>
      <c r="G34" t="s">
        <v>179</v>
      </c>
    </row>
    <row r="35" spans="1:7" ht="16.5" thickTop="1" x14ac:dyDescent="0.25"/>
    <row r="36" spans="1:7" ht="16.5" thickBot="1" x14ac:dyDescent="0.3">
      <c r="A36">
        <v>23</v>
      </c>
      <c r="C36" t="s">
        <v>323</v>
      </c>
      <c r="E36" s="84">
        <f>E27-E10</f>
        <v>-152</v>
      </c>
      <c r="G36" t="s">
        <v>180</v>
      </c>
    </row>
    <row r="37" spans="1:7" ht="16.5" thickTop="1" x14ac:dyDescent="0.25"/>
    <row r="38" spans="1:7" x14ac:dyDescent="0.25">
      <c r="C38" s="3" t="s">
        <v>12</v>
      </c>
    </row>
    <row r="39" spans="1:7" x14ac:dyDescent="0.25">
      <c r="C39" t="s">
        <v>458</v>
      </c>
    </row>
    <row r="40" spans="1:7" x14ac:dyDescent="0.25">
      <c r="C40" t="s">
        <v>459</v>
      </c>
    </row>
  </sheetData>
  <pageMargins left="0.7" right="0.7" top="0.75" bottom="0.75" header="0.3" footer="0.3"/>
  <pageSetup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workbookViewId="0">
      <selection activeCell="C24" sqref="C24"/>
    </sheetView>
  </sheetViews>
  <sheetFormatPr defaultRowHeight="15.75" x14ac:dyDescent="0.25"/>
  <cols>
    <col min="1" max="1" width="4" customWidth="1"/>
    <col min="2" max="2" width="1.125" customWidth="1"/>
    <col min="3" max="3" width="49.5" customWidth="1"/>
    <col min="5" max="5" width="3.625" customWidth="1"/>
    <col min="6" max="6" width="14.25" customWidth="1"/>
    <col min="7" max="7" width="9.375" customWidth="1"/>
  </cols>
  <sheetData>
    <row r="1" spans="1:11" x14ac:dyDescent="0.25">
      <c r="A1" t="s">
        <v>254</v>
      </c>
      <c r="F1" t="s">
        <v>386</v>
      </c>
    </row>
    <row r="2" spans="1:11" x14ac:dyDescent="0.25">
      <c r="A2" t="s">
        <v>147</v>
      </c>
      <c r="F2" t="s">
        <v>261</v>
      </c>
    </row>
    <row r="3" spans="1:11" x14ac:dyDescent="0.25">
      <c r="A3" t="s">
        <v>148</v>
      </c>
      <c r="F3" t="s">
        <v>446</v>
      </c>
    </row>
    <row r="4" spans="1:11" x14ac:dyDescent="0.25">
      <c r="A4" t="s">
        <v>140</v>
      </c>
      <c r="K4" s="5"/>
    </row>
    <row r="5" spans="1:11" x14ac:dyDescent="0.25">
      <c r="A5" t="s">
        <v>384</v>
      </c>
    </row>
    <row r="7" spans="1:11" x14ac:dyDescent="0.25">
      <c r="A7" t="s">
        <v>131</v>
      </c>
    </row>
    <row r="9" spans="1:11" x14ac:dyDescent="0.25">
      <c r="A9" t="s">
        <v>0</v>
      </c>
    </row>
    <row r="10" spans="1:11" x14ac:dyDescent="0.25">
      <c r="A10" s="2" t="s">
        <v>3</v>
      </c>
      <c r="C10" s="2" t="s">
        <v>1</v>
      </c>
      <c r="F10" s="10" t="s">
        <v>2</v>
      </c>
    </row>
    <row r="12" spans="1:11" x14ac:dyDescent="0.25">
      <c r="A12">
        <v>1</v>
      </c>
      <c r="C12" s="18" t="s">
        <v>324</v>
      </c>
      <c r="F12" s="76">
        <v>486489592</v>
      </c>
    </row>
    <row r="13" spans="1:11" x14ac:dyDescent="0.25">
      <c r="A13">
        <v>2</v>
      </c>
      <c r="C13" s="18" t="s">
        <v>325</v>
      </c>
      <c r="F13" s="42">
        <v>32290295</v>
      </c>
    </row>
    <row r="14" spans="1:11" x14ac:dyDescent="0.25">
      <c r="A14">
        <v>3</v>
      </c>
      <c r="C14" s="18" t="s">
        <v>326</v>
      </c>
      <c r="F14" s="42">
        <v>40409903</v>
      </c>
    </row>
    <row r="15" spans="1:11" x14ac:dyDescent="0.25">
      <c r="A15">
        <v>4</v>
      </c>
      <c r="C15" t="s">
        <v>173</v>
      </c>
      <c r="F15" s="42">
        <v>58081129</v>
      </c>
    </row>
    <row r="16" spans="1:11" x14ac:dyDescent="0.25">
      <c r="A16">
        <v>5</v>
      </c>
      <c r="C16" t="s">
        <v>174</v>
      </c>
      <c r="F16" s="42">
        <v>32404711</v>
      </c>
    </row>
    <row r="17" spans="1:6" x14ac:dyDescent="0.25">
      <c r="A17">
        <v>6</v>
      </c>
      <c r="C17" t="s">
        <v>175</v>
      </c>
      <c r="F17" s="43">
        <v>26816664</v>
      </c>
    </row>
    <row r="18" spans="1:6" ht="16.5" thickBot="1" x14ac:dyDescent="0.3">
      <c r="A18">
        <v>7</v>
      </c>
      <c r="C18" t="s">
        <v>132</v>
      </c>
      <c r="F18" s="73">
        <f>SUM(F12:F17)</f>
        <v>676492294</v>
      </c>
    </row>
    <row r="19" spans="1:6" ht="16.5" thickTop="1" x14ac:dyDescent="0.25">
      <c r="F19" s="42"/>
    </row>
    <row r="20" spans="1:6" x14ac:dyDescent="0.25">
      <c r="F20" s="42"/>
    </row>
    <row r="21" spans="1:6" x14ac:dyDescent="0.25">
      <c r="F21" s="42"/>
    </row>
    <row r="22" spans="1:6" x14ac:dyDescent="0.25">
      <c r="C22" s="3" t="s">
        <v>12</v>
      </c>
      <c r="F22" s="42"/>
    </row>
    <row r="23" spans="1:6" x14ac:dyDescent="0.25">
      <c r="C23" t="s">
        <v>327</v>
      </c>
      <c r="F23" s="42"/>
    </row>
    <row r="24" spans="1:6" x14ac:dyDescent="0.25">
      <c r="F24" s="42"/>
    </row>
    <row r="25" spans="1:6" x14ac:dyDescent="0.25">
      <c r="F25" s="165"/>
    </row>
    <row r="26" spans="1:6" x14ac:dyDescent="0.25">
      <c r="F26" s="44"/>
    </row>
    <row r="27" spans="1:6" x14ac:dyDescent="0.25">
      <c r="F27" s="44"/>
    </row>
    <row r="28" spans="1:6" x14ac:dyDescent="0.25">
      <c r="F28" s="44"/>
    </row>
    <row r="29" spans="1:6" x14ac:dyDescent="0.25">
      <c r="F29" s="44"/>
    </row>
    <row r="30" spans="1:6" x14ac:dyDescent="0.25">
      <c r="F30" s="44"/>
    </row>
    <row r="31" spans="1:6" x14ac:dyDescent="0.25">
      <c r="F31" s="44"/>
    </row>
    <row r="32" spans="1:6" x14ac:dyDescent="0.25">
      <c r="F32" s="4"/>
    </row>
  </sheetData>
  <pageMargins left="0.7" right="0.7" top="0.75" bottom="0.75" header="0.3" footer="0.3"/>
  <pageSetup scale="93"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6"/>
  <sheetViews>
    <sheetView topLeftCell="A4" workbookViewId="0">
      <selection activeCell="A4" sqref="A4"/>
    </sheetView>
  </sheetViews>
  <sheetFormatPr defaultRowHeight="15.75" x14ac:dyDescent="0.25"/>
  <cols>
    <col min="1" max="1" width="21.75" style="74" customWidth="1"/>
    <col min="2" max="2" width="15.5" style="74" customWidth="1"/>
    <col min="3" max="3" width="9.625" style="74" customWidth="1"/>
    <col min="4" max="4" width="12" style="74" customWidth="1"/>
    <col min="5" max="5" width="10.875" style="74" customWidth="1"/>
    <col min="6" max="6" width="12.125" style="74" customWidth="1"/>
    <col min="7" max="16384" width="9" style="74"/>
  </cols>
  <sheetData>
    <row r="1" spans="1:8" x14ac:dyDescent="0.25">
      <c r="A1" s="74" t="s">
        <v>255</v>
      </c>
      <c r="B1"/>
      <c r="C1"/>
      <c r="D1"/>
      <c r="E1" t="s">
        <v>386</v>
      </c>
    </row>
    <row r="2" spans="1:8" x14ac:dyDescent="0.25">
      <c r="A2" t="s">
        <v>147</v>
      </c>
      <c r="B2"/>
      <c r="C2"/>
      <c r="D2"/>
      <c r="E2" t="s">
        <v>261</v>
      </c>
    </row>
    <row r="3" spans="1:8" x14ac:dyDescent="0.25">
      <c r="A3" t="s">
        <v>148</v>
      </c>
      <c r="B3"/>
      <c r="C3"/>
      <c r="D3"/>
      <c r="E3" t="s">
        <v>447</v>
      </c>
    </row>
    <row r="4" spans="1:8" x14ac:dyDescent="0.25">
      <c r="A4" t="s">
        <v>140</v>
      </c>
      <c r="B4"/>
      <c r="C4"/>
      <c r="D4"/>
      <c r="E4"/>
    </row>
    <row r="5" spans="1:8" ht="15.75" customHeight="1" x14ac:dyDescent="0.25">
      <c r="A5" t="s">
        <v>384</v>
      </c>
      <c r="B5"/>
      <c r="C5"/>
      <c r="D5"/>
      <c r="E5"/>
      <c r="F5"/>
    </row>
    <row r="6" spans="1:8" x14ac:dyDescent="0.25">
      <c r="A6" s="112"/>
      <c r="B6" s="113" t="s">
        <v>64</v>
      </c>
      <c r="C6" s="114"/>
      <c r="D6" s="29" t="s">
        <v>169</v>
      </c>
      <c r="E6" s="29" t="s">
        <v>8</v>
      </c>
      <c r="F6" s="29" t="s">
        <v>145</v>
      </c>
    </row>
    <row r="7" spans="1:8" x14ac:dyDescent="0.25">
      <c r="A7" s="115" t="s">
        <v>74</v>
      </c>
      <c r="B7" s="116" t="s">
        <v>385</v>
      </c>
      <c r="C7" s="117" t="s">
        <v>8</v>
      </c>
      <c r="D7" s="118" t="s">
        <v>75</v>
      </c>
      <c r="E7" s="118" t="s">
        <v>72</v>
      </c>
      <c r="F7" s="118" t="s">
        <v>2</v>
      </c>
    </row>
    <row r="8" spans="1:8" x14ac:dyDescent="0.25">
      <c r="A8" s="86" t="s">
        <v>154</v>
      </c>
      <c r="B8" s="122">
        <v>67884043.425930023</v>
      </c>
      <c r="C8" s="123">
        <f t="shared" ref="C8:C39" si="0">B8/$B$88</f>
        <v>9.7688313701874058E-2</v>
      </c>
      <c r="D8" s="120">
        <f t="shared" ref="D8:D39" si="1">C8*$D$88</f>
        <v>-1500138.3783236162</v>
      </c>
      <c r="E8" s="135">
        <v>0</v>
      </c>
      <c r="F8" s="120">
        <f>D8*E8</f>
        <v>0</v>
      </c>
      <c r="G8" s="88"/>
      <c r="H8" s="88"/>
    </row>
    <row r="9" spans="1:8" x14ac:dyDescent="0.25">
      <c r="A9" s="86" t="s">
        <v>155</v>
      </c>
      <c r="B9" s="122">
        <v>7473965.8163556829</v>
      </c>
      <c r="C9" s="123">
        <f t="shared" si="0"/>
        <v>1.075538639742178E-2</v>
      </c>
      <c r="D9" s="120">
        <f t="shared" si="1"/>
        <v>-165163.74678870788</v>
      </c>
      <c r="E9" s="135">
        <v>0.22437004168265501</v>
      </c>
      <c r="F9" s="120">
        <f t="shared" ref="F9:F72" si="2">D9*E9</f>
        <v>-37057.796751445865</v>
      </c>
      <c r="G9" s="88"/>
      <c r="H9" s="88"/>
    </row>
    <row r="10" spans="1:8" x14ac:dyDescent="0.25">
      <c r="A10" s="86" t="s">
        <v>66</v>
      </c>
      <c r="B10" s="122">
        <v>5688.354078993184</v>
      </c>
      <c r="C10" s="123">
        <f t="shared" si="0"/>
        <v>8.1858075870560602E-6</v>
      </c>
      <c r="D10" s="120">
        <f t="shared" si="1"/>
        <v>-125.70433098467801</v>
      </c>
      <c r="E10" s="135">
        <v>8.2285226967736394E-2</v>
      </c>
      <c r="F10" s="120">
        <f t="shared" si="2"/>
        <v>-10.343609405901688</v>
      </c>
      <c r="G10" s="88"/>
      <c r="H10" s="88"/>
    </row>
    <row r="11" spans="1:8" x14ac:dyDescent="0.25">
      <c r="A11" s="86" t="s">
        <v>156</v>
      </c>
      <c r="B11" s="124">
        <v>1840130.5347571312</v>
      </c>
      <c r="C11" s="123">
        <f t="shared" si="0"/>
        <v>2.6480339098818076E-3</v>
      </c>
      <c r="D11" s="120">
        <f t="shared" si="1"/>
        <v>-40664.201732861242</v>
      </c>
      <c r="E11" s="135">
        <v>0</v>
      </c>
      <c r="F11" s="120">
        <f t="shared" si="2"/>
        <v>0</v>
      </c>
      <c r="G11" s="88"/>
      <c r="H11" s="88"/>
    </row>
    <row r="12" spans="1:8" x14ac:dyDescent="0.25">
      <c r="A12" s="173" t="s">
        <v>157</v>
      </c>
      <c r="B12" s="122">
        <v>651466.40833665896</v>
      </c>
      <c r="C12" s="123">
        <f t="shared" si="0"/>
        <v>9.3749063332187381E-4</v>
      </c>
      <c r="D12" s="120">
        <f t="shared" si="1"/>
        <v>-14396.457724278191</v>
      </c>
      <c r="E12" s="135">
        <v>0.22730931045735822</v>
      </c>
      <c r="F12" s="120">
        <f t="shared" si="2"/>
        <v>-3272.448878334184</v>
      </c>
      <c r="G12" s="88"/>
      <c r="H12" s="88"/>
    </row>
    <row r="13" spans="1:8" x14ac:dyDescent="0.25">
      <c r="A13" s="86" t="s">
        <v>67</v>
      </c>
      <c r="B13" s="122">
        <v>325823.58490444999</v>
      </c>
      <c r="C13" s="123">
        <f t="shared" si="0"/>
        <v>4.6887537876768779E-4</v>
      </c>
      <c r="D13" s="120">
        <f t="shared" si="1"/>
        <v>-7200.2261446236516</v>
      </c>
      <c r="E13" s="135">
        <v>7.6800559158639092E-2</v>
      </c>
      <c r="F13" s="120">
        <f t="shared" si="2"/>
        <v>-552.98139397574857</v>
      </c>
      <c r="G13" s="88"/>
      <c r="H13" s="88"/>
    </row>
    <row r="14" spans="1:8" x14ac:dyDescent="0.25">
      <c r="A14" s="86" t="s">
        <v>277</v>
      </c>
      <c r="B14" s="122">
        <v>119826.97067672609</v>
      </c>
      <c r="C14" s="123">
        <f t="shared" si="0"/>
        <v>1.7243661559709033E-4</v>
      </c>
      <c r="D14" s="120">
        <f t="shared" si="1"/>
        <v>-2648.0013328397681</v>
      </c>
      <c r="E14" s="135">
        <v>0</v>
      </c>
      <c r="F14" s="120">
        <f t="shared" si="2"/>
        <v>0</v>
      </c>
      <c r="G14" s="88"/>
      <c r="H14" s="88"/>
    </row>
    <row r="15" spans="1:8" x14ac:dyDescent="0.25">
      <c r="A15" s="86" t="s">
        <v>158</v>
      </c>
      <c r="B15" s="122">
        <v>2139.63</v>
      </c>
      <c r="C15" s="123">
        <f t="shared" si="0"/>
        <v>3.0790276491706669E-6</v>
      </c>
      <c r="D15" s="120">
        <f t="shared" si="1"/>
        <v>-47.282703216033198</v>
      </c>
      <c r="E15" s="135">
        <v>0.22565052397253504</v>
      </c>
      <c r="F15" s="120">
        <f t="shared" si="2"/>
        <v>-10.669366755535759</v>
      </c>
      <c r="G15" s="88"/>
      <c r="H15" s="88"/>
    </row>
    <row r="16" spans="1:8" x14ac:dyDescent="0.25">
      <c r="A16" s="86" t="s">
        <v>278</v>
      </c>
      <c r="B16" s="122">
        <v>32126887.385325186</v>
      </c>
      <c r="C16" s="123">
        <f t="shared" si="0"/>
        <v>4.6232093652270982E-2</v>
      </c>
      <c r="D16" s="120">
        <f t="shared" si="1"/>
        <v>-709957.3671593928</v>
      </c>
      <c r="E16" s="135">
        <v>0</v>
      </c>
      <c r="F16" s="120">
        <f t="shared" si="2"/>
        <v>0</v>
      </c>
      <c r="G16" s="88"/>
      <c r="H16" s="88"/>
    </row>
    <row r="17" spans="1:8" x14ac:dyDescent="0.25">
      <c r="A17" s="86" t="s">
        <v>279</v>
      </c>
      <c r="B17" s="122">
        <v>18043997.810790766</v>
      </c>
      <c r="C17" s="123">
        <f t="shared" si="0"/>
        <v>2.5966156840668598E-2</v>
      </c>
      <c r="D17" s="120">
        <f t="shared" si="1"/>
        <v>-398746.04175412224</v>
      </c>
      <c r="E17" s="135">
        <v>0.22437004168265501</v>
      </c>
      <c r="F17" s="120">
        <f t="shared" si="2"/>
        <v>-89466.666009166103</v>
      </c>
      <c r="G17" s="88"/>
      <c r="H17" s="88"/>
    </row>
    <row r="18" spans="1:8" x14ac:dyDescent="0.25">
      <c r="A18" s="86" t="s">
        <v>280</v>
      </c>
      <c r="B18" s="122">
        <v>-82229.878538628589</v>
      </c>
      <c r="C18" s="123">
        <f t="shared" si="0"/>
        <v>-1.1833264144192363E-4</v>
      </c>
      <c r="D18" s="120">
        <f t="shared" si="1"/>
        <v>1817.1604167227199</v>
      </c>
      <c r="E18" s="135">
        <v>0.22565052397253504</v>
      </c>
      <c r="F18" s="120">
        <f t="shared" si="2"/>
        <v>410.04320017563185</v>
      </c>
      <c r="G18" s="88"/>
      <c r="H18" s="88"/>
    </row>
    <row r="19" spans="1:8" x14ac:dyDescent="0.25">
      <c r="A19" s="86" t="s">
        <v>159</v>
      </c>
      <c r="B19" s="122">
        <v>7468677.1259951256</v>
      </c>
      <c r="C19" s="123">
        <f t="shared" si="0"/>
        <v>1.0747775724619445E-2</v>
      </c>
      <c r="D19" s="120">
        <f t="shared" si="1"/>
        <v>-165046.87444315295</v>
      </c>
      <c r="E19" s="135">
        <v>0</v>
      </c>
      <c r="F19" s="120">
        <f t="shared" si="2"/>
        <v>0</v>
      </c>
      <c r="G19" s="88"/>
      <c r="H19" s="88"/>
    </row>
    <row r="20" spans="1:8" x14ac:dyDescent="0.25">
      <c r="A20" s="86" t="s">
        <v>160</v>
      </c>
      <c r="B20" s="122">
        <v>7865931.746117129</v>
      </c>
      <c r="C20" s="123">
        <f t="shared" si="0"/>
        <v>1.1319443704184341E-2</v>
      </c>
      <c r="D20" s="120">
        <f t="shared" si="1"/>
        <v>-173825.6223128438</v>
      </c>
      <c r="E20" s="135">
        <v>0.22565052397253504</v>
      </c>
      <c r="F20" s="120">
        <f t="shared" si="2"/>
        <v>-39223.842754745179</v>
      </c>
      <c r="G20" s="88"/>
      <c r="H20" s="88"/>
    </row>
    <row r="21" spans="1:8" x14ac:dyDescent="0.25">
      <c r="A21" s="86" t="s">
        <v>281</v>
      </c>
      <c r="B21" s="122">
        <v>990352.84525628691</v>
      </c>
      <c r="C21" s="123">
        <f t="shared" si="0"/>
        <v>1.4251640671419574E-3</v>
      </c>
      <c r="D21" s="120">
        <f t="shared" si="1"/>
        <v>-21885.353851557076</v>
      </c>
      <c r="E21" s="135">
        <v>0</v>
      </c>
      <c r="F21" s="120">
        <f t="shared" si="2"/>
        <v>0</v>
      </c>
      <c r="G21" s="88"/>
      <c r="H21" s="88"/>
    </row>
    <row r="22" spans="1:8" x14ac:dyDescent="0.25">
      <c r="A22" s="86" t="s">
        <v>282</v>
      </c>
      <c r="B22" s="122">
        <v>2788048.901278784</v>
      </c>
      <c r="C22" s="123">
        <f t="shared" si="0"/>
        <v>4.0121327772919971E-3</v>
      </c>
      <c r="D22" s="120">
        <f t="shared" si="1"/>
        <v>-61611.815477887394</v>
      </c>
      <c r="E22" s="135">
        <v>0.22565052397253504</v>
      </c>
      <c r="F22" s="120">
        <f t="shared" si="2"/>
        <v>-13902.738445484436</v>
      </c>
      <c r="G22" s="88"/>
      <c r="H22" s="88"/>
    </row>
    <row r="23" spans="1:8" x14ac:dyDescent="0.25">
      <c r="A23" s="86" t="s">
        <v>283</v>
      </c>
      <c r="B23" s="122">
        <v>54802.150907052463</v>
      </c>
      <c r="C23" s="123">
        <f t="shared" si="0"/>
        <v>7.8862858474052931E-5</v>
      </c>
      <c r="D23" s="120">
        <f t="shared" si="1"/>
        <v>-1211.0476282994846</v>
      </c>
      <c r="E23" s="135">
        <v>0</v>
      </c>
      <c r="F23" s="120">
        <f t="shared" si="2"/>
        <v>0</v>
      </c>
      <c r="G23" s="88"/>
      <c r="H23" s="88"/>
    </row>
    <row r="24" spans="1:8" x14ac:dyDescent="0.25">
      <c r="A24" s="86" t="s">
        <v>284</v>
      </c>
      <c r="B24" s="122">
        <v>17719.469690664984</v>
      </c>
      <c r="C24" s="123">
        <f t="shared" si="0"/>
        <v>2.5499145696311553E-5</v>
      </c>
      <c r="D24" s="120">
        <f t="shared" si="1"/>
        <v>-391.57444349219634</v>
      </c>
      <c r="E24" s="135">
        <v>0.22565052397253504</v>
      </c>
      <c r="F24" s="120">
        <f t="shared" si="2"/>
        <v>-88.358978348267925</v>
      </c>
      <c r="G24" s="88"/>
      <c r="H24" s="88"/>
    </row>
    <row r="25" spans="1:8" x14ac:dyDescent="0.25">
      <c r="A25" s="86" t="s">
        <v>285</v>
      </c>
      <c r="B25" s="122">
        <v>4986210.316771457</v>
      </c>
      <c r="C25" s="123">
        <f t="shared" si="0"/>
        <v>7.1753898711082497E-3</v>
      </c>
      <c r="D25" s="120">
        <f t="shared" si="1"/>
        <v>-110187.97763193995</v>
      </c>
      <c r="E25" s="135">
        <v>0</v>
      </c>
      <c r="F25" s="120">
        <f t="shared" si="2"/>
        <v>0</v>
      </c>
      <c r="G25" s="88"/>
      <c r="H25" s="88"/>
    </row>
    <row r="26" spans="1:8" x14ac:dyDescent="0.25">
      <c r="A26" s="86" t="s">
        <v>286</v>
      </c>
      <c r="B26" s="122">
        <v>1718632.846716661</v>
      </c>
      <c r="C26" s="123">
        <f t="shared" si="0"/>
        <v>2.4731930538520641E-3</v>
      </c>
      <c r="D26" s="120">
        <f t="shared" si="1"/>
        <v>-37979.279982347492</v>
      </c>
      <c r="E26" s="135">
        <v>0.22565052397253504</v>
      </c>
      <c r="F26" s="120">
        <f t="shared" si="2"/>
        <v>-8570.0444281163236</v>
      </c>
      <c r="G26" s="88"/>
      <c r="H26" s="88"/>
    </row>
    <row r="27" spans="1:8" x14ac:dyDescent="0.25">
      <c r="A27" s="86" t="s">
        <v>287</v>
      </c>
      <c r="B27" s="122">
        <v>505.11772648143074</v>
      </c>
      <c r="C27" s="123">
        <f t="shared" si="0"/>
        <v>7.2688803481094933E-7</v>
      </c>
      <c r="D27" s="120">
        <f t="shared" si="1"/>
        <v>-11.162365245569992</v>
      </c>
      <c r="E27" s="135">
        <v>0</v>
      </c>
      <c r="F27" s="120">
        <f t="shared" si="2"/>
        <v>0</v>
      </c>
      <c r="G27" s="88"/>
      <c r="H27" s="88"/>
    </row>
    <row r="28" spans="1:8" x14ac:dyDescent="0.25">
      <c r="A28" s="86" t="s">
        <v>288</v>
      </c>
      <c r="B28" s="122">
        <v>1872310.5679591252</v>
      </c>
      <c r="C28" s="123">
        <f t="shared" si="0"/>
        <v>2.6943424828501103E-3</v>
      </c>
      <c r="D28" s="120">
        <f t="shared" si="1"/>
        <v>-41375.333545077367</v>
      </c>
      <c r="E28" s="135">
        <v>8.2285226967736394E-2</v>
      </c>
      <c r="F28" s="120">
        <f t="shared" si="2"/>
        <v>-3404.5787116224883</v>
      </c>
      <c r="G28" s="88"/>
      <c r="H28" s="88"/>
    </row>
    <row r="29" spans="1:8" x14ac:dyDescent="0.25">
      <c r="A29" s="86" t="s">
        <v>289</v>
      </c>
      <c r="B29" s="122">
        <v>1978477.6022114239</v>
      </c>
      <c r="C29" s="123">
        <f t="shared" si="0"/>
        <v>2.8471218110018358E-3</v>
      </c>
      <c r="D29" s="120">
        <f t="shared" si="1"/>
        <v>-43721.470200423319</v>
      </c>
      <c r="E29" s="135">
        <v>0</v>
      </c>
      <c r="F29" s="120">
        <f t="shared" si="2"/>
        <v>0</v>
      </c>
      <c r="G29" s="88"/>
      <c r="H29" s="88"/>
    </row>
    <row r="30" spans="1:8" x14ac:dyDescent="0.25">
      <c r="A30" s="86" t="s">
        <v>290</v>
      </c>
      <c r="B30" s="122">
        <v>899293.5980669097</v>
      </c>
      <c r="C30" s="123">
        <f t="shared" si="0"/>
        <v>1.2941255512262343E-3</v>
      </c>
      <c r="D30" s="120">
        <f t="shared" si="1"/>
        <v>-19873.077261711762</v>
      </c>
      <c r="E30" s="135">
        <v>0.22565052397253504</v>
      </c>
      <c r="F30" s="120">
        <f t="shared" si="2"/>
        <v>-4484.3702970519307</v>
      </c>
      <c r="G30" s="88"/>
      <c r="H30" s="88"/>
    </row>
    <row r="31" spans="1:8" x14ac:dyDescent="0.25">
      <c r="A31" s="86" t="s">
        <v>68</v>
      </c>
      <c r="B31" s="122">
        <v>26766065.187209137</v>
      </c>
      <c r="C31" s="123">
        <f t="shared" si="0"/>
        <v>3.851761976179123E-2</v>
      </c>
      <c r="D31" s="120">
        <f t="shared" si="1"/>
        <v>-591491.01316947676</v>
      </c>
      <c r="E31" s="135">
        <v>8.2285226967736394E-2</v>
      </c>
      <c r="F31" s="120">
        <f t="shared" si="2"/>
        <v>-48670.972268026751</v>
      </c>
      <c r="G31" s="88"/>
      <c r="H31" s="88"/>
    </row>
    <row r="32" spans="1:8" x14ac:dyDescent="0.25">
      <c r="A32" s="86" t="s">
        <v>161</v>
      </c>
      <c r="B32" s="122">
        <v>9704036.161406856</v>
      </c>
      <c r="C32" s="123">
        <f t="shared" si="0"/>
        <v>1.3964561933382731E-2</v>
      </c>
      <c r="D32" s="120">
        <f t="shared" si="1"/>
        <v>-214445.04975975023</v>
      </c>
      <c r="E32" s="135">
        <v>0</v>
      </c>
      <c r="F32" s="120">
        <f t="shared" si="2"/>
        <v>0</v>
      </c>
      <c r="G32" s="88"/>
      <c r="H32" s="88"/>
    </row>
    <row r="33" spans="1:8" x14ac:dyDescent="0.25">
      <c r="A33" s="86" t="s">
        <v>162</v>
      </c>
      <c r="B33" s="122">
        <v>134529.60273698869</v>
      </c>
      <c r="C33" s="123">
        <f t="shared" si="0"/>
        <v>1.9359439083352448E-4</v>
      </c>
      <c r="D33" s="120">
        <f t="shared" si="1"/>
        <v>-2972.9080635361647</v>
      </c>
      <c r="E33" s="135">
        <v>0.22565052397253504</v>
      </c>
      <c r="F33" s="120">
        <f t="shared" si="2"/>
        <v>-670.83826225911002</v>
      </c>
      <c r="G33" s="88"/>
      <c r="H33" s="88"/>
    </row>
    <row r="34" spans="1:8" x14ac:dyDescent="0.25">
      <c r="A34" s="86" t="s">
        <v>163</v>
      </c>
      <c r="B34" s="122">
        <v>1640286.7030886197</v>
      </c>
      <c r="C34" s="123">
        <f t="shared" si="0"/>
        <v>2.3604492886045046E-3</v>
      </c>
      <c r="D34" s="120">
        <f t="shared" si="1"/>
        <v>-36247.944444294</v>
      </c>
      <c r="E34" s="135">
        <v>0.22437004168265501</v>
      </c>
      <c r="F34" s="120">
        <f t="shared" si="2"/>
        <v>-8132.9528058768083</v>
      </c>
      <c r="G34" s="88"/>
      <c r="H34" s="88"/>
    </row>
    <row r="35" spans="1:8" x14ac:dyDescent="0.25">
      <c r="A35" s="86" t="s">
        <v>164</v>
      </c>
      <c r="B35" s="122">
        <v>3902219.1207062858</v>
      </c>
      <c r="C35" s="123">
        <f t="shared" si="0"/>
        <v>5.6154758373069651E-3</v>
      </c>
      <c r="D35" s="120">
        <f t="shared" si="1"/>
        <v>-86233.352761124741</v>
      </c>
      <c r="E35" s="135">
        <v>0</v>
      </c>
      <c r="F35" s="120">
        <f t="shared" si="2"/>
        <v>0</v>
      </c>
      <c r="G35" s="88"/>
      <c r="H35" s="88"/>
    </row>
    <row r="36" spans="1:8" x14ac:dyDescent="0.25">
      <c r="A36" s="86" t="s">
        <v>165</v>
      </c>
      <c r="B36" s="122">
        <v>204315.4936260535</v>
      </c>
      <c r="C36" s="123">
        <f t="shared" si="0"/>
        <v>2.940195519919668E-4</v>
      </c>
      <c r="D36" s="120">
        <f t="shared" si="1"/>
        <v>-4515.0744977206396</v>
      </c>
      <c r="E36" s="135">
        <v>0.22565052397253504</v>
      </c>
      <c r="F36" s="120">
        <f t="shared" si="2"/>
        <v>-1018.8289261856928</v>
      </c>
      <c r="G36" s="88"/>
      <c r="H36" s="88"/>
    </row>
    <row r="37" spans="1:8" x14ac:dyDescent="0.25">
      <c r="A37" s="86" t="s">
        <v>69</v>
      </c>
      <c r="B37" s="122">
        <v>15257490.955798399</v>
      </c>
      <c r="C37" s="123">
        <f t="shared" si="0"/>
        <v>2.195624314011051E-2</v>
      </c>
      <c r="D37" s="120">
        <f t="shared" si="1"/>
        <v>-337168.30325071455</v>
      </c>
      <c r="E37" s="135">
        <v>8.2285226967736394E-2</v>
      </c>
      <c r="F37" s="120">
        <f t="shared" si="2"/>
        <v>-27743.970359311621</v>
      </c>
      <c r="G37" s="88"/>
      <c r="H37" s="88"/>
    </row>
    <row r="38" spans="1:8" x14ac:dyDescent="0.25">
      <c r="A38" s="86" t="s">
        <v>166</v>
      </c>
      <c r="B38" s="122">
        <v>23950.698454310346</v>
      </c>
      <c r="C38" s="123">
        <f t="shared" si="0"/>
        <v>3.4466175347032296E-5</v>
      </c>
      <c r="D38" s="120">
        <f t="shared" si="1"/>
        <v>-529.27551344478309</v>
      </c>
      <c r="E38" s="135">
        <v>0.22437004168265501</v>
      </c>
      <c r="F38" s="120">
        <f t="shared" si="2"/>
        <v>-118.75356901321462</v>
      </c>
      <c r="G38" s="88"/>
      <c r="H38" s="88"/>
    </row>
    <row r="39" spans="1:8" x14ac:dyDescent="0.25">
      <c r="A39" s="86" t="s">
        <v>291</v>
      </c>
      <c r="B39" s="122">
        <v>-2077143.3667929284</v>
      </c>
      <c r="C39" s="123">
        <f t="shared" si="0"/>
        <v>-2.9891064612324911E-3</v>
      </c>
      <c r="D39" s="120">
        <f t="shared" si="1"/>
        <v>45901.839733609093</v>
      </c>
      <c r="E39" s="135">
        <v>0</v>
      </c>
      <c r="F39" s="120">
        <f t="shared" si="2"/>
        <v>0</v>
      </c>
      <c r="G39" s="88"/>
      <c r="H39" s="88"/>
    </row>
    <row r="40" spans="1:8" x14ac:dyDescent="0.25">
      <c r="A40" s="86" t="s">
        <v>292</v>
      </c>
      <c r="B40" s="122">
        <v>50701.957012414874</v>
      </c>
      <c r="C40" s="123">
        <f t="shared" ref="C40:C71" si="3">B40/$B$88</f>
        <v>7.296248767697592E-5</v>
      </c>
      <c r="D40" s="120">
        <f t="shared" ref="D40:D71" si="4">C40*$D$88</f>
        <v>-1120.4393217005211</v>
      </c>
      <c r="E40" s="135">
        <v>0.22565052397253504</v>
      </c>
      <c r="F40" s="120">
        <f t="shared" si="2"/>
        <v>-252.82772002115433</v>
      </c>
      <c r="G40" s="88"/>
      <c r="H40" s="88"/>
    </row>
    <row r="41" spans="1:8" x14ac:dyDescent="0.25">
      <c r="A41" s="86" t="s">
        <v>293</v>
      </c>
      <c r="B41" s="122">
        <v>3602262.440574009</v>
      </c>
      <c r="C41" s="123">
        <f t="shared" si="3"/>
        <v>5.183824144406453E-3</v>
      </c>
      <c r="D41" s="120">
        <f t="shared" si="4"/>
        <v>-79604.747495559641</v>
      </c>
      <c r="E41" s="135">
        <v>8.2285226967736394E-2</v>
      </c>
      <c r="F41" s="120">
        <f t="shared" si="2"/>
        <v>-6550.2947153814703</v>
      </c>
      <c r="G41" s="88"/>
      <c r="H41" s="88"/>
    </row>
    <row r="42" spans="1:8" x14ac:dyDescent="0.25">
      <c r="A42" s="86" t="s">
        <v>294</v>
      </c>
      <c r="B42" s="122">
        <v>79030.443447199534</v>
      </c>
      <c r="C42" s="123">
        <f t="shared" si="3"/>
        <v>1.1372850469480523E-4</v>
      </c>
      <c r="D42" s="120">
        <f t="shared" si="4"/>
        <v>-1746.4575662826896</v>
      </c>
      <c r="E42" s="135">
        <v>0.22437004168265501</v>
      </c>
      <c r="F42" s="120">
        <f t="shared" si="2"/>
        <v>-391.85275694383529</v>
      </c>
      <c r="G42" s="88"/>
      <c r="H42" s="88"/>
    </row>
    <row r="43" spans="1:8" x14ac:dyDescent="0.25">
      <c r="A43" s="86" t="s">
        <v>115</v>
      </c>
      <c r="B43" s="122">
        <v>769363.03456823027</v>
      </c>
      <c r="C43" s="123">
        <f t="shared" si="3"/>
        <v>1.1071493929723497E-3</v>
      </c>
      <c r="D43" s="120">
        <f t="shared" si="4"/>
        <v>-17001.801259505766</v>
      </c>
      <c r="E43" s="135">
        <v>0</v>
      </c>
      <c r="F43" s="120">
        <f t="shared" si="2"/>
        <v>0</v>
      </c>
      <c r="G43" s="88"/>
      <c r="H43" s="88"/>
    </row>
    <row r="44" spans="1:8" x14ac:dyDescent="0.25">
      <c r="A44" s="86" t="s">
        <v>295</v>
      </c>
      <c r="B44" s="122">
        <v>1171533.2413468305</v>
      </c>
      <c r="C44" s="123">
        <f t="shared" si="3"/>
        <v>1.6858911316580078E-3</v>
      </c>
      <c r="D44" s="120">
        <f t="shared" si="4"/>
        <v>-25889.176426914739</v>
      </c>
      <c r="E44" s="135">
        <v>0</v>
      </c>
      <c r="F44" s="120">
        <f t="shared" si="2"/>
        <v>0</v>
      </c>
      <c r="G44" s="88"/>
      <c r="H44" s="88"/>
    </row>
    <row r="45" spans="1:8" x14ac:dyDescent="0.25">
      <c r="A45" s="86" t="s">
        <v>116</v>
      </c>
      <c r="B45" s="122">
        <v>7611604.7200949928</v>
      </c>
      <c r="C45" s="123">
        <f t="shared" si="3"/>
        <v>1.095345521783226E-2</v>
      </c>
      <c r="D45" s="120">
        <f t="shared" si="4"/>
        <v>-168205.36587073887</v>
      </c>
      <c r="E45" s="135">
        <v>0</v>
      </c>
      <c r="F45" s="120">
        <f t="shared" si="2"/>
        <v>0</v>
      </c>
      <c r="G45" s="88"/>
      <c r="H45" s="88"/>
    </row>
    <row r="46" spans="1:8" x14ac:dyDescent="0.25">
      <c r="A46" s="86" t="s">
        <v>70</v>
      </c>
      <c r="B46" s="122">
        <v>22783021.431030944</v>
      </c>
      <c r="C46" s="123">
        <f t="shared" si="3"/>
        <v>3.2785833493544268E-2</v>
      </c>
      <c r="D46" s="120">
        <f t="shared" si="4"/>
        <v>-503471.55381442589</v>
      </c>
      <c r="E46" s="135">
        <v>6.3308872574412173E-2</v>
      </c>
      <c r="F46" s="120">
        <f t="shared" si="2"/>
        <v>-31874.216445278791</v>
      </c>
      <c r="G46" s="88"/>
      <c r="H46" s="88"/>
    </row>
    <row r="47" spans="1:8" x14ac:dyDescent="0.25">
      <c r="A47" s="86" t="s">
        <v>127</v>
      </c>
      <c r="B47" s="122">
        <v>8978274.9582358953</v>
      </c>
      <c r="C47" s="123">
        <f t="shared" si="3"/>
        <v>1.2920157615225499E-2</v>
      </c>
      <c r="D47" s="120">
        <f t="shared" si="4"/>
        <v>-198406.78539850848</v>
      </c>
      <c r="E47" s="135">
        <v>0</v>
      </c>
      <c r="F47" s="120">
        <f t="shared" si="2"/>
        <v>0</v>
      </c>
      <c r="G47" s="88"/>
      <c r="H47" s="88"/>
    </row>
    <row r="48" spans="1:8" x14ac:dyDescent="0.25">
      <c r="A48" s="86" t="s">
        <v>117</v>
      </c>
      <c r="B48" s="122">
        <v>1595821.2432592155</v>
      </c>
      <c r="C48" s="123">
        <f t="shared" si="3"/>
        <v>2.2964614120801414E-3</v>
      </c>
      <c r="D48" s="120">
        <f t="shared" si="4"/>
        <v>-35265.322616932179</v>
      </c>
      <c r="E48" s="135">
        <v>1</v>
      </c>
      <c r="F48" s="120">
        <f t="shared" si="2"/>
        <v>-35265.322616932179</v>
      </c>
      <c r="G48" s="88"/>
      <c r="H48" s="88"/>
    </row>
    <row r="49" spans="1:8" x14ac:dyDescent="0.25">
      <c r="A49" s="86" t="s">
        <v>128</v>
      </c>
      <c r="B49" s="122">
        <v>2099728.7106250674</v>
      </c>
      <c r="C49" s="123">
        <f t="shared" si="3"/>
        <v>3.0216078274150466E-3</v>
      </c>
      <c r="D49" s="120">
        <f t="shared" si="4"/>
        <v>-46400.942900720736</v>
      </c>
      <c r="E49" s="135">
        <v>0</v>
      </c>
      <c r="F49" s="120">
        <f t="shared" si="2"/>
        <v>0</v>
      </c>
      <c r="G49" s="88"/>
      <c r="H49" s="88"/>
    </row>
    <row r="50" spans="1:8" x14ac:dyDescent="0.25">
      <c r="A50" s="86" t="s">
        <v>129</v>
      </c>
      <c r="B50" s="122">
        <v>210694.69676372391</v>
      </c>
      <c r="C50" s="123">
        <f t="shared" si="3"/>
        <v>3.0319952368827101E-4</v>
      </c>
      <c r="D50" s="120">
        <f t="shared" si="4"/>
        <v>-4656.045585578473</v>
      </c>
      <c r="E50" s="135">
        <v>0</v>
      </c>
      <c r="F50" s="120">
        <f t="shared" si="2"/>
        <v>0</v>
      </c>
      <c r="G50" s="88"/>
      <c r="H50" s="88"/>
    </row>
    <row r="51" spans="1:8" x14ac:dyDescent="0.25">
      <c r="A51" s="86" t="s">
        <v>296</v>
      </c>
      <c r="B51" s="122">
        <v>2388140.3720043534</v>
      </c>
      <c r="C51" s="123">
        <f t="shared" si="3"/>
        <v>3.4366456983226661E-3</v>
      </c>
      <c r="D51" s="120">
        <f t="shared" si="4"/>
        <v>-52774.420085579732</v>
      </c>
      <c r="E51" s="135">
        <v>0</v>
      </c>
      <c r="F51" s="120">
        <f t="shared" si="2"/>
        <v>0</v>
      </c>
      <c r="G51" s="88"/>
      <c r="H51" s="88"/>
    </row>
    <row r="52" spans="1:8" x14ac:dyDescent="0.25">
      <c r="A52" s="86" t="s">
        <v>297</v>
      </c>
      <c r="B52" s="122">
        <v>2338721.3480784995</v>
      </c>
      <c r="C52" s="123">
        <f t="shared" si="3"/>
        <v>3.3655294113652339E-3</v>
      </c>
      <c r="D52" s="120">
        <f t="shared" si="4"/>
        <v>-51682.331714453794</v>
      </c>
      <c r="E52" s="135">
        <v>0</v>
      </c>
      <c r="F52" s="120">
        <f t="shared" si="2"/>
        <v>0</v>
      </c>
      <c r="G52" s="88"/>
      <c r="H52" s="88"/>
    </row>
    <row r="53" spans="1:8" x14ac:dyDescent="0.25">
      <c r="A53" s="86" t="s">
        <v>298</v>
      </c>
      <c r="B53" s="122">
        <v>11729860.600978389</v>
      </c>
      <c r="C53" s="123">
        <f t="shared" si="3"/>
        <v>1.6879818057949327E-2</v>
      </c>
      <c r="D53" s="120">
        <f t="shared" si="4"/>
        <v>-259212.8160296416</v>
      </c>
      <c r="E53" s="135">
        <v>0</v>
      </c>
      <c r="F53" s="120">
        <f t="shared" si="2"/>
        <v>0</v>
      </c>
      <c r="G53" s="88"/>
      <c r="H53" s="88"/>
    </row>
    <row r="54" spans="1:8" x14ac:dyDescent="0.25">
      <c r="A54" s="86" t="s">
        <v>299</v>
      </c>
      <c r="B54" s="122">
        <v>8556255.8106250465</v>
      </c>
      <c r="C54" s="123">
        <f t="shared" si="3"/>
        <v>1.2312852322266792E-2</v>
      </c>
      <c r="D54" s="120">
        <f t="shared" si="4"/>
        <v>-189080.77758034971</v>
      </c>
      <c r="E54" s="135">
        <v>6.3308872574412173E-2</v>
      </c>
      <c r="F54" s="120">
        <f t="shared" si="2"/>
        <v>-11970.49085410513</v>
      </c>
      <c r="G54" s="88"/>
      <c r="H54" s="88"/>
    </row>
    <row r="55" spans="1:8" x14ac:dyDescent="0.25">
      <c r="A55" s="86" t="s">
        <v>300</v>
      </c>
      <c r="B55" s="122">
        <v>15203315.496409655</v>
      </c>
      <c r="C55" s="123">
        <f t="shared" si="3"/>
        <v>2.1878282120044206E-2</v>
      </c>
      <c r="D55" s="120">
        <f t="shared" si="4"/>
        <v>-335971.10459119384</v>
      </c>
      <c r="E55" s="135">
        <v>0</v>
      </c>
      <c r="F55" s="120">
        <f t="shared" si="2"/>
        <v>0</v>
      </c>
      <c r="G55" s="88"/>
      <c r="H55" s="88"/>
    </row>
    <row r="56" spans="1:8" x14ac:dyDescent="0.25">
      <c r="A56" s="86" t="s">
        <v>301</v>
      </c>
      <c r="B56" s="122">
        <v>1776047.9294476043</v>
      </c>
      <c r="C56" s="123">
        <f t="shared" si="3"/>
        <v>2.5558160434381119E-3</v>
      </c>
      <c r="D56" s="120">
        <f t="shared" si="4"/>
        <v>-39248.069594051936</v>
      </c>
      <c r="E56" s="135">
        <v>1</v>
      </c>
      <c r="F56" s="120">
        <f t="shared" si="2"/>
        <v>-39248.069594051936</v>
      </c>
      <c r="G56" s="88"/>
      <c r="H56" s="88"/>
    </row>
    <row r="57" spans="1:8" x14ac:dyDescent="0.25">
      <c r="A57" s="86" t="s">
        <v>302</v>
      </c>
      <c r="B57" s="122">
        <v>2589172.4950823546</v>
      </c>
      <c r="C57" s="123">
        <f t="shared" si="3"/>
        <v>3.7259403265194322E-3</v>
      </c>
      <c r="D57" s="120">
        <f t="shared" si="4"/>
        <v>-57216.936881654845</v>
      </c>
      <c r="E57" s="135">
        <v>0</v>
      </c>
      <c r="F57" s="120">
        <f t="shared" si="2"/>
        <v>0</v>
      </c>
      <c r="G57" s="88"/>
      <c r="H57" s="88"/>
    </row>
    <row r="58" spans="1:8" x14ac:dyDescent="0.25">
      <c r="A58" s="86" t="s">
        <v>303</v>
      </c>
      <c r="B58" s="122">
        <v>423247.94893862976</v>
      </c>
      <c r="C58" s="123">
        <f t="shared" si="3"/>
        <v>6.0907359554540532E-4</v>
      </c>
      <c r="D58" s="120">
        <f t="shared" si="4"/>
        <v>-9353.1625357935736</v>
      </c>
      <c r="E58" s="135">
        <v>0</v>
      </c>
      <c r="F58" s="120">
        <f t="shared" si="2"/>
        <v>0</v>
      </c>
      <c r="G58" s="88"/>
      <c r="H58" s="88"/>
    </row>
    <row r="59" spans="1:8" x14ac:dyDescent="0.25">
      <c r="A59" s="86" t="s">
        <v>304</v>
      </c>
      <c r="B59" s="122">
        <v>33641169.054122895</v>
      </c>
      <c r="C59" s="123">
        <f t="shared" si="3"/>
        <v>4.8411215802764501E-2</v>
      </c>
      <c r="D59" s="120">
        <f t="shared" si="4"/>
        <v>-743420.78407317773</v>
      </c>
      <c r="E59" s="135">
        <v>6.8836744172887168E-2</v>
      </c>
      <c r="F59" s="120">
        <f t="shared" si="2"/>
        <v>-51174.666326052524</v>
      </c>
      <c r="G59" s="88"/>
      <c r="H59" s="88"/>
    </row>
    <row r="60" spans="1:8" x14ac:dyDescent="0.25">
      <c r="A60" s="86" t="s">
        <v>305</v>
      </c>
      <c r="B60" s="122">
        <v>1161282.7833100678</v>
      </c>
      <c r="C60" s="123">
        <f t="shared" si="3"/>
        <v>1.6711402430876212E-3</v>
      </c>
      <c r="D60" s="120">
        <f t="shared" si="4"/>
        <v>-25662.65625044467</v>
      </c>
      <c r="E60" s="135">
        <v>0</v>
      </c>
      <c r="F60" s="120">
        <f t="shared" si="2"/>
        <v>0</v>
      </c>
      <c r="G60" s="88"/>
      <c r="H60" s="88"/>
    </row>
    <row r="61" spans="1:8" x14ac:dyDescent="0.25">
      <c r="A61" s="86" t="s">
        <v>306</v>
      </c>
      <c r="B61" s="122">
        <v>1040862.3686785746</v>
      </c>
      <c r="C61" s="123">
        <f t="shared" si="3"/>
        <v>1.497849633881841E-3</v>
      </c>
      <c r="D61" s="120">
        <f t="shared" si="4"/>
        <v>-23001.540671502255</v>
      </c>
      <c r="E61" s="135">
        <v>0</v>
      </c>
      <c r="F61" s="120">
        <f t="shared" si="2"/>
        <v>0</v>
      </c>
      <c r="G61" s="88"/>
      <c r="H61" s="88"/>
    </row>
    <row r="62" spans="1:8" x14ac:dyDescent="0.25">
      <c r="A62" s="86" t="s">
        <v>307</v>
      </c>
      <c r="B62" s="122">
        <v>1565974.6592413117</v>
      </c>
      <c r="C62" s="123">
        <f t="shared" si="3"/>
        <v>2.2535107816326243E-3</v>
      </c>
      <c r="D62" s="120">
        <f t="shared" si="4"/>
        <v>-34605.75662929369</v>
      </c>
      <c r="E62" s="135">
        <v>0</v>
      </c>
      <c r="F62" s="120">
        <f t="shared" si="2"/>
        <v>0</v>
      </c>
      <c r="G62" s="88"/>
      <c r="H62" s="88"/>
    </row>
    <row r="63" spans="1:8" x14ac:dyDescent="0.25">
      <c r="A63" s="86" t="s">
        <v>308</v>
      </c>
      <c r="B63" s="122">
        <v>8659755.6641642787</v>
      </c>
      <c r="C63" s="123">
        <f t="shared" si="3"/>
        <v>1.2461793452617559E-2</v>
      </c>
      <c r="D63" s="120">
        <f t="shared" si="4"/>
        <v>-191367.97343093995</v>
      </c>
      <c r="E63" s="135">
        <v>0</v>
      </c>
      <c r="F63" s="120">
        <f t="shared" si="2"/>
        <v>0</v>
      </c>
      <c r="G63" s="88"/>
      <c r="H63" s="88"/>
    </row>
    <row r="64" spans="1:8" x14ac:dyDescent="0.25">
      <c r="A64" s="86" t="s">
        <v>309</v>
      </c>
      <c r="B64" s="122">
        <v>5063531.091486901</v>
      </c>
      <c r="C64" s="123">
        <f t="shared" si="3"/>
        <v>7.2866580825299201E-3</v>
      </c>
      <c r="D64" s="120">
        <f t="shared" si="4"/>
        <v>-111896.6540121104</v>
      </c>
      <c r="E64" s="135">
        <v>0</v>
      </c>
      <c r="F64" s="120">
        <f t="shared" si="2"/>
        <v>0</v>
      </c>
      <c r="G64" s="88"/>
      <c r="H64" s="88"/>
    </row>
    <row r="65" spans="1:8" x14ac:dyDescent="0.25">
      <c r="A65" s="86" t="s">
        <v>310</v>
      </c>
      <c r="B65" s="122">
        <v>1052182.428081865</v>
      </c>
      <c r="C65" s="123">
        <f t="shared" si="3"/>
        <v>1.5141397288482535E-3</v>
      </c>
      <c r="D65" s="120">
        <f t="shared" si="4"/>
        <v>-23251.697478592097</v>
      </c>
      <c r="E65" s="135">
        <v>1</v>
      </c>
      <c r="F65" s="120">
        <f t="shared" si="2"/>
        <v>-23251.697478592097</v>
      </c>
      <c r="G65" s="88"/>
      <c r="H65" s="88"/>
    </row>
    <row r="66" spans="1:8" x14ac:dyDescent="0.25">
      <c r="A66" s="86" t="s">
        <v>311</v>
      </c>
      <c r="B66" s="122">
        <v>207320.58451035304</v>
      </c>
      <c r="C66" s="123">
        <f t="shared" si="3"/>
        <v>2.9834401833475925E-4</v>
      </c>
      <c r="D66" s="120">
        <f t="shared" si="4"/>
        <v>-4581.4826245554386</v>
      </c>
      <c r="E66" s="135">
        <v>0</v>
      </c>
      <c r="F66" s="120">
        <f t="shared" si="2"/>
        <v>0</v>
      </c>
      <c r="G66" s="88"/>
      <c r="H66" s="88"/>
    </row>
    <row r="67" spans="1:8" x14ac:dyDescent="0.25">
      <c r="A67" s="86" t="s">
        <v>312</v>
      </c>
      <c r="B67" s="122">
        <v>2574115.8889564965</v>
      </c>
      <c r="C67" s="123">
        <f t="shared" si="3"/>
        <v>3.7042731660458035E-3</v>
      </c>
      <c r="D67" s="120">
        <f t="shared" si="4"/>
        <v>-56884.207840236624</v>
      </c>
      <c r="E67" s="135">
        <v>6.8836744172887168E-2</v>
      </c>
      <c r="F67" s="120">
        <f t="shared" si="2"/>
        <v>-3915.7236625757109</v>
      </c>
      <c r="G67" s="88"/>
      <c r="H67" s="88"/>
    </row>
    <row r="68" spans="1:8" x14ac:dyDescent="0.25">
      <c r="A68" s="86" t="s">
        <v>313</v>
      </c>
      <c r="B68" s="124">
        <v>1679460.0689229874</v>
      </c>
      <c r="C68" s="123">
        <f t="shared" si="3"/>
        <v>2.4168215943373163E-3</v>
      </c>
      <c r="D68" s="120">
        <f t="shared" si="4"/>
        <v>-37113.618710741706</v>
      </c>
      <c r="E68" s="135">
        <v>0</v>
      </c>
      <c r="F68" s="120">
        <f t="shared" si="2"/>
        <v>0</v>
      </c>
      <c r="G68" s="88"/>
      <c r="H68" s="88"/>
    </row>
    <row r="69" spans="1:8" x14ac:dyDescent="0.25">
      <c r="A69" s="86" t="s">
        <v>314</v>
      </c>
      <c r="B69" s="124">
        <v>52704.45648905819</v>
      </c>
      <c r="C69" s="123">
        <f t="shared" si="3"/>
        <v>7.5844178088885707E-5</v>
      </c>
      <c r="D69" s="120">
        <f t="shared" si="4"/>
        <v>-1164.6916402997122</v>
      </c>
      <c r="E69" s="135">
        <v>0</v>
      </c>
      <c r="F69" s="120">
        <f t="shared" si="2"/>
        <v>0</v>
      </c>
      <c r="G69" s="88"/>
      <c r="H69" s="88"/>
    </row>
    <row r="70" spans="1:8" x14ac:dyDescent="0.25">
      <c r="A70" s="86" t="s">
        <v>315</v>
      </c>
      <c r="B70" s="124">
        <v>355365.0965460015</v>
      </c>
      <c r="C70" s="123">
        <f t="shared" si="3"/>
        <v>5.1138699579616196E-4</v>
      </c>
      <c r="D70" s="120">
        <f t="shared" si="4"/>
        <v>-7853.0504775692862</v>
      </c>
      <c r="E70" s="135">
        <v>0</v>
      </c>
      <c r="F70" s="120">
        <f t="shared" si="2"/>
        <v>0</v>
      </c>
      <c r="G70" s="88"/>
      <c r="H70" s="88"/>
    </row>
    <row r="71" spans="1:8" x14ac:dyDescent="0.25">
      <c r="A71" s="86" t="s">
        <v>316</v>
      </c>
      <c r="B71" s="124">
        <v>54425.557778113303</v>
      </c>
      <c r="C71" s="123">
        <f t="shared" si="3"/>
        <v>7.8320923346721872E-5</v>
      </c>
      <c r="D71" s="120">
        <f t="shared" si="4"/>
        <v>-1202.7254692585161</v>
      </c>
      <c r="E71" s="135">
        <v>0</v>
      </c>
      <c r="F71" s="120">
        <f t="shared" si="2"/>
        <v>0</v>
      </c>
      <c r="G71" s="88"/>
      <c r="H71" s="88"/>
    </row>
    <row r="72" spans="1:8" x14ac:dyDescent="0.25">
      <c r="A72" s="86" t="s">
        <v>317</v>
      </c>
      <c r="B72" s="122">
        <v>2385041.6751109622</v>
      </c>
      <c r="C72" s="123">
        <f t="shared" ref="C72:C82" si="5">B72/$B$88</f>
        <v>3.4321865285544583E-3</v>
      </c>
      <c r="D72" s="120">
        <f t="shared" ref="D72:D82" si="6">C72*$D$88</f>
        <v>-52705.943402430472</v>
      </c>
      <c r="E72" s="135">
        <v>0</v>
      </c>
      <c r="F72" s="120">
        <f t="shared" si="2"/>
        <v>0</v>
      </c>
      <c r="G72" s="88"/>
      <c r="H72" s="88"/>
    </row>
    <row r="73" spans="1:8" x14ac:dyDescent="0.25">
      <c r="A73" s="86" t="s">
        <v>318</v>
      </c>
      <c r="B73" s="124">
        <v>351194.63940799743</v>
      </c>
      <c r="C73" s="123">
        <f t="shared" si="5"/>
        <v>5.0538551290538376E-4</v>
      </c>
      <c r="D73" s="120">
        <f t="shared" si="6"/>
        <v>-7760.8894557424128</v>
      </c>
      <c r="E73" s="135">
        <v>1</v>
      </c>
      <c r="F73" s="120">
        <f t="shared" ref="F73:F82" si="7">D73*E73</f>
        <v>-7760.8894557424128</v>
      </c>
      <c r="G73" s="88"/>
      <c r="H73" s="88"/>
    </row>
    <row r="74" spans="1:8" x14ac:dyDescent="0.25">
      <c r="A74" s="86" t="s">
        <v>319</v>
      </c>
      <c r="B74" s="122">
        <v>1191314.8376383614</v>
      </c>
      <c r="C74" s="123">
        <f t="shared" si="5"/>
        <v>1.7143577739869877E-3</v>
      </c>
      <c r="D74" s="120">
        <f t="shared" si="6"/>
        <v>-26326.320861509426</v>
      </c>
      <c r="E74" s="135">
        <v>0</v>
      </c>
      <c r="F74" s="120">
        <f t="shared" si="7"/>
        <v>0</v>
      </c>
      <c r="G74" s="88"/>
      <c r="H74" s="88"/>
    </row>
    <row r="75" spans="1:8" x14ac:dyDescent="0.25">
      <c r="A75" s="86" t="s">
        <v>118</v>
      </c>
      <c r="B75" s="122">
        <v>32109.090801921579</v>
      </c>
      <c r="C75" s="123">
        <f t="shared" si="5"/>
        <v>4.6206483536334824E-5</v>
      </c>
      <c r="D75" s="120">
        <f t="shared" si="6"/>
        <v>-709.56408861528371</v>
      </c>
      <c r="E75" s="135">
        <v>0</v>
      </c>
      <c r="F75" s="120">
        <f t="shared" si="7"/>
        <v>0</v>
      </c>
      <c r="G75" s="88"/>
      <c r="H75" s="88"/>
    </row>
    <row r="76" spans="1:8" x14ac:dyDescent="0.25">
      <c r="A76" s="86" t="s">
        <v>119</v>
      </c>
      <c r="B76" s="122">
        <v>484962.67595560307</v>
      </c>
      <c r="C76" s="123">
        <f t="shared" si="5"/>
        <v>6.9788397437084751E-4</v>
      </c>
      <c r="D76" s="120">
        <f t="shared" si="6"/>
        <v>-10716.968016929124</v>
      </c>
      <c r="E76" s="135">
        <v>0</v>
      </c>
      <c r="F76" s="120">
        <f t="shared" si="7"/>
        <v>0</v>
      </c>
      <c r="G76" s="88"/>
      <c r="H76" s="88"/>
    </row>
    <row r="77" spans="1:8" x14ac:dyDescent="0.25">
      <c r="A77" s="86" t="s">
        <v>71</v>
      </c>
      <c r="B77" s="122">
        <v>101222865.95621783</v>
      </c>
      <c r="C77" s="123">
        <f t="shared" si="5"/>
        <v>0.14566443871486701</v>
      </c>
      <c r="D77" s="120">
        <f t="shared" si="6"/>
        <v>-2236877.745070016</v>
      </c>
      <c r="E77" s="135">
        <v>6.6548046661184135E-2</v>
      </c>
      <c r="F77" s="120">
        <f t="shared" si="7"/>
        <v>-148859.84455428377</v>
      </c>
      <c r="G77" s="88"/>
      <c r="H77" s="88"/>
    </row>
    <row r="78" spans="1:8" x14ac:dyDescent="0.25">
      <c r="A78" s="86" t="s">
        <v>120</v>
      </c>
      <c r="B78" s="122">
        <v>507733.63108115114</v>
      </c>
      <c r="C78" s="123">
        <f t="shared" si="5"/>
        <v>7.3065244388641182E-4</v>
      </c>
      <c r="D78" s="120">
        <f t="shared" si="6"/>
        <v>-11220.172922986198</v>
      </c>
      <c r="E78" s="135">
        <v>0</v>
      </c>
      <c r="F78" s="120">
        <f t="shared" si="7"/>
        <v>0</v>
      </c>
      <c r="G78" s="88"/>
      <c r="H78" s="88"/>
    </row>
    <row r="79" spans="1:8" x14ac:dyDescent="0.25">
      <c r="A79" s="86" t="s">
        <v>121</v>
      </c>
      <c r="B79" s="172">
        <v>414777.8111685231</v>
      </c>
      <c r="C79" s="123">
        <f t="shared" si="5"/>
        <v>5.968846711115344E-4</v>
      </c>
      <c r="D79" s="120">
        <f t="shared" si="6"/>
        <v>-9165.9848413403888</v>
      </c>
      <c r="E79" s="135">
        <v>1</v>
      </c>
      <c r="F79" s="120">
        <f t="shared" si="7"/>
        <v>-9165.9848413403888</v>
      </c>
      <c r="G79" s="88"/>
      <c r="H79" s="88"/>
    </row>
    <row r="80" spans="1:8" x14ac:dyDescent="0.25">
      <c r="A80" s="86" t="s">
        <v>320</v>
      </c>
      <c r="B80" s="172">
        <v>61606.268722206303</v>
      </c>
      <c r="C80" s="123">
        <f t="shared" si="5"/>
        <v>8.8654302266238212E-5</v>
      </c>
      <c r="D80" s="120">
        <f t="shared" si="6"/>
        <v>-1361.4087109637039</v>
      </c>
      <c r="E80" s="135">
        <v>0</v>
      </c>
      <c r="F80" s="120">
        <f t="shared" si="7"/>
        <v>0</v>
      </c>
      <c r="G80" s="88"/>
      <c r="H80" s="88"/>
    </row>
    <row r="81" spans="1:8" x14ac:dyDescent="0.25">
      <c r="A81" s="86" t="s">
        <v>167</v>
      </c>
      <c r="B81" s="172">
        <v>920416.90510690771</v>
      </c>
      <c r="C81" s="123">
        <f t="shared" si="5"/>
        <v>1.3245229780795105E-3</v>
      </c>
      <c r="D81" s="120">
        <f t="shared" si="6"/>
        <v>-20339.871547505743</v>
      </c>
      <c r="E81" s="135">
        <v>0</v>
      </c>
      <c r="F81" s="120">
        <f t="shared" si="7"/>
        <v>0</v>
      </c>
      <c r="G81" s="88"/>
      <c r="H81" s="88"/>
    </row>
    <row r="82" spans="1:8" x14ac:dyDescent="0.25">
      <c r="A82" s="86" t="s">
        <v>321</v>
      </c>
      <c r="B82" s="172">
        <v>-3709.8577847316133</v>
      </c>
      <c r="C82" s="123">
        <f t="shared" si="5"/>
        <v>-5.3386588773197592E-6</v>
      </c>
      <c r="D82" s="120">
        <f t="shared" si="6"/>
        <v>81.982447717201211</v>
      </c>
      <c r="E82" s="135">
        <v>0</v>
      </c>
      <c r="F82" s="120">
        <f t="shared" si="7"/>
        <v>0</v>
      </c>
      <c r="G82" s="88"/>
      <c r="H82" s="88"/>
    </row>
    <row r="83" spans="1:8" ht="7.5" customHeight="1" x14ac:dyDescent="0.25">
      <c r="A83" s="121"/>
      <c r="B83" s="127"/>
      <c r="C83" s="128"/>
      <c r="D83" s="100"/>
      <c r="E83" s="101"/>
      <c r="F83" s="100"/>
      <c r="G83" s="88"/>
      <c r="H83" s="88"/>
    </row>
    <row r="84" spans="1:8" x14ac:dyDescent="0.25">
      <c r="A84" s="129" t="s">
        <v>122</v>
      </c>
      <c r="B84" s="130">
        <f>SUM(B8:B82)</f>
        <v>473221715.10178638</v>
      </c>
      <c r="C84" s="131">
        <f>SUM(C8:C82)</f>
        <v>0.68098818252986026</v>
      </c>
      <c r="D84" s="130">
        <f>SUM(D8:D82)</f>
        <v>-10457509.90149698</v>
      </c>
      <c r="E84" s="101"/>
      <c r="F84" s="130">
        <f>SUM(F8:F83)</f>
        <v>-655672.99363625085</v>
      </c>
      <c r="G84" s="88"/>
      <c r="H84" s="88"/>
    </row>
    <row r="85" spans="1:8" ht="7.5" customHeight="1" x14ac:dyDescent="0.25">
      <c r="A85" s="121"/>
      <c r="B85" s="127"/>
      <c r="C85" s="128"/>
      <c r="D85" s="100"/>
      <c r="E85" s="101"/>
      <c r="F85" s="100"/>
      <c r="G85" s="88"/>
      <c r="H85" s="88"/>
    </row>
    <row r="86" spans="1:8" x14ac:dyDescent="0.25">
      <c r="A86" s="121" t="s">
        <v>168</v>
      </c>
      <c r="B86" s="124">
        <v>221682730</v>
      </c>
      <c r="C86" s="126">
        <f>B86/B88</f>
        <v>0.31901181747014001</v>
      </c>
      <c r="D86" s="120">
        <f>C86*$D$88</f>
        <v>-4898865.0985030215</v>
      </c>
      <c r="E86" s="101"/>
      <c r="F86" s="100"/>
      <c r="G86" s="88"/>
      <c r="H86" s="88"/>
    </row>
    <row r="87" spans="1:8" ht="6.75" customHeight="1" x14ac:dyDescent="0.25">
      <c r="A87" s="121"/>
      <c r="B87" s="127"/>
      <c r="C87" s="128"/>
      <c r="D87" s="100"/>
      <c r="E87" s="101"/>
      <c r="F87" s="100"/>
      <c r="G87" s="88"/>
      <c r="H87" s="88"/>
    </row>
    <row r="88" spans="1:8" x14ac:dyDescent="0.25">
      <c r="A88" s="132" t="s">
        <v>4</v>
      </c>
      <c r="B88" s="133">
        <f>B84+B86</f>
        <v>694904445.10178638</v>
      </c>
      <c r="C88" s="134">
        <f>C84+C86</f>
        <v>1.0000000000000002</v>
      </c>
      <c r="D88" s="133">
        <f>Sch8p1!I22</f>
        <v>-15356375</v>
      </c>
      <c r="E88" s="101"/>
      <c r="F88" s="100"/>
      <c r="G88" s="88"/>
      <c r="H88" s="88"/>
    </row>
    <row r="89" spans="1:8" x14ac:dyDescent="0.25">
      <c r="A89" s="97"/>
      <c r="B89" s="98"/>
      <c r="C89" s="99"/>
      <c r="D89" s="100"/>
      <c r="E89" s="101"/>
      <c r="F89" s="100"/>
      <c r="G89" s="88"/>
      <c r="H89" s="88"/>
    </row>
    <row r="90" spans="1:8" x14ac:dyDescent="0.25">
      <c r="A90" s="97"/>
      <c r="B90" s="98"/>
      <c r="C90" s="99"/>
      <c r="D90" s="100"/>
      <c r="E90" s="101"/>
      <c r="F90" s="100"/>
      <c r="G90" s="88"/>
      <c r="H90" s="88"/>
    </row>
    <row r="91" spans="1:8" x14ac:dyDescent="0.25">
      <c r="A91" s="97"/>
      <c r="B91" s="98"/>
      <c r="C91" s="99"/>
      <c r="D91" s="100"/>
      <c r="E91" s="101"/>
      <c r="F91" s="205"/>
      <c r="G91" s="88"/>
      <c r="H91" s="88"/>
    </row>
    <row r="92" spans="1:8" x14ac:dyDescent="0.25">
      <c r="A92" s="97"/>
      <c r="B92" s="98"/>
      <c r="C92" s="99"/>
      <c r="D92" s="100"/>
      <c r="E92" s="101"/>
      <c r="F92" s="205"/>
      <c r="G92" s="88"/>
      <c r="H92" s="88"/>
    </row>
    <row r="93" spans="1:8" x14ac:dyDescent="0.25">
      <c r="A93" s="97"/>
      <c r="B93" s="98"/>
      <c r="C93" s="99"/>
      <c r="D93" s="100"/>
      <c r="E93" s="101"/>
      <c r="F93" s="100"/>
      <c r="G93" s="88"/>
      <c r="H93" s="88"/>
    </row>
    <row r="94" spans="1:8" x14ac:dyDescent="0.25">
      <c r="A94" s="97"/>
      <c r="B94" s="98"/>
      <c r="C94" s="99"/>
      <c r="D94" s="100"/>
      <c r="E94" s="101"/>
      <c r="F94" s="100"/>
      <c r="G94" s="88"/>
      <c r="H94" s="88"/>
    </row>
    <row r="95" spans="1:8" x14ac:dyDescent="0.25">
      <c r="A95" s="97"/>
      <c r="B95" s="98"/>
      <c r="C95" s="99"/>
      <c r="D95" s="100"/>
      <c r="E95" s="101"/>
      <c r="F95" s="100"/>
      <c r="G95" s="88"/>
      <c r="H95" s="88"/>
    </row>
    <row r="96" spans="1:8" x14ac:dyDescent="0.25">
      <c r="A96" s="97"/>
      <c r="B96" s="98"/>
      <c r="C96" s="99"/>
      <c r="D96" s="100"/>
      <c r="E96" s="101"/>
      <c r="F96" s="100"/>
      <c r="G96" s="88"/>
      <c r="H96" s="88"/>
    </row>
    <row r="97" spans="1:8" x14ac:dyDescent="0.25">
      <c r="A97" s="97"/>
      <c r="B97" s="98"/>
      <c r="C97" s="99"/>
      <c r="D97" s="100"/>
      <c r="E97" s="101"/>
      <c r="F97" s="100"/>
      <c r="G97" s="88"/>
      <c r="H97" s="88"/>
    </row>
    <row r="98" spans="1:8" x14ac:dyDescent="0.25">
      <c r="A98" s="97"/>
      <c r="B98" s="98"/>
      <c r="C98" s="99"/>
      <c r="D98" s="100"/>
      <c r="E98" s="101"/>
      <c r="F98" s="100"/>
      <c r="G98" s="88"/>
      <c r="H98" s="88"/>
    </row>
    <row r="99" spans="1:8" x14ac:dyDescent="0.25">
      <c r="A99" s="97"/>
      <c r="B99" s="98"/>
      <c r="C99" s="99"/>
      <c r="D99" s="100"/>
      <c r="E99" s="101"/>
      <c r="F99" s="100"/>
      <c r="G99" s="88"/>
      <c r="H99" s="88"/>
    </row>
    <row r="100" spans="1:8" x14ac:dyDescent="0.25">
      <c r="A100" s="97"/>
      <c r="B100" s="98"/>
      <c r="C100" s="99"/>
      <c r="D100" s="100"/>
      <c r="E100" s="101"/>
      <c r="F100" s="100"/>
      <c r="G100" s="88"/>
      <c r="H100" s="88"/>
    </row>
    <row r="101" spans="1:8" x14ac:dyDescent="0.25">
      <c r="A101" s="97"/>
      <c r="B101" s="98"/>
      <c r="C101" s="99"/>
      <c r="D101" s="100"/>
      <c r="E101" s="101"/>
      <c r="F101" s="100"/>
      <c r="G101" s="88"/>
      <c r="H101" s="88"/>
    </row>
    <row r="102" spans="1:8" x14ac:dyDescent="0.25">
      <c r="A102" s="97"/>
      <c r="B102" s="98"/>
      <c r="C102" s="99"/>
      <c r="D102" s="100"/>
      <c r="E102" s="101"/>
      <c r="F102" s="100"/>
      <c r="G102" s="88"/>
      <c r="H102" s="88"/>
    </row>
    <row r="103" spans="1:8" x14ac:dyDescent="0.25">
      <c r="A103" s="97"/>
      <c r="B103" s="98"/>
      <c r="C103" s="99"/>
      <c r="D103" s="100"/>
      <c r="E103" s="101"/>
      <c r="F103" s="100"/>
      <c r="G103" s="88"/>
      <c r="H103" s="88"/>
    </row>
    <row r="104" spans="1:8" x14ac:dyDescent="0.25">
      <c r="A104" s="97"/>
      <c r="B104" s="98"/>
      <c r="C104" s="99"/>
      <c r="D104" s="100"/>
      <c r="E104" s="101"/>
      <c r="F104" s="100"/>
      <c r="G104" s="88"/>
      <c r="H104" s="88"/>
    </row>
    <row r="105" spans="1:8" x14ac:dyDescent="0.25">
      <c r="A105" s="97"/>
      <c r="B105" s="98"/>
      <c r="C105" s="99"/>
      <c r="D105" s="100"/>
      <c r="E105" s="101"/>
      <c r="F105" s="100"/>
      <c r="G105" s="88"/>
      <c r="H105" s="88"/>
    </row>
    <row r="106" spans="1:8" x14ac:dyDescent="0.25">
      <c r="A106" s="97"/>
      <c r="B106" s="98"/>
      <c r="C106" s="99"/>
      <c r="D106" s="100"/>
      <c r="E106" s="101"/>
      <c r="F106" s="100"/>
      <c r="G106" s="88"/>
      <c r="H106" s="88"/>
    </row>
    <row r="107" spans="1:8" x14ac:dyDescent="0.25">
      <c r="A107" s="97"/>
      <c r="B107" s="98"/>
      <c r="C107" s="99"/>
      <c r="D107" s="100"/>
      <c r="E107" s="101"/>
      <c r="F107" s="100"/>
      <c r="G107" s="88"/>
      <c r="H107" s="88"/>
    </row>
    <row r="108" spans="1:8" x14ac:dyDescent="0.25">
      <c r="A108" s="97"/>
      <c r="B108" s="98"/>
      <c r="C108" s="99"/>
      <c r="D108" s="100"/>
      <c r="E108" s="101"/>
      <c r="F108" s="100"/>
      <c r="G108" s="88"/>
      <c r="H108" s="88"/>
    </row>
    <row r="109" spans="1:8" x14ac:dyDescent="0.25">
      <c r="A109" s="97"/>
      <c r="B109" s="98"/>
      <c r="C109" s="99"/>
      <c r="D109" s="100"/>
      <c r="E109" s="101"/>
      <c r="F109" s="100"/>
      <c r="G109" s="88"/>
      <c r="H109" s="88"/>
    </row>
    <row r="110" spans="1:8" x14ac:dyDescent="0.25">
      <c r="A110" s="97"/>
      <c r="B110" s="98"/>
      <c r="C110" s="99"/>
      <c r="D110" s="100"/>
      <c r="E110" s="101"/>
      <c r="F110" s="100"/>
      <c r="G110" s="88"/>
      <c r="H110" s="88"/>
    </row>
    <row r="111" spans="1:8" x14ac:dyDescent="0.25">
      <c r="A111" s="97"/>
      <c r="B111" s="98"/>
      <c r="C111" s="99"/>
      <c r="D111" s="100"/>
      <c r="E111" s="101"/>
      <c r="F111" s="100"/>
      <c r="G111" s="88"/>
      <c r="H111" s="88"/>
    </row>
    <row r="112" spans="1:8" x14ac:dyDescent="0.25">
      <c r="A112" s="97"/>
      <c r="B112" s="98"/>
      <c r="C112" s="99"/>
      <c r="D112" s="100"/>
      <c r="E112" s="101"/>
      <c r="F112" s="100"/>
      <c r="G112" s="88"/>
      <c r="H112" s="88"/>
    </row>
    <row r="113" spans="1:8" x14ac:dyDescent="0.25">
      <c r="A113" s="97"/>
      <c r="B113" s="98"/>
      <c r="C113" s="99"/>
      <c r="D113" s="100"/>
      <c r="E113" s="101"/>
      <c r="F113" s="100"/>
      <c r="G113" s="88"/>
      <c r="H113" s="88"/>
    </row>
    <row r="114" spans="1:8" x14ac:dyDescent="0.25">
      <c r="A114" s="97"/>
      <c r="B114" s="98"/>
      <c r="C114" s="99"/>
      <c r="D114" s="100"/>
      <c r="E114" s="101"/>
      <c r="F114" s="100"/>
      <c r="G114" s="88"/>
      <c r="H114" s="88"/>
    </row>
    <row r="115" spans="1:8" x14ac:dyDescent="0.25">
      <c r="A115" s="97"/>
      <c r="B115" s="98"/>
      <c r="C115" s="99"/>
      <c r="D115" s="100"/>
      <c r="E115" s="101"/>
      <c r="F115" s="100"/>
      <c r="G115" s="88"/>
      <c r="H115" s="88"/>
    </row>
    <row r="116" spans="1:8" x14ac:dyDescent="0.25">
      <c r="A116" s="97"/>
      <c r="B116" s="98"/>
      <c r="C116" s="99"/>
      <c r="D116" s="100"/>
      <c r="E116" s="101"/>
      <c r="F116" s="100"/>
      <c r="G116" s="88"/>
      <c r="H116" s="88"/>
    </row>
    <row r="117" spans="1:8" x14ac:dyDescent="0.25">
      <c r="A117" s="97"/>
      <c r="B117" s="98"/>
      <c r="C117" s="99"/>
      <c r="D117" s="100"/>
      <c r="E117" s="101"/>
      <c r="F117" s="100"/>
      <c r="G117" s="88"/>
      <c r="H117" s="88"/>
    </row>
    <row r="118" spans="1:8" x14ac:dyDescent="0.25">
      <c r="A118" s="97"/>
      <c r="B118" s="98"/>
      <c r="C118" s="99"/>
      <c r="D118" s="100"/>
      <c r="E118" s="101"/>
      <c r="F118" s="100"/>
      <c r="G118" s="88"/>
      <c r="H118" s="88"/>
    </row>
    <row r="119" spans="1:8" x14ac:dyDescent="0.25">
      <c r="A119" s="97"/>
      <c r="B119" s="98"/>
      <c r="C119" s="99"/>
      <c r="D119" s="100"/>
      <c r="E119" s="101"/>
      <c r="F119" s="100"/>
      <c r="G119" s="88"/>
      <c r="H119" s="88"/>
    </row>
    <row r="120" spans="1:8" x14ac:dyDescent="0.25">
      <c r="A120" s="97"/>
      <c r="B120" s="98"/>
      <c r="C120" s="99"/>
      <c r="D120" s="100"/>
      <c r="E120" s="101"/>
      <c r="F120" s="100"/>
      <c r="G120" s="88"/>
      <c r="H120" s="88"/>
    </row>
    <row r="121" spans="1:8" x14ac:dyDescent="0.25">
      <c r="A121" s="97"/>
      <c r="B121" s="98"/>
      <c r="C121" s="99"/>
      <c r="D121" s="100"/>
      <c r="E121" s="101"/>
      <c r="F121" s="100"/>
      <c r="G121" s="88"/>
      <c r="H121" s="88"/>
    </row>
    <row r="122" spans="1:8" x14ac:dyDescent="0.25">
      <c r="A122" s="97"/>
      <c r="B122" s="98"/>
      <c r="C122" s="99"/>
      <c r="D122" s="100"/>
      <c r="E122" s="101"/>
      <c r="F122" s="100"/>
      <c r="G122" s="88"/>
      <c r="H122" s="88"/>
    </row>
    <row r="123" spans="1:8" x14ac:dyDescent="0.25">
      <c r="A123" s="97"/>
      <c r="B123" s="98"/>
      <c r="C123" s="99"/>
      <c r="D123" s="100"/>
      <c r="E123" s="101"/>
      <c r="F123" s="100"/>
      <c r="G123" s="88"/>
      <c r="H123" s="88"/>
    </row>
    <row r="124" spans="1:8" x14ac:dyDescent="0.25">
      <c r="A124" s="97"/>
      <c r="B124" s="98"/>
      <c r="C124" s="99"/>
      <c r="D124" s="100"/>
      <c r="E124" s="101"/>
      <c r="F124" s="100"/>
      <c r="G124" s="88"/>
      <c r="H124" s="88"/>
    </row>
    <row r="125" spans="1:8" x14ac:dyDescent="0.25">
      <c r="A125" s="97"/>
      <c r="B125" s="98"/>
      <c r="C125" s="99"/>
      <c r="D125" s="100"/>
      <c r="E125" s="101"/>
      <c r="F125" s="100"/>
      <c r="G125" s="88"/>
      <c r="H125" s="88"/>
    </row>
    <row r="126" spans="1:8" x14ac:dyDescent="0.25">
      <c r="A126" s="97"/>
      <c r="B126" s="98"/>
      <c r="C126" s="99"/>
      <c r="D126" s="100"/>
      <c r="E126" s="101"/>
      <c r="F126" s="100"/>
      <c r="G126" s="88"/>
      <c r="H126" s="88"/>
    </row>
    <row r="127" spans="1:8" x14ac:dyDescent="0.25">
      <c r="A127" s="97"/>
      <c r="B127" s="98"/>
      <c r="C127" s="99"/>
      <c r="D127" s="100"/>
      <c r="E127" s="101"/>
      <c r="F127" s="100"/>
      <c r="G127" s="88"/>
      <c r="H127" s="88"/>
    </row>
    <row r="128" spans="1:8" x14ac:dyDescent="0.25">
      <c r="A128" s="97"/>
      <c r="B128" s="98"/>
      <c r="C128" s="99"/>
      <c r="D128" s="100"/>
      <c r="E128" s="101"/>
      <c r="F128" s="100"/>
      <c r="G128" s="88"/>
      <c r="H128" s="88"/>
    </row>
    <row r="129" spans="1:8" x14ac:dyDescent="0.25">
      <c r="A129" s="97"/>
      <c r="B129" s="98"/>
      <c r="C129" s="99"/>
      <c r="D129" s="100"/>
      <c r="E129" s="101"/>
      <c r="F129" s="100"/>
      <c r="G129" s="88"/>
      <c r="H129" s="88"/>
    </row>
    <row r="130" spans="1:8" x14ac:dyDescent="0.25">
      <c r="A130" s="97"/>
      <c r="B130" s="98"/>
      <c r="C130" s="99"/>
      <c r="D130" s="100"/>
      <c r="E130" s="101"/>
      <c r="F130" s="100"/>
      <c r="G130" s="88"/>
      <c r="H130" s="88"/>
    </row>
    <row r="131" spans="1:8" x14ac:dyDescent="0.25">
      <c r="A131" s="97"/>
      <c r="B131" s="98"/>
      <c r="C131" s="99"/>
      <c r="D131" s="100"/>
      <c r="E131" s="101"/>
      <c r="F131" s="100"/>
      <c r="G131" s="88"/>
      <c r="H131" s="88"/>
    </row>
    <row r="132" spans="1:8" x14ac:dyDescent="0.25">
      <c r="A132" s="97"/>
      <c r="B132" s="98"/>
      <c r="C132" s="99"/>
      <c r="D132" s="100"/>
      <c r="E132" s="101"/>
      <c r="F132" s="100"/>
      <c r="G132" s="88"/>
      <c r="H132" s="88"/>
    </row>
    <row r="133" spans="1:8" x14ac:dyDescent="0.25">
      <c r="A133" s="97"/>
      <c r="B133" s="98"/>
      <c r="C133" s="99"/>
      <c r="D133" s="100"/>
      <c r="E133" s="101"/>
      <c r="F133" s="100"/>
      <c r="G133" s="88"/>
      <c r="H133" s="88"/>
    </row>
    <row r="134" spans="1:8" x14ac:dyDescent="0.25">
      <c r="A134" s="97"/>
      <c r="B134" s="98"/>
      <c r="C134" s="99"/>
      <c r="D134" s="100"/>
      <c r="E134" s="101"/>
      <c r="F134" s="100"/>
      <c r="G134" s="88"/>
      <c r="H134" s="88"/>
    </row>
    <row r="135" spans="1:8" x14ac:dyDescent="0.25">
      <c r="A135" s="97"/>
      <c r="B135" s="98"/>
      <c r="C135" s="99"/>
      <c r="D135" s="100"/>
      <c r="E135" s="101"/>
      <c r="F135" s="100"/>
      <c r="G135" s="88"/>
      <c r="H135" s="88"/>
    </row>
    <row r="136" spans="1:8" x14ac:dyDescent="0.25">
      <c r="A136" s="97"/>
      <c r="B136" s="98"/>
      <c r="C136" s="99"/>
      <c r="D136" s="100"/>
      <c r="E136" s="101"/>
      <c r="F136" s="100"/>
      <c r="G136" s="88"/>
      <c r="H136" s="88"/>
    </row>
    <row r="137" spans="1:8" x14ac:dyDescent="0.25">
      <c r="A137" s="97"/>
      <c r="B137" s="98"/>
      <c r="C137" s="99"/>
      <c r="D137" s="100"/>
      <c r="E137" s="101"/>
      <c r="F137" s="100"/>
      <c r="G137" s="88"/>
      <c r="H137" s="88"/>
    </row>
    <row r="138" spans="1:8" x14ac:dyDescent="0.25">
      <c r="A138" s="97"/>
      <c r="B138" s="98"/>
      <c r="C138" s="99"/>
      <c r="D138" s="100"/>
      <c r="E138" s="101"/>
      <c r="F138" s="100"/>
      <c r="G138" s="88"/>
      <c r="H138" s="88"/>
    </row>
    <row r="139" spans="1:8" x14ac:dyDescent="0.25">
      <c r="A139" s="97"/>
      <c r="B139" s="98"/>
      <c r="C139" s="99"/>
      <c r="D139" s="100"/>
      <c r="E139" s="101"/>
      <c r="F139" s="100"/>
      <c r="G139" s="88"/>
      <c r="H139" s="88"/>
    </row>
    <row r="140" spans="1:8" x14ac:dyDescent="0.25">
      <c r="A140" s="97"/>
      <c r="B140" s="98"/>
      <c r="C140" s="99"/>
      <c r="D140" s="100"/>
      <c r="E140" s="101"/>
      <c r="F140" s="100"/>
      <c r="G140" s="88"/>
      <c r="H140" s="88"/>
    </row>
    <row r="141" spans="1:8" x14ac:dyDescent="0.25">
      <c r="A141" s="97"/>
      <c r="B141" s="98"/>
      <c r="C141" s="99"/>
      <c r="D141" s="100"/>
      <c r="E141" s="101"/>
      <c r="F141" s="100"/>
      <c r="G141" s="88"/>
      <c r="H141" s="88"/>
    </row>
    <row r="142" spans="1:8" x14ac:dyDescent="0.25">
      <c r="A142" s="97"/>
      <c r="B142" s="98"/>
      <c r="C142" s="99"/>
      <c r="D142" s="100"/>
      <c r="E142" s="101"/>
      <c r="F142" s="100"/>
      <c r="G142" s="88"/>
      <c r="H142" s="88"/>
    </row>
    <row r="143" spans="1:8" x14ac:dyDescent="0.25">
      <c r="A143" s="97"/>
      <c r="B143" s="98"/>
      <c r="C143" s="99"/>
      <c r="D143" s="100"/>
      <c r="E143" s="101"/>
      <c r="F143" s="100"/>
      <c r="G143" s="88"/>
      <c r="H143" s="88"/>
    </row>
    <row r="144" spans="1:8" x14ac:dyDescent="0.25">
      <c r="A144" s="97"/>
      <c r="B144" s="98"/>
      <c r="C144" s="99"/>
      <c r="D144" s="100"/>
      <c r="E144" s="101"/>
      <c r="F144" s="100"/>
      <c r="G144" s="88"/>
      <c r="H144" s="88"/>
    </row>
    <row r="145" spans="1:8" x14ac:dyDescent="0.25">
      <c r="A145" s="97"/>
      <c r="B145" s="98"/>
      <c r="C145" s="99"/>
      <c r="D145" s="100"/>
      <c r="E145" s="101"/>
      <c r="F145" s="100"/>
      <c r="G145" s="88"/>
      <c r="H145" s="88"/>
    </row>
    <row r="146" spans="1:8" x14ac:dyDescent="0.25">
      <c r="A146" s="97"/>
      <c r="B146" s="98"/>
      <c r="C146" s="99"/>
      <c r="D146" s="100"/>
      <c r="E146" s="101"/>
      <c r="F146" s="100"/>
      <c r="G146" s="88"/>
      <c r="H146" s="88"/>
    </row>
    <row r="147" spans="1:8" x14ac:dyDescent="0.25">
      <c r="A147" s="97"/>
      <c r="B147" s="98"/>
      <c r="C147" s="99"/>
      <c r="D147" s="100"/>
      <c r="E147" s="101"/>
      <c r="F147" s="100"/>
      <c r="G147" s="88"/>
      <c r="H147" s="88"/>
    </row>
    <row r="148" spans="1:8" x14ac:dyDescent="0.25">
      <c r="A148" s="97"/>
      <c r="B148" s="98"/>
      <c r="C148" s="99"/>
      <c r="D148" s="100"/>
      <c r="E148" s="101"/>
      <c r="F148" s="100"/>
      <c r="G148" s="88"/>
      <c r="H148" s="88"/>
    </row>
    <row r="149" spans="1:8" x14ac:dyDescent="0.25">
      <c r="A149" s="97"/>
      <c r="B149" s="98"/>
      <c r="C149" s="99"/>
      <c r="D149" s="100"/>
      <c r="E149" s="101"/>
      <c r="F149" s="100"/>
      <c r="G149" s="88"/>
      <c r="H149" s="88"/>
    </row>
    <row r="150" spans="1:8" x14ac:dyDescent="0.25">
      <c r="A150" s="97"/>
      <c r="B150" s="98"/>
      <c r="C150" s="99"/>
      <c r="D150" s="100"/>
      <c r="E150" s="101"/>
      <c r="F150" s="100"/>
      <c r="G150" s="88"/>
      <c r="H150" s="88"/>
    </row>
    <row r="151" spans="1:8" x14ac:dyDescent="0.25">
      <c r="A151" s="97"/>
      <c r="B151" s="98"/>
      <c r="C151" s="99"/>
      <c r="D151" s="100"/>
      <c r="E151" s="101"/>
      <c r="F151" s="100"/>
      <c r="G151" s="88"/>
      <c r="H151" s="88"/>
    </row>
    <row r="152" spans="1:8" x14ac:dyDescent="0.25">
      <c r="A152" s="97"/>
      <c r="B152" s="98"/>
      <c r="C152" s="99"/>
      <c r="D152" s="100"/>
      <c r="E152" s="101"/>
      <c r="F152" s="100"/>
      <c r="G152" s="88"/>
      <c r="H152" s="88"/>
    </row>
    <row r="153" spans="1:8" x14ac:dyDescent="0.25">
      <c r="A153" s="97"/>
      <c r="B153" s="98"/>
      <c r="C153" s="99"/>
      <c r="D153" s="100"/>
      <c r="E153" s="101"/>
      <c r="F153" s="100"/>
      <c r="G153" s="88"/>
      <c r="H153" s="88"/>
    </row>
    <row r="154" spans="1:8" x14ac:dyDescent="0.25">
      <c r="A154" s="97"/>
      <c r="B154" s="98"/>
      <c r="C154" s="99"/>
      <c r="D154" s="100"/>
      <c r="E154" s="101"/>
      <c r="F154" s="100"/>
      <c r="G154" s="88"/>
      <c r="H154" s="88"/>
    </row>
    <row r="155" spans="1:8" x14ac:dyDescent="0.25">
      <c r="A155" s="97"/>
      <c r="B155" s="98"/>
      <c r="C155" s="99"/>
      <c r="D155" s="100"/>
      <c r="E155" s="101"/>
      <c r="F155" s="100"/>
      <c r="G155" s="88"/>
      <c r="H155" s="88"/>
    </row>
    <row r="156" spans="1:8" x14ac:dyDescent="0.25">
      <c r="A156" s="97"/>
      <c r="B156" s="98"/>
      <c r="C156" s="99"/>
      <c r="D156" s="100"/>
      <c r="E156" s="101"/>
      <c r="F156" s="100"/>
      <c r="G156" s="88"/>
      <c r="H156" s="88"/>
    </row>
    <row r="157" spans="1:8" x14ac:dyDescent="0.25">
      <c r="A157" s="97"/>
      <c r="B157" s="98"/>
      <c r="C157" s="99"/>
      <c r="D157" s="100"/>
      <c r="E157" s="101"/>
      <c r="F157" s="100"/>
      <c r="G157" s="88"/>
      <c r="H157" s="88"/>
    </row>
    <row r="158" spans="1:8" x14ac:dyDescent="0.25">
      <c r="A158" s="97"/>
      <c r="B158" s="98"/>
      <c r="C158" s="99"/>
      <c r="D158" s="100"/>
      <c r="E158" s="101"/>
      <c r="F158" s="100"/>
      <c r="G158" s="88"/>
      <c r="H158" s="88"/>
    </row>
    <row r="159" spans="1:8" x14ac:dyDescent="0.25">
      <c r="A159" s="97"/>
      <c r="B159" s="98"/>
      <c r="C159" s="99"/>
      <c r="D159" s="100"/>
      <c r="E159" s="101"/>
      <c r="F159" s="100"/>
      <c r="G159" s="88"/>
      <c r="H159" s="88"/>
    </row>
    <row r="160" spans="1:8" x14ac:dyDescent="0.25">
      <c r="A160" s="97"/>
      <c r="B160" s="98"/>
      <c r="C160" s="99"/>
      <c r="D160" s="100"/>
      <c r="E160" s="101"/>
      <c r="F160" s="100"/>
      <c r="G160" s="88"/>
      <c r="H160" s="88"/>
    </row>
    <row r="161" spans="1:8" x14ac:dyDescent="0.25">
      <c r="A161" s="97"/>
      <c r="B161" s="98"/>
      <c r="C161" s="99"/>
      <c r="D161" s="100"/>
      <c r="E161" s="101"/>
      <c r="F161" s="100"/>
      <c r="G161" s="88"/>
      <c r="H161" s="88"/>
    </row>
    <row r="162" spans="1:8" x14ac:dyDescent="0.25">
      <c r="A162" s="97"/>
      <c r="B162" s="98"/>
      <c r="C162" s="99"/>
      <c r="D162" s="100"/>
      <c r="E162" s="101"/>
      <c r="F162" s="100"/>
      <c r="G162" s="88"/>
      <c r="H162" s="88"/>
    </row>
    <row r="163" spans="1:8" x14ac:dyDescent="0.25">
      <c r="A163" s="97"/>
      <c r="B163" s="98"/>
      <c r="C163" s="99"/>
      <c r="D163" s="100"/>
      <c r="E163" s="101"/>
      <c r="F163" s="100"/>
      <c r="G163" s="88"/>
      <c r="H163" s="88"/>
    </row>
    <row r="164" spans="1:8" x14ac:dyDescent="0.25">
      <c r="A164" s="97"/>
      <c r="B164" s="98"/>
      <c r="C164" s="99"/>
      <c r="D164" s="100"/>
      <c r="E164" s="101"/>
      <c r="F164" s="100"/>
      <c r="G164" s="88"/>
      <c r="H164" s="88"/>
    </row>
    <row r="165" spans="1:8" x14ac:dyDescent="0.25">
      <c r="A165" s="97"/>
      <c r="B165" s="98"/>
      <c r="C165" s="99"/>
      <c r="D165" s="100"/>
      <c r="E165" s="101"/>
      <c r="F165" s="100"/>
      <c r="G165" s="88"/>
      <c r="H165" s="88"/>
    </row>
    <row r="166" spans="1:8" x14ac:dyDescent="0.25">
      <c r="A166" s="97"/>
      <c r="B166" s="98"/>
      <c r="C166" s="99"/>
      <c r="D166" s="100"/>
      <c r="E166" s="101"/>
      <c r="F166" s="100"/>
      <c r="G166" s="88"/>
      <c r="H166" s="88"/>
    </row>
    <row r="167" spans="1:8" x14ac:dyDescent="0.25">
      <c r="A167" s="97"/>
      <c r="B167" s="98"/>
      <c r="C167" s="99"/>
      <c r="D167" s="100"/>
      <c r="E167" s="101"/>
      <c r="F167" s="100"/>
      <c r="G167" s="88"/>
      <c r="H167" s="88"/>
    </row>
    <row r="168" spans="1:8" x14ac:dyDescent="0.25">
      <c r="A168" s="97"/>
      <c r="B168" s="98"/>
      <c r="C168" s="99"/>
      <c r="D168" s="100"/>
      <c r="E168" s="101"/>
      <c r="F168" s="100"/>
      <c r="G168" s="88"/>
      <c r="H168" s="88"/>
    </row>
    <row r="169" spans="1:8" x14ac:dyDescent="0.25">
      <c r="A169" s="97"/>
      <c r="B169" s="98"/>
      <c r="C169" s="99"/>
      <c r="D169" s="100"/>
      <c r="E169" s="101"/>
      <c r="F169" s="100"/>
      <c r="G169" s="88"/>
      <c r="H169" s="88"/>
    </row>
    <row r="170" spans="1:8" x14ac:dyDescent="0.25">
      <c r="A170" s="97"/>
      <c r="B170" s="98"/>
      <c r="C170" s="99"/>
      <c r="D170" s="100"/>
      <c r="E170" s="101"/>
      <c r="F170" s="100"/>
      <c r="G170" s="88"/>
      <c r="H170" s="88"/>
    </row>
    <row r="171" spans="1:8" x14ac:dyDescent="0.25">
      <c r="A171" s="97"/>
      <c r="B171" s="98"/>
      <c r="C171" s="99"/>
      <c r="D171" s="100"/>
      <c r="E171" s="101"/>
      <c r="F171" s="100"/>
      <c r="G171" s="88"/>
      <c r="H171" s="88"/>
    </row>
    <row r="172" spans="1:8" x14ac:dyDescent="0.25">
      <c r="A172" s="97"/>
      <c r="B172" s="98"/>
      <c r="C172" s="99"/>
      <c r="D172" s="100"/>
      <c r="E172" s="101"/>
      <c r="F172" s="100"/>
      <c r="G172" s="88"/>
      <c r="H172" s="88"/>
    </row>
    <row r="173" spans="1:8" x14ac:dyDescent="0.25">
      <c r="A173" s="97"/>
      <c r="B173" s="98"/>
      <c r="C173" s="99"/>
      <c r="D173" s="100"/>
      <c r="E173" s="101"/>
      <c r="F173" s="100"/>
      <c r="G173" s="88"/>
      <c r="H173" s="88"/>
    </row>
    <row r="174" spans="1:8" x14ac:dyDescent="0.25">
      <c r="A174" s="97"/>
      <c r="B174" s="98"/>
      <c r="C174" s="99"/>
      <c r="D174" s="100"/>
      <c r="E174" s="101"/>
      <c r="F174" s="100"/>
      <c r="G174" s="88"/>
      <c r="H174" s="88"/>
    </row>
    <row r="175" spans="1:8" x14ac:dyDescent="0.25">
      <c r="A175" s="97"/>
      <c r="B175" s="98"/>
      <c r="C175" s="99"/>
      <c r="D175" s="100"/>
      <c r="E175" s="101"/>
      <c r="F175" s="100"/>
      <c r="G175" s="88"/>
      <c r="H175" s="88"/>
    </row>
    <row r="176" spans="1:8" x14ac:dyDescent="0.25">
      <c r="A176" s="97"/>
      <c r="B176" s="98"/>
      <c r="C176" s="99"/>
      <c r="D176" s="100"/>
      <c r="E176" s="101"/>
      <c r="F176" s="100"/>
      <c r="G176" s="88"/>
      <c r="H176" s="88"/>
    </row>
    <row r="177" spans="1:8" x14ac:dyDescent="0.25">
      <c r="A177" s="97"/>
      <c r="B177" s="98"/>
      <c r="C177" s="99"/>
      <c r="D177" s="100"/>
      <c r="E177" s="101"/>
      <c r="F177" s="100"/>
      <c r="G177" s="88"/>
      <c r="H177" s="88"/>
    </row>
    <row r="178" spans="1:8" x14ac:dyDescent="0.25">
      <c r="A178" s="97"/>
      <c r="B178" s="98"/>
      <c r="C178" s="99"/>
      <c r="D178" s="100"/>
      <c r="E178" s="101"/>
      <c r="F178" s="100"/>
      <c r="G178" s="88"/>
      <c r="H178" s="88"/>
    </row>
    <row r="179" spans="1:8" x14ac:dyDescent="0.25">
      <c r="A179" s="97"/>
      <c r="B179" s="98"/>
      <c r="C179" s="99"/>
      <c r="D179" s="100"/>
      <c r="E179" s="101"/>
      <c r="F179" s="100"/>
      <c r="G179" s="88"/>
      <c r="H179" s="88"/>
    </row>
    <row r="180" spans="1:8" x14ac:dyDescent="0.25">
      <c r="A180" s="97"/>
      <c r="B180" s="98"/>
      <c r="C180" s="99"/>
      <c r="D180" s="100"/>
      <c r="E180" s="101"/>
      <c r="F180" s="100"/>
      <c r="G180" s="88"/>
      <c r="H180" s="88"/>
    </row>
    <row r="181" spans="1:8" x14ac:dyDescent="0.25">
      <c r="A181" s="97"/>
      <c r="B181" s="98"/>
      <c r="C181" s="99"/>
      <c r="D181" s="100"/>
      <c r="E181" s="101"/>
      <c r="F181" s="100"/>
      <c r="G181" s="88"/>
      <c r="H181" s="88"/>
    </row>
    <row r="182" spans="1:8" x14ac:dyDescent="0.25">
      <c r="A182" s="97"/>
      <c r="B182" s="98"/>
      <c r="C182" s="99"/>
      <c r="D182" s="100"/>
      <c r="E182" s="101"/>
      <c r="F182" s="100"/>
      <c r="G182" s="88"/>
      <c r="H182" s="88"/>
    </row>
    <row r="183" spans="1:8" x14ac:dyDescent="0.25">
      <c r="A183" s="97"/>
      <c r="B183" s="98"/>
      <c r="C183" s="99"/>
      <c r="D183" s="100"/>
      <c r="E183" s="101"/>
      <c r="F183" s="100"/>
      <c r="G183" s="88"/>
      <c r="H183" s="88"/>
    </row>
    <row r="184" spans="1:8" x14ac:dyDescent="0.25">
      <c r="A184" s="97"/>
      <c r="B184" s="98"/>
      <c r="C184" s="99"/>
      <c r="D184" s="100"/>
      <c r="E184" s="101"/>
      <c r="F184" s="100"/>
      <c r="G184" s="88"/>
      <c r="H184" s="88"/>
    </row>
    <row r="185" spans="1:8" x14ac:dyDescent="0.25">
      <c r="A185" s="97"/>
      <c r="B185" s="98"/>
      <c r="C185" s="99"/>
      <c r="D185" s="100"/>
      <c r="E185" s="101"/>
      <c r="F185" s="100"/>
      <c r="G185" s="88"/>
      <c r="H185" s="88"/>
    </row>
    <row r="186" spans="1:8" x14ac:dyDescent="0.25">
      <c r="A186" s="97"/>
      <c r="B186" s="98"/>
      <c r="C186" s="99"/>
      <c r="D186" s="100"/>
      <c r="E186" s="101"/>
      <c r="F186" s="100"/>
      <c r="G186" s="88"/>
      <c r="H186" s="88"/>
    </row>
    <row r="187" spans="1:8" x14ac:dyDescent="0.25">
      <c r="A187" s="97"/>
      <c r="B187" s="98"/>
      <c r="C187" s="99"/>
      <c r="D187" s="100"/>
      <c r="E187" s="101"/>
      <c r="F187" s="100"/>
      <c r="G187" s="88"/>
      <c r="H187" s="88"/>
    </row>
    <row r="188" spans="1:8" x14ac:dyDescent="0.25">
      <c r="A188" s="97"/>
      <c r="B188" s="98"/>
      <c r="C188" s="99"/>
      <c r="D188" s="100"/>
      <c r="E188" s="101"/>
      <c r="F188" s="100"/>
      <c r="G188" s="88"/>
      <c r="H188" s="88"/>
    </row>
    <row r="189" spans="1:8" x14ac:dyDescent="0.25">
      <c r="A189" s="97"/>
      <c r="B189" s="98"/>
      <c r="C189" s="99"/>
      <c r="D189" s="100"/>
      <c r="E189" s="101"/>
      <c r="F189" s="100"/>
      <c r="G189" s="88"/>
      <c r="H189" s="88"/>
    </row>
    <row r="190" spans="1:8" x14ac:dyDescent="0.25">
      <c r="A190" s="97"/>
      <c r="B190" s="98"/>
      <c r="C190" s="99"/>
      <c r="D190" s="100"/>
      <c r="E190" s="101"/>
      <c r="F190" s="100"/>
      <c r="G190" s="88"/>
      <c r="H190" s="88"/>
    </row>
    <row r="191" spans="1:8" x14ac:dyDescent="0.25">
      <c r="A191" s="97"/>
      <c r="B191" s="98"/>
      <c r="C191" s="99"/>
      <c r="D191" s="100"/>
      <c r="E191" s="101"/>
      <c r="F191" s="100"/>
      <c r="G191" s="88"/>
      <c r="H191" s="88"/>
    </row>
    <row r="192" spans="1:8" x14ac:dyDescent="0.25">
      <c r="A192" s="97"/>
      <c r="B192" s="98"/>
      <c r="C192" s="99"/>
      <c r="D192" s="100"/>
      <c r="E192" s="101"/>
      <c r="F192" s="100"/>
      <c r="G192" s="88"/>
      <c r="H192" s="88"/>
    </row>
    <row r="193" spans="1:8" x14ac:dyDescent="0.25">
      <c r="A193" s="97"/>
      <c r="B193" s="98"/>
      <c r="C193" s="99"/>
      <c r="D193" s="100"/>
      <c r="E193" s="101"/>
      <c r="F193" s="100"/>
      <c r="G193" s="88"/>
      <c r="H193" s="88"/>
    </row>
    <row r="194" spans="1:8" x14ac:dyDescent="0.25">
      <c r="A194" s="97"/>
      <c r="B194" s="98"/>
      <c r="C194" s="99"/>
      <c r="D194" s="100"/>
      <c r="E194" s="101"/>
      <c r="F194" s="100"/>
      <c r="G194" s="88"/>
      <c r="H194" s="88"/>
    </row>
    <row r="195" spans="1:8" x14ac:dyDescent="0.25">
      <c r="A195" s="97"/>
      <c r="B195" s="98"/>
      <c r="C195" s="99"/>
      <c r="D195" s="100"/>
      <c r="E195" s="101"/>
      <c r="F195" s="100"/>
      <c r="G195" s="88"/>
      <c r="H195" s="88"/>
    </row>
    <row r="196" spans="1:8" x14ac:dyDescent="0.25">
      <c r="A196" s="97"/>
      <c r="B196" s="98"/>
      <c r="C196" s="99"/>
      <c r="D196" s="100"/>
      <c r="E196" s="101"/>
      <c r="F196" s="100"/>
      <c r="G196" s="88"/>
      <c r="H196" s="88"/>
    </row>
    <row r="197" spans="1:8" x14ac:dyDescent="0.25">
      <c r="A197" s="97"/>
      <c r="B197" s="98"/>
      <c r="C197" s="99"/>
      <c r="D197" s="100"/>
      <c r="E197" s="101"/>
      <c r="F197" s="100"/>
      <c r="G197" s="88"/>
      <c r="H197" s="88"/>
    </row>
    <row r="198" spans="1:8" x14ac:dyDescent="0.25">
      <c r="A198" s="97"/>
      <c r="B198" s="98"/>
      <c r="C198" s="99"/>
      <c r="D198" s="100"/>
      <c r="E198" s="101"/>
      <c r="F198" s="100"/>
      <c r="G198" s="88"/>
      <c r="H198" s="88"/>
    </row>
    <row r="199" spans="1:8" x14ac:dyDescent="0.25">
      <c r="A199" s="97"/>
      <c r="B199" s="98"/>
      <c r="C199" s="99"/>
      <c r="D199" s="100"/>
      <c r="E199" s="101"/>
      <c r="F199" s="100"/>
      <c r="G199" s="88"/>
      <c r="H199" s="88"/>
    </row>
    <row r="200" spans="1:8" x14ac:dyDescent="0.25">
      <c r="A200" s="97"/>
      <c r="B200" s="98"/>
      <c r="C200" s="99"/>
      <c r="D200" s="100"/>
      <c r="E200" s="101"/>
      <c r="F200" s="100"/>
      <c r="G200" s="88"/>
      <c r="H200" s="88"/>
    </row>
    <row r="201" spans="1:8" x14ac:dyDescent="0.25">
      <c r="A201" s="97"/>
      <c r="B201" s="98"/>
      <c r="C201" s="99"/>
      <c r="D201" s="100"/>
      <c r="E201" s="101"/>
      <c r="F201" s="100"/>
      <c r="G201" s="88"/>
      <c r="H201" s="88"/>
    </row>
    <row r="202" spans="1:8" x14ac:dyDescent="0.25">
      <c r="A202" s="97"/>
      <c r="B202" s="98"/>
      <c r="C202" s="99"/>
      <c r="D202" s="100"/>
      <c r="E202" s="101"/>
      <c r="F202" s="100"/>
      <c r="G202" s="88"/>
      <c r="H202" s="88"/>
    </row>
    <row r="203" spans="1:8" x14ac:dyDescent="0.25">
      <c r="A203" s="97"/>
      <c r="B203" s="98"/>
      <c r="C203" s="99"/>
      <c r="D203" s="100"/>
      <c r="E203" s="101"/>
      <c r="F203" s="100"/>
      <c r="G203" s="88"/>
      <c r="H203" s="88"/>
    </row>
    <row r="204" spans="1:8" x14ac:dyDescent="0.25">
      <c r="A204" s="97"/>
      <c r="B204" s="98"/>
      <c r="C204" s="99"/>
      <c r="D204" s="100"/>
      <c r="E204" s="101"/>
      <c r="F204" s="100"/>
      <c r="G204" s="88"/>
      <c r="H204" s="88"/>
    </row>
    <row r="205" spans="1:8" x14ac:dyDescent="0.25">
      <c r="A205" s="97"/>
      <c r="B205" s="98"/>
      <c r="C205" s="99"/>
      <c r="D205" s="100"/>
      <c r="E205" s="101"/>
      <c r="F205" s="100"/>
      <c r="G205" s="88"/>
      <c r="H205" s="88"/>
    </row>
    <row r="206" spans="1:8" x14ac:dyDescent="0.25">
      <c r="A206" s="97"/>
      <c r="B206" s="98"/>
      <c r="C206" s="99"/>
      <c r="D206" s="100"/>
      <c r="E206" s="101"/>
      <c r="F206" s="100"/>
      <c r="G206" s="88"/>
      <c r="H206" s="88"/>
    </row>
    <row r="207" spans="1:8" x14ac:dyDescent="0.25">
      <c r="A207" s="97"/>
      <c r="B207" s="98"/>
      <c r="C207" s="99"/>
      <c r="D207" s="100"/>
      <c r="E207" s="101"/>
      <c r="F207" s="100"/>
      <c r="G207" s="88"/>
      <c r="H207" s="88"/>
    </row>
    <row r="208" spans="1:8" x14ac:dyDescent="0.25">
      <c r="A208" s="97"/>
      <c r="B208" s="98"/>
      <c r="C208" s="99"/>
      <c r="D208" s="100"/>
      <c r="E208" s="101"/>
      <c r="F208" s="100"/>
      <c r="G208" s="88"/>
      <c r="H208" s="88"/>
    </row>
    <row r="209" spans="1:8" x14ac:dyDescent="0.25">
      <c r="A209" s="102"/>
      <c r="B209" s="103"/>
      <c r="C209" s="99"/>
      <c r="D209" s="100"/>
      <c r="E209" s="101"/>
      <c r="F209" s="100"/>
      <c r="G209" s="88"/>
      <c r="H209" s="88"/>
    </row>
    <row r="210" spans="1:8" x14ac:dyDescent="0.25">
      <c r="A210" s="97"/>
      <c r="B210" s="98"/>
      <c r="C210" s="99"/>
      <c r="D210" s="100"/>
      <c r="E210" s="101"/>
      <c r="F210" s="100"/>
      <c r="G210" s="88"/>
      <c r="H210" s="88"/>
    </row>
    <row r="211" spans="1:8" x14ac:dyDescent="0.25">
      <c r="A211" s="97"/>
      <c r="B211" s="98"/>
      <c r="C211" s="99"/>
      <c r="D211" s="100"/>
      <c r="E211" s="101"/>
      <c r="F211" s="100"/>
      <c r="G211" s="88"/>
      <c r="H211" s="88"/>
    </row>
    <row r="212" spans="1:8" x14ac:dyDescent="0.25">
      <c r="A212" s="97"/>
      <c r="B212" s="98"/>
      <c r="C212" s="99"/>
      <c r="D212" s="100"/>
      <c r="E212" s="101"/>
      <c r="F212" s="100"/>
      <c r="G212" s="88"/>
      <c r="H212" s="88"/>
    </row>
    <row r="213" spans="1:8" x14ac:dyDescent="0.25">
      <c r="A213" s="97"/>
      <c r="B213" s="98"/>
      <c r="C213" s="99"/>
      <c r="D213" s="100"/>
      <c r="E213" s="101"/>
      <c r="F213" s="100"/>
      <c r="G213" s="88"/>
      <c r="H213" s="88"/>
    </row>
    <row r="214" spans="1:8" x14ac:dyDescent="0.25">
      <c r="A214" s="97"/>
      <c r="B214" s="98"/>
      <c r="C214" s="99"/>
      <c r="D214" s="100"/>
      <c r="E214" s="101"/>
      <c r="F214" s="100"/>
      <c r="G214" s="88"/>
      <c r="H214" s="88"/>
    </row>
    <row r="215" spans="1:8" x14ac:dyDescent="0.25">
      <c r="A215" s="97"/>
      <c r="B215" s="98"/>
      <c r="C215" s="99"/>
      <c r="D215" s="100"/>
      <c r="E215" s="101"/>
      <c r="F215" s="100"/>
      <c r="G215" s="88"/>
      <c r="H215" s="88"/>
    </row>
    <row r="216" spans="1:8" x14ac:dyDescent="0.25">
      <c r="A216" s="97"/>
      <c r="B216" s="98"/>
      <c r="C216" s="104"/>
      <c r="D216" s="88"/>
      <c r="E216" s="105"/>
      <c r="F216" s="88"/>
      <c r="G216" s="88"/>
      <c r="H216" s="88"/>
    </row>
    <row r="217" spans="1:8" x14ac:dyDescent="0.25">
      <c r="A217" s="106"/>
      <c r="B217" s="136"/>
      <c r="C217" s="108"/>
      <c r="D217" s="136"/>
      <c r="E217" s="105"/>
      <c r="F217" s="136"/>
      <c r="G217" s="88"/>
      <c r="H217" s="88"/>
    </row>
    <row r="218" spans="1:8" x14ac:dyDescent="0.25">
      <c r="A218" s="109"/>
      <c r="B218" s="137"/>
      <c r="C218" s="104"/>
      <c r="D218" s="100"/>
      <c r="E218" s="105"/>
      <c r="F218" s="100"/>
      <c r="G218" s="88"/>
      <c r="H218" s="88"/>
    </row>
    <row r="219" spans="1:8" x14ac:dyDescent="0.25">
      <c r="A219" s="109"/>
      <c r="B219" s="103"/>
      <c r="C219" s="99"/>
      <c r="D219" s="111"/>
      <c r="E219" s="105"/>
      <c r="F219" s="100"/>
      <c r="G219" s="88"/>
      <c r="H219" s="88"/>
    </row>
    <row r="220" spans="1:8" x14ac:dyDescent="0.25">
      <c r="A220" s="109"/>
      <c r="B220" s="137"/>
      <c r="C220" s="104"/>
      <c r="D220" s="110"/>
      <c r="E220" s="105"/>
      <c r="F220" s="100"/>
      <c r="G220" s="88"/>
      <c r="H220" s="88"/>
    </row>
    <row r="221" spans="1:8" x14ac:dyDescent="0.25">
      <c r="A221" s="106"/>
      <c r="B221" s="136"/>
      <c r="C221" s="108"/>
      <c r="D221" s="107"/>
      <c r="E221" s="105"/>
      <c r="F221" s="100"/>
      <c r="G221" s="88"/>
      <c r="H221" s="88"/>
    </row>
    <row r="222" spans="1:8" x14ac:dyDescent="0.25">
      <c r="A222" s="109"/>
      <c r="B222" s="110"/>
      <c r="C222" s="104"/>
      <c r="D222" s="110"/>
      <c r="E222" s="105"/>
      <c r="F222" s="100"/>
      <c r="G222" s="88"/>
      <c r="H222" s="88"/>
    </row>
    <row r="223" spans="1:8" x14ac:dyDescent="0.25">
      <c r="A223" s="88"/>
      <c r="B223" s="88"/>
      <c r="C223" s="88"/>
      <c r="D223" s="88"/>
      <c r="E223" s="88"/>
      <c r="F223" s="88"/>
      <c r="G223" s="88"/>
      <c r="H223" s="88"/>
    </row>
    <row r="224" spans="1:8" x14ac:dyDescent="0.25">
      <c r="A224" s="88"/>
      <c r="B224" s="88"/>
      <c r="C224" s="88"/>
      <c r="D224" s="88"/>
      <c r="E224" s="88"/>
      <c r="F224" s="88"/>
      <c r="G224" s="88"/>
      <c r="H224" s="88"/>
    </row>
    <row r="225" spans="1:8" x14ac:dyDescent="0.25">
      <c r="A225" s="88"/>
      <c r="B225" s="88"/>
      <c r="C225" s="88"/>
      <c r="D225" s="88"/>
      <c r="E225" s="88"/>
      <c r="F225" s="88"/>
      <c r="G225" s="88"/>
      <c r="H225" s="88"/>
    </row>
    <row r="226" spans="1:8" x14ac:dyDescent="0.25">
      <c r="A226" s="88"/>
      <c r="B226" s="88"/>
      <c r="C226" s="88"/>
      <c r="D226" s="88"/>
      <c r="E226" s="88"/>
      <c r="F226" s="88"/>
      <c r="G226" s="88"/>
      <c r="H226" s="88"/>
    </row>
  </sheetData>
  <phoneticPr fontId="8" type="noConversion"/>
  <pageMargins left="0.75" right="0.75" top="1" bottom="1" header="0.5" footer="0.5"/>
  <pageSetup scale="4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35"/>
  <sheetViews>
    <sheetView workbookViewId="0">
      <selection activeCell="K5" sqref="K5"/>
    </sheetView>
  </sheetViews>
  <sheetFormatPr defaultRowHeight="15.75" x14ac:dyDescent="0.25"/>
  <cols>
    <col min="1" max="1" width="4.375" customWidth="1"/>
    <col min="2" max="2" width="1.625" customWidth="1"/>
    <col min="3" max="3" width="40.125" customWidth="1"/>
    <col min="4" max="4" width="1.5" customWidth="1"/>
    <col min="5" max="6" width="1.25" customWidth="1"/>
    <col min="7" max="7" width="7.75" customWidth="1"/>
    <col min="8" max="8" width="1.25" customWidth="1"/>
    <col min="9" max="9" width="15.375" customWidth="1"/>
    <col min="10" max="10" width="1.75" customWidth="1"/>
    <col min="11" max="11" width="10" customWidth="1"/>
    <col min="12" max="12" width="1.875" customWidth="1"/>
    <col min="13" max="13" width="7.375" customWidth="1"/>
    <col min="14" max="14" width="1.625" customWidth="1"/>
    <col min="15" max="15" width="11.5" customWidth="1"/>
  </cols>
  <sheetData>
    <row r="1" spans="1:15" x14ac:dyDescent="0.25">
      <c r="A1" t="s">
        <v>256</v>
      </c>
      <c r="K1" t="s">
        <v>386</v>
      </c>
      <c r="M1" s="16"/>
      <c r="N1" s="16"/>
      <c r="O1" s="16"/>
    </row>
    <row r="2" spans="1:15" x14ac:dyDescent="0.25">
      <c r="A2" t="s">
        <v>147</v>
      </c>
      <c r="K2" t="s">
        <v>261</v>
      </c>
      <c r="M2" s="16"/>
      <c r="N2" s="16"/>
      <c r="O2" s="16"/>
    </row>
    <row r="3" spans="1:15" x14ac:dyDescent="0.25">
      <c r="A3" t="s">
        <v>148</v>
      </c>
      <c r="K3" t="s">
        <v>448</v>
      </c>
      <c r="M3" s="16"/>
      <c r="N3" s="16"/>
      <c r="O3" s="16"/>
    </row>
    <row r="4" spans="1:15" x14ac:dyDescent="0.25">
      <c r="A4" t="s">
        <v>85</v>
      </c>
      <c r="K4" t="str">
        <f>'DMR-2'!G4</f>
        <v>Revised 3/29/16</v>
      </c>
      <c r="M4" s="16"/>
      <c r="N4" s="16"/>
      <c r="O4" s="16"/>
    </row>
    <row r="5" spans="1:15" x14ac:dyDescent="0.25">
      <c r="A5" t="s">
        <v>384</v>
      </c>
      <c r="M5" s="16"/>
      <c r="N5" s="16"/>
      <c r="O5" s="16"/>
    </row>
    <row r="6" spans="1:15" x14ac:dyDescent="0.25">
      <c r="A6" s="16"/>
      <c r="B6" s="16"/>
      <c r="C6" s="16"/>
      <c r="D6" s="16"/>
      <c r="E6" s="16"/>
      <c r="F6" s="16"/>
      <c r="G6" s="16"/>
      <c r="H6" s="16"/>
      <c r="I6" s="16"/>
      <c r="J6" s="16"/>
      <c r="K6" s="16"/>
      <c r="L6" s="16"/>
      <c r="M6" s="16"/>
      <c r="N6" s="16"/>
      <c r="O6" s="16"/>
    </row>
    <row r="7" spans="1:15" x14ac:dyDescent="0.25">
      <c r="A7" s="16"/>
      <c r="B7" s="16"/>
      <c r="C7" s="16"/>
      <c r="D7" s="16"/>
      <c r="E7" s="16"/>
      <c r="F7" s="16"/>
      <c r="G7" s="16"/>
      <c r="H7" s="16"/>
      <c r="I7" s="16"/>
      <c r="J7" s="16"/>
      <c r="K7" s="16"/>
      <c r="L7" s="16"/>
      <c r="M7" s="16"/>
      <c r="N7" s="16"/>
      <c r="O7" s="209" t="s">
        <v>478</v>
      </c>
    </row>
    <row r="8" spans="1:15" x14ac:dyDescent="0.25">
      <c r="G8" s="1"/>
      <c r="H8" s="1"/>
      <c r="I8" s="1" t="s">
        <v>4</v>
      </c>
      <c r="J8" s="1"/>
      <c r="K8" s="1"/>
      <c r="L8" s="1"/>
      <c r="M8" s="1"/>
      <c r="N8" s="1"/>
      <c r="O8" s="1" t="s">
        <v>145</v>
      </c>
    </row>
    <row r="9" spans="1:15" x14ac:dyDescent="0.25">
      <c r="A9" s="4"/>
      <c r="C9" s="2" t="s">
        <v>1</v>
      </c>
      <c r="D9" s="4"/>
      <c r="E9" s="14"/>
      <c r="G9" s="10" t="s">
        <v>10</v>
      </c>
      <c r="H9" s="1"/>
      <c r="I9" s="10" t="s">
        <v>6</v>
      </c>
      <c r="J9" s="1"/>
      <c r="K9" s="10" t="s">
        <v>7</v>
      </c>
      <c r="L9" s="1"/>
      <c r="M9" s="11" t="s">
        <v>9</v>
      </c>
      <c r="N9" s="1"/>
      <c r="O9" s="10" t="s">
        <v>8</v>
      </c>
    </row>
    <row r="11" spans="1:15" x14ac:dyDescent="0.25">
      <c r="C11" s="3" t="s">
        <v>11</v>
      </c>
    </row>
    <row r="13" spans="1:15" x14ac:dyDescent="0.25">
      <c r="A13">
        <v>1</v>
      </c>
      <c r="C13" t="s">
        <v>86</v>
      </c>
      <c r="G13" s="47" t="s">
        <v>76</v>
      </c>
      <c r="I13" s="42">
        <f>I22</f>
        <v>-1252917.4696039285</v>
      </c>
      <c r="K13" s="1" t="s">
        <v>77</v>
      </c>
      <c r="L13" s="1"/>
      <c r="M13" s="1" t="s">
        <v>77</v>
      </c>
      <c r="O13" s="208">
        <f>Sch9p2!F85</f>
        <v>-78556.38252436812</v>
      </c>
    </row>
    <row r="16" spans="1:15" x14ac:dyDescent="0.25">
      <c r="I16" s="42"/>
    </row>
    <row r="17" spans="1:15" x14ac:dyDescent="0.25">
      <c r="C17" s="3" t="s">
        <v>79</v>
      </c>
      <c r="I17" s="42"/>
    </row>
    <row r="18" spans="1:15" x14ac:dyDescent="0.25">
      <c r="A18" t="s">
        <v>80</v>
      </c>
      <c r="C18" s="18" t="s">
        <v>181</v>
      </c>
      <c r="D18" s="4"/>
      <c r="E18" s="4"/>
      <c r="F18" s="4"/>
      <c r="G18" s="4"/>
      <c r="H18" s="4"/>
      <c r="I18" s="44">
        <f>24712488-937209</f>
        <v>23775279</v>
      </c>
      <c r="J18" s="4"/>
      <c r="K18" s="13" t="s">
        <v>196</v>
      </c>
    </row>
    <row r="19" spans="1:15" x14ac:dyDescent="0.25">
      <c r="A19" t="s">
        <v>81</v>
      </c>
      <c r="C19" t="s">
        <v>465</v>
      </c>
      <c r="I19" s="43">
        <f>22855427-920000</f>
        <v>21935427</v>
      </c>
      <c r="K19" s="13" t="s">
        <v>197</v>
      </c>
    </row>
    <row r="20" spans="1:15" x14ac:dyDescent="0.25">
      <c r="A20" t="s">
        <v>82</v>
      </c>
      <c r="C20" t="s">
        <v>182</v>
      </c>
      <c r="I20" s="44">
        <f>I19-I18</f>
        <v>-1839852</v>
      </c>
      <c r="K20" t="s">
        <v>183</v>
      </c>
    </row>
    <row r="21" spans="1:15" x14ac:dyDescent="0.25">
      <c r="A21" s="4" t="s">
        <v>83</v>
      </c>
      <c r="B21" s="4"/>
      <c r="C21" s="18" t="s">
        <v>123</v>
      </c>
      <c r="D21" s="4"/>
      <c r="E21" s="4"/>
      <c r="F21" s="4"/>
      <c r="G21" s="4"/>
      <c r="H21" s="4"/>
      <c r="I21" s="71">
        <f>Sch9p2!C85</f>
        <v>0.68098818252986026</v>
      </c>
      <c r="J21" s="4"/>
    </row>
    <row r="22" spans="1:15" x14ac:dyDescent="0.25">
      <c r="A22" s="18" t="s">
        <v>84</v>
      </c>
      <c r="B22" s="4"/>
      <c r="C22" s="18" t="s">
        <v>86</v>
      </c>
      <c r="D22" s="4"/>
      <c r="E22" s="4"/>
      <c r="F22" s="4"/>
      <c r="G22" s="4"/>
      <c r="H22" s="4"/>
      <c r="I22" s="72">
        <f>I20*I21</f>
        <v>-1252917.4696039285</v>
      </c>
      <c r="J22" s="4"/>
    </row>
    <row r="23" spans="1:15" x14ac:dyDescent="0.25">
      <c r="A23" s="4"/>
      <c r="B23" s="4"/>
    </row>
    <row r="24" spans="1:15" x14ac:dyDescent="0.25">
      <c r="A24" s="4"/>
      <c r="B24" s="4"/>
      <c r="C24" s="180" t="s">
        <v>387</v>
      </c>
      <c r="D24" s="4"/>
      <c r="E24" s="4"/>
      <c r="F24" s="4"/>
      <c r="G24" s="4"/>
      <c r="H24" s="4"/>
      <c r="I24" s="44"/>
      <c r="J24" s="4"/>
      <c r="K24" s="4"/>
      <c r="L24" s="4"/>
      <c r="M24" s="4"/>
    </row>
    <row r="25" spans="1:15" x14ac:dyDescent="0.25">
      <c r="A25" s="4"/>
      <c r="B25" s="4"/>
      <c r="C25" s="174" t="s">
        <v>330</v>
      </c>
      <c r="D25" s="4"/>
      <c r="E25" s="4"/>
      <c r="F25" s="4"/>
      <c r="G25" s="4"/>
      <c r="H25" s="4"/>
      <c r="I25" s="19"/>
      <c r="J25" s="4"/>
      <c r="K25" s="4"/>
      <c r="L25" s="4"/>
      <c r="M25" s="4"/>
    </row>
    <row r="26" spans="1:15" x14ac:dyDescent="0.25">
      <c r="A26" s="4"/>
      <c r="B26" s="4"/>
      <c r="C26" s="18" t="s">
        <v>460</v>
      </c>
      <c r="D26" s="4"/>
      <c r="E26" s="4"/>
      <c r="F26" s="4"/>
      <c r="G26" s="4"/>
      <c r="H26" s="4"/>
      <c r="I26" s="44"/>
      <c r="J26" s="4"/>
      <c r="K26" s="4"/>
      <c r="L26" s="4"/>
      <c r="M26" s="4"/>
    </row>
    <row r="27" spans="1:15" x14ac:dyDescent="0.25">
      <c r="A27" s="4"/>
      <c r="B27" s="4"/>
      <c r="C27" s="18" t="s">
        <v>461</v>
      </c>
      <c r="D27" s="4"/>
      <c r="E27" s="4"/>
      <c r="F27" s="4"/>
      <c r="G27" s="4"/>
      <c r="H27" s="4"/>
      <c r="I27" s="44"/>
      <c r="J27" s="4"/>
      <c r="K27" s="4"/>
      <c r="L27" s="4"/>
      <c r="M27" s="4"/>
    </row>
    <row r="28" spans="1:15" x14ac:dyDescent="0.25">
      <c r="A28" s="4"/>
      <c r="B28" s="4"/>
      <c r="C28" s="174" t="s">
        <v>463</v>
      </c>
      <c r="D28" s="4"/>
      <c r="E28" s="4"/>
      <c r="F28" s="4"/>
      <c r="G28" s="4"/>
      <c r="H28" s="4"/>
      <c r="I28" s="44"/>
      <c r="J28" s="4"/>
      <c r="K28" s="4"/>
      <c r="L28" s="4"/>
      <c r="M28" s="4"/>
    </row>
    <row r="29" spans="1:15" x14ac:dyDescent="0.25">
      <c r="A29" s="4"/>
      <c r="B29" s="4"/>
      <c r="C29" s="174" t="s">
        <v>462</v>
      </c>
      <c r="D29" s="4"/>
      <c r="E29" s="4"/>
      <c r="F29" s="4"/>
      <c r="G29" s="4"/>
      <c r="H29" s="4"/>
      <c r="I29" s="4"/>
      <c r="J29" s="4"/>
      <c r="K29" s="4"/>
      <c r="L29" s="4"/>
      <c r="M29" s="4"/>
    </row>
    <row r="30" spans="1:15" x14ac:dyDescent="0.25">
      <c r="A30" s="4"/>
      <c r="B30" s="4"/>
      <c r="C30" s="18"/>
      <c r="D30" s="4"/>
      <c r="E30" s="4"/>
      <c r="F30" s="4"/>
      <c r="G30" s="4"/>
      <c r="H30" s="4"/>
      <c r="I30" s="4"/>
      <c r="J30" s="4"/>
      <c r="K30" s="4"/>
      <c r="L30" s="4"/>
      <c r="M30" s="4"/>
    </row>
    <row r="31" spans="1:15" x14ac:dyDescent="0.25">
      <c r="C31" t="s">
        <v>78</v>
      </c>
    </row>
    <row r="32" spans="1:15" x14ac:dyDescent="0.25">
      <c r="C32" s="222" t="s">
        <v>331</v>
      </c>
      <c r="D32" s="223"/>
      <c r="E32" s="223"/>
      <c r="F32" s="223"/>
      <c r="G32" s="223"/>
      <c r="H32" s="223"/>
      <c r="I32" s="223"/>
      <c r="J32" s="223"/>
      <c r="K32" s="223"/>
      <c r="L32" s="223"/>
      <c r="M32" s="223"/>
      <c r="N32" s="223"/>
      <c r="O32" s="224"/>
    </row>
    <row r="33" spans="3:15" x14ac:dyDescent="0.25">
      <c r="C33" s="225"/>
      <c r="D33" s="226"/>
      <c r="E33" s="226"/>
      <c r="F33" s="226"/>
      <c r="G33" s="226"/>
      <c r="H33" s="226"/>
      <c r="I33" s="226"/>
      <c r="J33" s="226"/>
      <c r="K33" s="226"/>
      <c r="L33" s="226"/>
      <c r="M33" s="226"/>
      <c r="N33" s="226"/>
      <c r="O33" s="227"/>
    </row>
    <row r="34" spans="3:15" x14ac:dyDescent="0.25">
      <c r="C34" s="225"/>
      <c r="D34" s="226"/>
      <c r="E34" s="226"/>
      <c r="F34" s="226"/>
      <c r="G34" s="226"/>
      <c r="H34" s="226"/>
      <c r="I34" s="226"/>
      <c r="J34" s="226"/>
      <c r="K34" s="226"/>
      <c r="L34" s="226"/>
      <c r="M34" s="226"/>
      <c r="N34" s="226"/>
      <c r="O34" s="227"/>
    </row>
    <row r="35" spans="3:15" x14ac:dyDescent="0.25">
      <c r="C35" s="228"/>
      <c r="D35" s="229"/>
      <c r="E35" s="229"/>
      <c r="F35" s="229"/>
      <c r="G35" s="229"/>
      <c r="H35" s="229"/>
      <c r="I35" s="229"/>
      <c r="J35" s="229"/>
      <c r="K35" s="229"/>
      <c r="L35" s="229"/>
      <c r="M35" s="229"/>
      <c r="N35" s="229"/>
      <c r="O35" s="230"/>
    </row>
  </sheetData>
  <mergeCells count="1">
    <mergeCell ref="C32:O35"/>
  </mergeCells>
  <phoneticPr fontId="8" type="noConversion"/>
  <pageMargins left="0.75" right="0.75" top="1" bottom="1" header="0.5" footer="0.5"/>
  <pageSetup scale="7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225"/>
  <sheetViews>
    <sheetView workbookViewId="0">
      <selection activeCell="E5" sqref="E5"/>
    </sheetView>
  </sheetViews>
  <sheetFormatPr defaultRowHeight="15.75" x14ac:dyDescent="0.25"/>
  <cols>
    <col min="1" max="1" width="17.625" style="74" customWidth="1"/>
    <col min="2" max="2" width="14.75" style="74" customWidth="1"/>
    <col min="3" max="3" width="9.625" style="74" customWidth="1"/>
    <col min="4" max="4" width="12" style="74" customWidth="1"/>
    <col min="5" max="5" width="10.875" style="74" customWidth="1"/>
    <col min="6" max="6" width="12.125" style="74" customWidth="1"/>
    <col min="7" max="16384" width="9" style="74"/>
  </cols>
  <sheetData>
    <row r="1" spans="1:10" x14ac:dyDescent="0.25">
      <c r="A1" s="74" t="s">
        <v>257</v>
      </c>
      <c r="B1"/>
      <c r="C1"/>
      <c r="D1"/>
      <c r="E1" t="s">
        <v>386</v>
      </c>
    </row>
    <row r="2" spans="1:10" x14ac:dyDescent="0.25">
      <c r="A2" t="s">
        <v>147</v>
      </c>
      <c r="B2"/>
      <c r="C2"/>
      <c r="D2"/>
      <c r="E2" t="s">
        <v>261</v>
      </c>
    </row>
    <row r="3" spans="1:10" x14ac:dyDescent="0.25">
      <c r="A3" t="s">
        <v>148</v>
      </c>
      <c r="B3"/>
      <c r="C3"/>
      <c r="D3"/>
      <c r="E3" t="s">
        <v>449</v>
      </c>
    </row>
    <row r="4" spans="1:10" x14ac:dyDescent="0.25">
      <c r="A4" t="s">
        <v>85</v>
      </c>
      <c r="B4"/>
      <c r="C4"/>
      <c r="D4"/>
      <c r="E4" t="str">
        <f>Sch9p1!K4</f>
        <v>Revised 3/29/16</v>
      </c>
    </row>
    <row r="5" spans="1:10" ht="15" customHeight="1" x14ac:dyDescent="0.25">
      <c r="A5" t="s">
        <v>384</v>
      </c>
      <c r="B5"/>
      <c r="C5"/>
      <c r="D5"/>
      <c r="E5" s="206" t="s">
        <v>478</v>
      </c>
      <c r="F5" s="206" t="s">
        <v>478</v>
      </c>
      <c r="H5" s="88"/>
      <c r="I5" s="88"/>
      <c r="J5" s="88"/>
    </row>
    <row r="6" spans="1:10" x14ac:dyDescent="0.25">
      <c r="A6" s="112"/>
      <c r="B6" s="113" t="s">
        <v>64</v>
      </c>
      <c r="C6" s="114"/>
      <c r="D6" s="29" t="s">
        <v>169</v>
      </c>
      <c r="E6" s="206" t="s">
        <v>8</v>
      </c>
      <c r="F6" s="206" t="s">
        <v>145</v>
      </c>
      <c r="H6" s="88"/>
      <c r="I6" s="88"/>
      <c r="J6" s="88"/>
    </row>
    <row r="7" spans="1:10" x14ac:dyDescent="0.25">
      <c r="A7" s="115" t="s">
        <v>74</v>
      </c>
      <c r="B7" s="116" t="s">
        <v>385</v>
      </c>
      <c r="C7" s="117" t="s">
        <v>8</v>
      </c>
      <c r="D7" s="118" t="s">
        <v>75</v>
      </c>
      <c r="E7" s="207" t="s">
        <v>72</v>
      </c>
      <c r="F7" s="207" t="s">
        <v>2</v>
      </c>
      <c r="H7" s="88"/>
      <c r="I7" s="88"/>
      <c r="J7" s="88"/>
    </row>
    <row r="8" spans="1:10" x14ac:dyDescent="0.25">
      <c r="A8" s="86" t="s">
        <v>154</v>
      </c>
      <c r="B8" s="122">
        <v>67884043.425930023</v>
      </c>
      <c r="C8" s="123">
        <f t="shared" ref="C8:C39" si="0">B8/$B$89</f>
        <v>9.7688313701874058E-2</v>
      </c>
      <c r="D8" s="120">
        <f t="shared" ref="D8:D39" si="1">C8*$D$89</f>
        <v>-179732.0393410204</v>
      </c>
      <c r="E8" s="237">
        <v>0</v>
      </c>
      <c r="F8" s="120">
        <f>D8*E8</f>
        <v>0</v>
      </c>
      <c r="G8" s="88"/>
      <c r="H8" s="88"/>
      <c r="I8" s="88"/>
      <c r="J8" s="88"/>
    </row>
    <row r="9" spans="1:10" x14ac:dyDescent="0.25">
      <c r="A9" s="86" t="s">
        <v>155</v>
      </c>
      <c r="B9" s="122">
        <v>7473965.8163556829</v>
      </c>
      <c r="C9" s="123">
        <f t="shared" si="0"/>
        <v>1.075538639742178E-2</v>
      </c>
      <c r="D9" s="120">
        <f t="shared" si="1"/>
        <v>-19788.319174069256</v>
      </c>
      <c r="E9" s="237">
        <v>0.22437004168265501</v>
      </c>
      <c r="F9" s="120">
        <f t="shared" ref="F9:F72" si="2">D9*E9</f>
        <v>-4439.9059979156</v>
      </c>
      <c r="G9" s="88"/>
      <c r="H9" s="88"/>
      <c r="I9" s="88"/>
      <c r="J9" s="88"/>
    </row>
    <row r="10" spans="1:10" x14ac:dyDescent="0.25">
      <c r="A10" s="86" t="s">
        <v>66</v>
      </c>
      <c r="B10" s="122">
        <v>5688.354078993184</v>
      </c>
      <c r="C10" s="123">
        <f t="shared" si="0"/>
        <v>8.1858075870560602E-6</v>
      </c>
      <c r="D10" s="120">
        <f t="shared" si="1"/>
        <v>-15.060674460660266</v>
      </c>
      <c r="E10" s="237">
        <v>8.2285226967736394E-2</v>
      </c>
      <c r="F10" s="120">
        <f t="shared" si="2"/>
        <v>-1.2392710162826208</v>
      </c>
      <c r="G10" s="88"/>
      <c r="H10" s="88"/>
      <c r="I10" s="88"/>
      <c r="J10" s="88"/>
    </row>
    <row r="11" spans="1:10" x14ac:dyDescent="0.25">
      <c r="A11" s="86" t="s">
        <v>156</v>
      </c>
      <c r="B11" s="124">
        <v>1840130.5347571312</v>
      </c>
      <c r="C11" s="123">
        <f t="shared" si="0"/>
        <v>2.6480339098818076E-3</v>
      </c>
      <c r="D11" s="120">
        <f t="shared" si="1"/>
        <v>-4871.9904851638639</v>
      </c>
      <c r="E11" s="237">
        <v>0</v>
      </c>
      <c r="F11" s="120">
        <f t="shared" si="2"/>
        <v>0</v>
      </c>
      <c r="G11" s="88"/>
      <c r="H11" s="88"/>
      <c r="I11" s="88"/>
      <c r="J11" s="88"/>
    </row>
    <row r="12" spans="1:10" x14ac:dyDescent="0.25">
      <c r="A12" s="173" t="s">
        <v>157</v>
      </c>
      <c r="B12" s="122">
        <v>651466.40833665896</v>
      </c>
      <c r="C12" s="123">
        <f t="shared" si="0"/>
        <v>9.3749063332187381E-4</v>
      </c>
      <c r="D12" s="120">
        <f t="shared" si="1"/>
        <v>-1724.8440166985163</v>
      </c>
      <c r="E12" s="237">
        <v>0.22730931045735822</v>
      </c>
      <c r="F12" s="120">
        <f t="shared" si="2"/>
        <v>-392.07310408223981</v>
      </c>
      <c r="G12" s="88"/>
      <c r="H12" s="88"/>
      <c r="I12" s="88"/>
      <c r="J12" s="88"/>
    </row>
    <row r="13" spans="1:10" x14ac:dyDescent="0.25">
      <c r="A13" s="86" t="s">
        <v>67</v>
      </c>
      <c r="B13" s="122">
        <v>325823.58490444999</v>
      </c>
      <c r="C13" s="123">
        <f t="shared" si="0"/>
        <v>4.6887537876768779E-4</v>
      </c>
      <c r="D13" s="120">
        <f t="shared" si="1"/>
        <v>-862.66130337648792</v>
      </c>
      <c r="E13" s="237">
        <v>7.6800559158639092E-2</v>
      </c>
      <c r="F13" s="120">
        <f t="shared" si="2"/>
        <v>-66.252870463834668</v>
      </c>
      <c r="G13" s="88"/>
      <c r="H13" s="88"/>
      <c r="I13" s="88"/>
      <c r="J13" s="88"/>
    </row>
    <row r="14" spans="1:10" x14ac:dyDescent="0.25">
      <c r="A14" s="86" t="s">
        <v>277</v>
      </c>
      <c r="B14" s="122">
        <v>119826.97067672609</v>
      </c>
      <c r="C14" s="123">
        <f t="shared" si="0"/>
        <v>1.7243661559709033E-4</v>
      </c>
      <c r="D14" s="120">
        <f t="shared" si="1"/>
        <v>-317.25785207953783</v>
      </c>
      <c r="E14" s="237">
        <v>0</v>
      </c>
      <c r="F14" s="120">
        <f t="shared" si="2"/>
        <v>0</v>
      </c>
      <c r="G14" s="88"/>
      <c r="H14" s="88"/>
      <c r="I14" s="88"/>
      <c r="J14" s="88"/>
    </row>
    <row r="15" spans="1:10" x14ac:dyDescent="0.25">
      <c r="A15" s="86" t="s">
        <v>158</v>
      </c>
      <c r="B15" s="122">
        <v>2139.63</v>
      </c>
      <c r="C15" s="123">
        <f t="shared" si="0"/>
        <v>3.0790276491706669E-6</v>
      </c>
      <c r="D15" s="120">
        <f t="shared" si="1"/>
        <v>-5.6649551783819501</v>
      </c>
      <c r="E15" s="237">
        <v>0.22565052397253504</v>
      </c>
      <c r="F15" s="120">
        <f t="shared" si="2"/>
        <v>-1.2783001042828128</v>
      </c>
      <c r="G15" s="88"/>
      <c r="H15" s="88"/>
      <c r="I15" s="88"/>
      <c r="J15" s="88"/>
    </row>
    <row r="16" spans="1:10" x14ac:dyDescent="0.25">
      <c r="A16" s="86" t="s">
        <v>278</v>
      </c>
      <c r="B16" s="122">
        <v>32126887.385325186</v>
      </c>
      <c r="C16" s="123">
        <f t="shared" si="0"/>
        <v>4.6232093652270982E-2</v>
      </c>
      <c r="D16" s="120">
        <f t="shared" si="1"/>
        <v>-85060.209970318072</v>
      </c>
      <c r="E16" s="237">
        <v>0</v>
      </c>
      <c r="F16" s="120">
        <f t="shared" si="2"/>
        <v>0</v>
      </c>
      <c r="G16" s="88"/>
      <c r="H16" s="88"/>
      <c r="I16" s="88"/>
      <c r="J16" s="88"/>
    </row>
    <row r="17" spans="1:10" x14ac:dyDescent="0.25">
      <c r="A17" s="86" t="s">
        <v>279</v>
      </c>
      <c r="B17" s="122">
        <v>18043997.810790766</v>
      </c>
      <c r="C17" s="123">
        <f t="shared" si="0"/>
        <v>2.5966156840668598E-2</v>
      </c>
      <c r="D17" s="120">
        <f t="shared" si="1"/>
        <v>-47773.885595617801</v>
      </c>
      <c r="E17" s="237">
        <v>0.22437004168265501</v>
      </c>
      <c r="F17" s="120">
        <f t="shared" si="2"/>
        <v>-10719.028702431158</v>
      </c>
      <c r="G17" s="88"/>
      <c r="H17" s="88"/>
      <c r="I17" s="88"/>
      <c r="J17" s="88"/>
    </row>
    <row r="18" spans="1:10" x14ac:dyDescent="0.25">
      <c r="A18" s="86" t="s">
        <v>280</v>
      </c>
      <c r="B18" s="122">
        <v>-82229.878538628589</v>
      </c>
      <c r="C18" s="123">
        <f t="shared" si="0"/>
        <v>-1.1833264144192363E-4</v>
      </c>
      <c r="D18" s="120">
        <f t="shared" si="1"/>
        <v>217.71454702220606</v>
      </c>
      <c r="E18" s="237">
        <v>0.22565052397253504</v>
      </c>
      <c r="F18" s="120">
        <f t="shared" si="2"/>
        <v>49.127401612003915</v>
      </c>
      <c r="G18" s="88"/>
      <c r="H18" s="88"/>
      <c r="I18" s="88"/>
      <c r="J18" s="88"/>
    </row>
    <row r="19" spans="1:10" x14ac:dyDescent="0.25">
      <c r="A19" s="86" t="s">
        <v>159</v>
      </c>
      <c r="B19" s="122">
        <v>7468677.1259951256</v>
      </c>
      <c r="C19" s="123">
        <f t="shared" si="0"/>
        <v>1.0747775724619445E-2</v>
      </c>
      <c r="D19" s="120">
        <f t="shared" si="1"/>
        <v>-19774.316662492536</v>
      </c>
      <c r="E19" s="237">
        <v>0</v>
      </c>
      <c r="F19" s="120">
        <f t="shared" si="2"/>
        <v>0</v>
      </c>
      <c r="G19" s="88"/>
      <c r="H19" s="88"/>
      <c r="I19" s="88"/>
      <c r="J19" s="88"/>
    </row>
    <row r="20" spans="1:10" x14ac:dyDescent="0.25">
      <c r="A20" s="86" t="s">
        <v>160</v>
      </c>
      <c r="B20" s="122">
        <v>7865931.746117129</v>
      </c>
      <c r="C20" s="123">
        <f t="shared" si="0"/>
        <v>1.1319443704184341E-2</v>
      </c>
      <c r="D20" s="120">
        <f t="shared" si="1"/>
        <v>-20826.101138030968</v>
      </c>
      <c r="E20" s="237">
        <v>0.22565052397253504</v>
      </c>
      <c r="F20" s="120">
        <f t="shared" si="2"/>
        <v>-4699.4206341016961</v>
      </c>
      <c r="G20" s="88"/>
      <c r="H20" s="88"/>
      <c r="I20" s="88"/>
      <c r="J20" s="88"/>
    </row>
    <row r="21" spans="1:10" x14ac:dyDescent="0.25">
      <c r="A21" s="86" t="s">
        <v>281</v>
      </c>
      <c r="B21" s="122">
        <v>990352.84525628691</v>
      </c>
      <c r="C21" s="123">
        <f t="shared" si="0"/>
        <v>1.4251640671419574E-3</v>
      </c>
      <c r="D21" s="120">
        <f t="shared" si="1"/>
        <v>-2622.0909592592648</v>
      </c>
      <c r="E21" s="237">
        <v>0</v>
      </c>
      <c r="F21" s="120">
        <f t="shared" si="2"/>
        <v>0</v>
      </c>
      <c r="G21" s="88"/>
      <c r="H21" s="88"/>
      <c r="I21" s="88"/>
      <c r="J21" s="88"/>
    </row>
    <row r="22" spans="1:10" x14ac:dyDescent="0.25">
      <c r="A22" s="86" t="s">
        <v>282</v>
      </c>
      <c r="B22" s="122">
        <v>2788048.901278784</v>
      </c>
      <c r="C22" s="123">
        <f t="shared" si="0"/>
        <v>4.0121327772919971E-3</v>
      </c>
      <c r="D22" s="120">
        <f t="shared" si="1"/>
        <v>-7381.7305145662358</v>
      </c>
      <c r="E22" s="237">
        <v>0.22565052397253504</v>
      </c>
      <c r="F22" s="120">
        <f t="shared" si="2"/>
        <v>-1665.6913584359218</v>
      </c>
      <c r="G22" s="88"/>
      <c r="H22" s="88"/>
      <c r="I22" s="88"/>
      <c r="J22" s="88"/>
    </row>
    <row r="23" spans="1:10" x14ac:dyDescent="0.25">
      <c r="A23" s="86" t="s">
        <v>283</v>
      </c>
      <c r="B23" s="122">
        <v>54802.150907052463</v>
      </c>
      <c r="C23" s="123">
        <f t="shared" si="0"/>
        <v>7.8862858474052931E-5</v>
      </c>
      <c r="D23" s="120">
        <f t="shared" si="1"/>
        <v>-145.09598788920323</v>
      </c>
      <c r="E23" s="237">
        <v>0</v>
      </c>
      <c r="F23" s="120">
        <f t="shared" si="2"/>
        <v>0</v>
      </c>
      <c r="G23" s="88"/>
      <c r="H23" s="88"/>
      <c r="I23" s="88"/>
      <c r="J23" s="88"/>
    </row>
    <row r="24" spans="1:10" x14ac:dyDescent="0.25">
      <c r="A24" s="86" t="s">
        <v>284</v>
      </c>
      <c r="B24" s="122">
        <v>17719.469690664984</v>
      </c>
      <c r="C24" s="123">
        <f t="shared" si="0"/>
        <v>2.5499145696311553E-5</v>
      </c>
      <c r="D24" s="120">
        <f t="shared" si="1"/>
        <v>-46.914654207650202</v>
      </c>
      <c r="E24" s="237">
        <v>0.22565052397253504</v>
      </c>
      <c r="F24" s="120">
        <f t="shared" si="2"/>
        <v>-10.586316303946564</v>
      </c>
      <c r="G24" s="88"/>
      <c r="H24" s="88"/>
      <c r="I24" s="88"/>
      <c r="J24" s="88"/>
    </row>
    <row r="25" spans="1:10" x14ac:dyDescent="0.25">
      <c r="A25" s="86" t="s">
        <v>285</v>
      </c>
      <c r="B25" s="122">
        <v>4986210.316771457</v>
      </c>
      <c r="C25" s="123">
        <f t="shared" si="0"/>
        <v>7.1753898711082497E-3</v>
      </c>
      <c r="D25" s="120">
        <f t="shared" si="1"/>
        <v>-13201.655405138255</v>
      </c>
      <c r="E25" s="237">
        <v>0</v>
      </c>
      <c r="F25" s="120">
        <f t="shared" si="2"/>
        <v>0</v>
      </c>
      <c r="G25" s="88"/>
      <c r="H25" s="88"/>
      <c r="I25" s="88"/>
      <c r="J25" s="88"/>
    </row>
    <row r="26" spans="1:10" x14ac:dyDescent="0.25">
      <c r="A26" s="86" t="s">
        <v>286</v>
      </c>
      <c r="B26" s="122">
        <v>1718632.846716661</v>
      </c>
      <c r="C26" s="123">
        <f t="shared" si="0"/>
        <v>2.4731930538520641E-3</v>
      </c>
      <c r="D26" s="120">
        <f t="shared" si="1"/>
        <v>-4550.3091865158276</v>
      </c>
      <c r="E26" s="237">
        <v>0.22565052397253504</v>
      </c>
      <c r="F26" s="120">
        <f t="shared" si="2"/>
        <v>-1026.7796521743362</v>
      </c>
      <c r="G26" s="88"/>
      <c r="H26" s="88"/>
      <c r="I26" s="88"/>
      <c r="J26" s="88"/>
    </row>
    <row r="27" spans="1:10" x14ac:dyDescent="0.25">
      <c r="A27" s="86" t="s">
        <v>287</v>
      </c>
      <c r="B27" s="122">
        <v>505.11772648143074</v>
      </c>
      <c r="C27" s="123">
        <f t="shared" si="0"/>
        <v>7.2688803481094933E-7</v>
      </c>
      <c r="D27" s="120">
        <f t="shared" si="1"/>
        <v>-1.3373664046229947</v>
      </c>
      <c r="E27" s="237">
        <v>0</v>
      </c>
      <c r="F27" s="120">
        <f t="shared" si="2"/>
        <v>0</v>
      </c>
      <c r="G27" s="88"/>
      <c r="H27" s="88"/>
      <c r="I27" s="88"/>
      <c r="J27" s="88"/>
    </row>
    <row r="28" spans="1:10" x14ac:dyDescent="0.25">
      <c r="A28" s="86" t="s">
        <v>288</v>
      </c>
      <c r="B28" s="122">
        <v>1872310.5679591252</v>
      </c>
      <c r="C28" s="123">
        <f t="shared" si="0"/>
        <v>2.6943424828501103E-3</v>
      </c>
      <c r="D28" s="120">
        <f t="shared" si="1"/>
        <v>-4957.191405756741</v>
      </c>
      <c r="E28" s="237">
        <v>8.2285226967736394E-2</v>
      </c>
      <c r="F28" s="120">
        <f t="shared" si="2"/>
        <v>-407.90361994520566</v>
      </c>
      <c r="G28" s="88"/>
      <c r="H28" s="88"/>
      <c r="I28" s="88"/>
      <c r="J28" s="88"/>
    </row>
    <row r="29" spans="1:10" x14ac:dyDescent="0.25">
      <c r="A29" s="86" t="s">
        <v>289</v>
      </c>
      <c r="B29" s="122">
        <v>1978477.6022114239</v>
      </c>
      <c r="C29" s="123">
        <f t="shared" si="0"/>
        <v>2.8471218110018358E-3</v>
      </c>
      <c r="D29" s="120">
        <f t="shared" si="1"/>
        <v>-5238.2827582153495</v>
      </c>
      <c r="E29" s="237">
        <v>0</v>
      </c>
      <c r="F29" s="120">
        <f t="shared" si="2"/>
        <v>0</v>
      </c>
      <c r="G29" s="88"/>
      <c r="H29" s="88"/>
      <c r="I29" s="88"/>
      <c r="J29" s="88"/>
    </row>
    <row r="30" spans="1:10" x14ac:dyDescent="0.25">
      <c r="A30" s="86" t="s">
        <v>290</v>
      </c>
      <c r="B30" s="122">
        <v>899293.5980669097</v>
      </c>
      <c r="C30" s="123">
        <f t="shared" si="0"/>
        <v>1.2941255512262343E-3</v>
      </c>
      <c r="D30" s="120">
        <f t="shared" si="1"/>
        <v>-2380.9994836746896</v>
      </c>
      <c r="E30" s="237">
        <v>0.22565052397253504</v>
      </c>
      <c r="F30" s="120">
        <f t="shared" si="2"/>
        <v>-537.27378106952915</v>
      </c>
      <c r="G30" s="88"/>
      <c r="H30" s="88"/>
      <c r="I30" s="88"/>
      <c r="J30" s="88"/>
    </row>
    <row r="31" spans="1:10" x14ac:dyDescent="0.25">
      <c r="A31" s="86" t="s">
        <v>68</v>
      </c>
      <c r="B31" s="122">
        <v>26766065.187209137</v>
      </c>
      <c r="C31" s="123">
        <f t="shared" si="0"/>
        <v>3.851761976179123E-2</v>
      </c>
      <c r="D31" s="120">
        <f t="shared" si="1"/>
        <v>-70866.71975397112</v>
      </c>
      <c r="E31" s="237">
        <v>8.2285226967736394E-2</v>
      </c>
      <c r="F31" s="120">
        <f t="shared" si="2"/>
        <v>-5831.2841194144821</v>
      </c>
      <c r="G31" s="88"/>
      <c r="H31" s="88"/>
      <c r="I31" s="88"/>
      <c r="J31" s="88"/>
    </row>
    <row r="32" spans="1:10" x14ac:dyDescent="0.25">
      <c r="A32" s="86" t="s">
        <v>161</v>
      </c>
      <c r="B32" s="122">
        <v>9704036.161406856</v>
      </c>
      <c r="C32" s="123">
        <f t="shared" si="0"/>
        <v>1.3964561933382731E-2</v>
      </c>
      <c r="D32" s="120">
        <f t="shared" si="1"/>
        <v>-25692.727202258084</v>
      </c>
      <c r="E32" s="237">
        <v>0</v>
      </c>
      <c r="F32" s="120">
        <f t="shared" si="2"/>
        <v>0</v>
      </c>
      <c r="G32" s="88"/>
      <c r="H32" s="88"/>
      <c r="I32" s="88"/>
      <c r="J32" s="88"/>
    </row>
    <row r="33" spans="1:10" x14ac:dyDescent="0.25">
      <c r="A33" s="86" t="s">
        <v>162</v>
      </c>
      <c r="B33" s="122">
        <v>134529.60273698869</v>
      </c>
      <c r="C33" s="123">
        <f t="shared" si="0"/>
        <v>1.9359439083352448E-4</v>
      </c>
      <c r="D33" s="120">
        <f t="shared" si="1"/>
        <v>-356.18502716384171</v>
      </c>
      <c r="E33" s="237">
        <v>0.22565052397253504</v>
      </c>
      <c r="F33" s="120">
        <f t="shared" si="2"/>
        <v>-80.373338010692507</v>
      </c>
      <c r="G33" s="88"/>
      <c r="H33" s="88"/>
      <c r="I33" s="88"/>
      <c r="J33" s="88"/>
    </row>
    <row r="34" spans="1:10" x14ac:dyDescent="0.25">
      <c r="A34" s="86" t="s">
        <v>163</v>
      </c>
      <c r="B34" s="122">
        <v>1640286.7030886197</v>
      </c>
      <c r="C34" s="123">
        <f t="shared" si="0"/>
        <v>2.3604492886045046E-3</v>
      </c>
      <c r="D34" s="120">
        <f t="shared" si="1"/>
        <v>-4342.8773445375746</v>
      </c>
      <c r="E34" s="237">
        <v>0.22437004168265501</v>
      </c>
      <c r="F34" s="120">
        <f t="shared" si="2"/>
        <v>-974.41157081655365</v>
      </c>
      <c r="G34" s="88"/>
      <c r="H34" s="88"/>
      <c r="I34" s="88"/>
      <c r="J34" s="88"/>
    </row>
    <row r="35" spans="1:10" x14ac:dyDescent="0.25">
      <c r="A35" s="86" t="s">
        <v>164</v>
      </c>
      <c r="B35" s="122">
        <v>3902219.1207062858</v>
      </c>
      <c r="C35" s="123">
        <f t="shared" si="0"/>
        <v>5.6154758373069651E-3</v>
      </c>
      <c r="D35" s="120">
        <f t="shared" si="1"/>
        <v>-10331.644450220894</v>
      </c>
      <c r="E35" s="237">
        <v>0</v>
      </c>
      <c r="F35" s="120">
        <f t="shared" si="2"/>
        <v>0</v>
      </c>
      <c r="G35" s="88"/>
      <c r="H35" s="88"/>
      <c r="I35" s="88"/>
      <c r="J35" s="88"/>
    </row>
    <row r="36" spans="1:10" x14ac:dyDescent="0.25">
      <c r="A36" s="86" t="s">
        <v>165</v>
      </c>
      <c r="B36" s="122">
        <v>204315.4936260535</v>
      </c>
      <c r="C36" s="123">
        <f t="shared" si="0"/>
        <v>2.940195519919668E-4</v>
      </c>
      <c r="D36" s="120">
        <f t="shared" si="1"/>
        <v>-540.9524607715241</v>
      </c>
      <c r="E36" s="237">
        <v>0.22565052397253504</v>
      </c>
      <c r="F36" s="120">
        <f t="shared" si="2"/>
        <v>-122.06620621732662</v>
      </c>
      <c r="G36" s="88"/>
      <c r="H36" s="88"/>
      <c r="I36" s="88"/>
      <c r="J36" s="88"/>
    </row>
    <row r="37" spans="1:10" x14ac:dyDescent="0.25">
      <c r="A37" s="86" t="s">
        <v>69</v>
      </c>
      <c r="B37" s="122">
        <v>15257490.955798399</v>
      </c>
      <c r="C37" s="123">
        <f t="shared" si="0"/>
        <v>2.195624314011051E-2</v>
      </c>
      <c r="D37" s="120">
        <f t="shared" si="1"/>
        <v>-40396.237853818602</v>
      </c>
      <c r="E37" s="237">
        <v>8.2285226967736394E-2</v>
      </c>
      <c r="F37" s="120">
        <f t="shared" si="2"/>
        <v>-3324.0136004441283</v>
      </c>
      <c r="G37" s="88"/>
      <c r="H37" s="88"/>
      <c r="I37" s="88"/>
      <c r="J37" s="88"/>
    </row>
    <row r="38" spans="1:10" x14ac:dyDescent="0.25">
      <c r="A38" s="86" t="s">
        <v>166</v>
      </c>
      <c r="B38" s="122">
        <v>23950.698454310346</v>
      </c>
      <c r="C38" s="123">
        <f t="shared" si="0"/>
        <v>3.4466175347032296E-5</v>
      </c>
      <c r="D38" s="120">
        <f t="shared" si="1"/>
        <v>-63.412661644588063</v>
      </c>
      <c r="E38" s="237">
        <v>0.22437004168265501</v>
      </c>
      <c r="F38" s="120">
        <f t="shared" si="2"/>
        <v>-14.227901536404323</v>
      </c>
      <c r="G38" s="88"/>
      <c r="H38" s="88"/>
      <c r="I38" s="88"/>
      <c r="J38" s="88"/>
    </row>
    <row r="39" spans="1:10" x14ac:dyDescent="0.25">
      <c r="A39" s="86" t="s">
        <v>291</v>
      </c>
      <c r="B39" s="122">
        <v>-2077143.3667929284</v>
      </c>
      <c r="C39" s="123">
        <f t="shared" si="0"/>
        <v>-2.9891064612324911E-3</v>
      </c>
      <c r="D39" s="120">
        <f t="shared" si="1"/>
        <v>5499.5135009115211</v>
      </c>
      <c r="E39" s="237">
        <v>0</v>
      </c>
      <c r="F39" s="120">
        <f t="shared" si="2"/>
        <v>0</v>
      </c>
      <c r="G39" s="88"/>
      <c r="H39" s="88"/>
      <c r="I39" s="88"/>
      <c r="J39" s="88"/>
    </row>
    <row r="40" spans="1:10" x14ac:dyDescent="0.25">
      <c r="A40" s="86" t="s">
        <v>292</v>
      </c>
      <c r="B40" s="122">
        <v>50701.957012414874</v>
      </c>
      <c r="C40" s="123">
        <f t="shared" ref="C40:C71" si="3">B40/$B$89</f>
        <v>7.296248767697592E-5</v>
      </c>
      <c r="D40" s="120">
        <f t="shared" ref="D40:D71" si="4">C40*$D$89</f>
        <v>-134.2401788774595</v>
      </c>
      <c r="E40" s="237">
        <v>0.22565052397253504</v>
      </c>
      <c r="F40" s="120">
        <f t="shared" si="2"/>
        <v>-30.291366701865567</v>
      </c>
      <c r="G40" s="88"/>
      <c r="H40" s="88"/>
      <c r="I40" s="88"/>
      <c r="J40" s="88"/>
    </row>
    <row r="41" spans="1:10" x14ac:dyDescent="0.25">
      <c r="A41" s="86" t="s">
        <v>293</v>
      </c>
      <c r="B41" s="122">
        <v>3602262.440574009</v>
      </c>
      <c r="C41" s="123">
        <f t="shared" si="3"/>
        <v>5.183824144406453E-3</v>
      </c>
      <c r="D41" s="120">
        <f t="shared" si="4"/>
        <v>-9537.4692197345012</v>
      </c>
      <c r="E41" s="237">
        <v>8.2285226967736394E-2</v>
      </c>
      <c r="F41" s="120">
        <f t="shared" si="2"/>
        <v>-784.79281944365312</v>
      </c>
      <c r="G41" s="88"/>
      <c r="H41" s="88"/>
      <c r="I41" s="88"/>
      <c r="J41" s="88"/>
    </row>
    <row r="42" spans="1:10" x14ac:dyDescent="0.25">
      <c r="A42" s="86" t="s">
        <v>294</v>
      </c>
      <c r="B42" s="122">
        <v>79030.443447199534</v>
      </c>
      <c r="C42" s="123">
        <f t="shared" si="3"/>
        <v>1.1372850469480523E-4</v>
      </c>
      <c r="D42" s="120">
        <f t="shared" si="4"/>
        <v>-209.24361681974679</v>
      </c>
      <c r="E42" s="237">
        <v>0.22437004168265501</v>
      </c>
      <c r="F42" s="120">
        <f t="shared" si="2"/>
        <v>-46.947999027676083</v>
      </c>
      <c r="G42" s="88"/>
      <c r="H42" s="88"/>
      <c r="I42" s="88"/>
      <c r="J42" s="88"/>
    </row>
    <row r="43" spans="1:10" x14ac:dyDescent="0.25">
      <c r="A43" s="86" t="s">
        <v>115</v>
      </c>
      <c r="B43" s="122">
        <v>769363.03456823027</v>
      </c>
      <c r="C43" s="123">
        <f t="shared" si="3"/>
        <v>1.1071493929723497E-3</v>
      </c>
      <c r="D43" s="120">
        <f t="shared" si="4"/>
        <v>-2036.9910249589636</v>
      </c>
      <c r="E43" s="237">
        <v>0</v>
      </c>
      <c r="F43" s="120">
        <f t="shared" si="2"/>
        <v>0</v>
      </c>
      <c r="G43" s="88"/>
      <c r="H43" s="88"/>
      <c r="I43" s="88"/>
      <c r="J43" s="88"/>
    </row>
    <row r="44" spans="1:10" x14ac:dyDescent="0.25">
      <c r="A44" s="86" t="s">
        <v>295</v>
      </c>
      <c r="B44" s="122">
        <v>1171533.2413468305</v>
      </c>
      <c r="C44" s="123">
        <f t="shared" si="3"/>
        <v>1.6858911316580078E-3</v>
      </c>
      <c r="D44" s="120">
        <f t="shared" si="4"/>
        <v>-3101.7901703632488</v>
      </c>
      <c r="E44" s="237">
        <v>0</v>
      </c>
      <c r="F44" s="120">
        <f t="shared" si="2"/>
        <v>0</v>
      </c>
      <c r="G44" s="88"/>
      <c r="H44" s="88"/>
      <c r="I44" s="88"/>
      <c r="J44" s="88"/>
    </row>
    <row r="45" spans="1:10" x14ac:dyDescent="0.25">
      <c r="A45" s="86" t="s">
        <v>116</v>
      </c>
      <c r="B45" s="122">
        <v>7611604.7200949928</v>
      </c>
      <c r="C45" s="123">
        <f t="shared" si="3"/>
        <v>1.095345521783226E-2</v>
      </c>
      <c r="D45" s="120">
        <f t="shared" si="4"/>
        <v>-20152.736489439118</v>
      </c>
      <c r="E45" s="237">
        <v>0</v>
      </c>
      <c r="F45" s="120">
        <f t="shared" si="2"/>
        <v>0</v>
      </c>
      <c r="G45" s="88"/>
      <c r="H45" s="88"/>
      <c r="I45" s="88"/>
      <c r="J45" s="88"/>
    </row>
    <row r="46" spans="1:10" x14ac:dyDescent="0.25">
      <c r="A46" s="86" t="s">
        <v>70</v>
      </c>
      <c r="B46" s="122">
        <v>22783021.431030944</v>
      </c>
      <c r="C46" s="123">
        <f t="shared" si="3"/>
        <v>3.2785833493544268E-2</v>
      </c>
      <c r="D46" s="120">
        <f t="shared" si="4"/>
        <v>-60321.081324764411</v>
      </c>
      <c r="E46" s="237">
        <v>6.3308872574412173E-2</v>
      </c>
      <c r="F46" s="120">
        <f t="shared" si="2"/>
        <v>-3818.8596511402638</v>
      </c>
      <c r="G46" s="88"/>
      <c r="H46" s="88"/>
      <c r="I46" s="88"/>
      <c r="J46" s="88"/>
    </row>
    <row r="47" spans="1:10" x14ac:dyDescent="0.25">
      <c r="A47" s="86" t="s">
        <v>127</v>
      </c>
      <c r="B47" s="122">
        <v>8978274.9582358953</v>
      </c>
      <c r="C47" s="123">
        <f t="shared" si="3"/>
        <v>1.2920157615225499E-2</v>
      </c>
      <c r="D47" s="120">
        <f t="shared" si="4"/>
        <v>-23771.177828687865</v>
      </c>
      <c r="E47" s="237">
        <v>0</v>
      </c>
      <c r="F47" s="120">
        <f t="shared" si="2"/>
        <v>0</v>
      </c>
      <c r="G47" s="88"/>
      <c r="H47" s="88"/>
      <c r="I47" s="88"/>
      <c r="J47" s="88"/>
    </row>
    <row r="48" spans="1:10" x14ac:dyDescent="0.25">
      <c r="A48" s="86" t="s">
        <v>117</v>
      </c>
      <c r="B48" s="122">
        <v>1595821.2432592155</v>
      </c>
      <c r="C48" s="123">
        <f t="shared" si="3"/>
        <v>2.2964614120801414E-3</v>
      </c>
      <c r="D48" s="120">
        <f t="shared" si="4"/>
        <v>-4225.1491219384725</v>
      </c>
      <c r="E48" s="237">
        <v>1</v>
      </c>
      <c r="F48" s="120">
        <f t="shared" si="2"/>
        <v>-4225.1491219384725</v>
      </c>
      <c r="G48" s="88"/>
      <c r="H48" s="88"/>
      <c r="I48" s="88"/>
      <c r="J48" s="88"/>
    </row>
    <row r="49" spans="1:10" x14ac:dyDescent="0.25">
      <c r="A49" s="86" t="s">
        <v>128</v>
      </c>
      <c r="B49" s="122">
        <v>2099728.7106250674</v>
      </c>
      <c r="C49" s="123">
        <f t="shared" si="3"/>
        <v>3.0216078274150466E-3</v>
      </c>
      <c r="D49" s="120">
        <f t="shared" si="4"/>
        <v>-5559.3112044852287</v>
      </c>
      <c r="E49" s="237">
        <v>0</v>
      </c>
      <c r="F49" s="120">
        <f t="shared" si="2"/>
        <v>0</v>
      </c>
      <c r="G49" s="88"/>
      <c r="H49" s="88"/>
      <c r="I49" s="88"/>
      <c r="J49" s="88"/>
    </row>
    <row r="50" spans="1:10" x14ac:dyDescent="0.25">
      <c r="A50" s="86" t="s">
        <v>129</v>
      </c>
      <c r="B50" s="122">
        <v>210694.69676372391</v>
      </c>
      <c r="C50" s="123">
        <f t="shared" si="3"/>
        <v>3.0319952368827101E-4</v>
      </c>
      <c r="D50" s="120">
        <f t="shared" si="4"/>
        <v>-557.8422500569128</v>
      </c>
      <c r="E50" s="237">
        <v>0</v>
      </c>
      <c r="F50" s="120">
        <f t="shared" si="2"/>
        <v>0</v>
      </c>
      <c r="G50" s="88"/>
      <c r="H50" s="88"/>
      <c r="I50" s="88"/>
      <c r="J50" s="88"/>
    </row>
    <row r="51" spans="1:10" x14ac:dyDescent="0.25">
      <c r="A51" s="86" t="s">
        <v>296</v>
      </c>
      <c r="B51" s="122">
        <v>2388140.3720043534</v>
      </c>
      <c r="C51" s="123">
        <f t="shared" si="3"/>
        <v>3.4366456983226661E-3</v>
      </c>
      <c r="D51" s="120">
        <f t="shared" si="4"/>
        <v>-6322.9194613503541</v>
      </c>
      <c r="E51" s="237">
        <v>0</v>
      </c>
      <c r="F51" s="120">
        <f t="shared" si="2"/>
        <v>0</v>
      </c>
      <c r="G51" s="88"/>
      <c r="H51" s="88"/>
      <c r="I51" s="88"/>
      <c r="J51" s="88"/>
    </row>
    <row r="52" spans="1:10" x14ac:dyDescent="0.25">
      <c r="A52" s="86" t="s">
        <v>297</v>
      </c>
      <c r="B52" s="122">
        <v>2338721.3480784995</v>
      </c>
      <c r="C52" s="123">
        <f t="shared" si="3"/>
        <v>3.3655294113652339E-3</v>
      </c>
      <c r="D52" s="120">
        <f t="shared" si="4"/>
        <v>-6192.076018559148</v>
      </c>
      <c r="E52" s="237">
        <v>0</v>
      </c>
      <c r="F52" s="120">
        <f t="shared" si="2"/>
        <v>0</v>
      </c>
      <c r="G52" s="88"/>
      <c r="H52" s="88"/>
      <c r="I52" s="88"/>
      <c r="J52" s="88"/>
    </row>
    <row r="53" spans="1:10" x14ac:dyDescent="0.25">
      <c r="A53" s="86" t="s">
        <v>298</v>
      </c>
      <c r="B53" s="122">
        <v>11729860.600978389</v>
      </c>
      <c r="C53" s="123">
        <f t="shared" si="3"/>
        <v>1.6879818057949327E-2</v>
      </c>
      <c r="D53" s="120">
        <f t="shared" si="4"/>
        <v>-31056.367013554187</v>
      </c>
      <c r="E53" s="237">
        <v>0</v>
      </c>
      <c r="F53" s="120">
        <f t="shared" si="2"/>
        <v>0</v>
      </c>
      <c r="G53" s="88"/>
      <c r="H53" s="88"/>
      <c r="I53" s="88"/>
      <c r="J53" s="88"/>
    </row>
    <row r="54" spans="1:10" x14ac:dyDescent="0.25">
      <c r="A54" s="86" t="s">
        <v>299</v>
      </c>
      <c r="B54" s="122">
        <v>8556255.8106250465</v>
      </c>
      <c r="C54" s="123">
        <f t="shared" si="3"/>
        <v>1.2312852322266792E-2</v>
      </c>
      <c r="D54" s="120">
        <f t="shared" si="4"/>
        <v>-22653.825970827202</v>
      </c>
      <c r="E54" s="237">
        <v>6.3308872574412173E-2</v>
      </c>
      <c r="F54" s="120">
        <f t="shared" si="2"/>
        <v>-1434.1881817100084</v>
      </c>
      <c r="G54" s="88"/>
      <c r="H54" s="88"/>
      <c r="I54" s="88"/>
      <c r="J54" s="88"/>
    </row>
    <row r="55" spans="1:10" x14ac:dyDescent="0.25">
      <c r="A55" s="86" t="s">
        <v>300</v>
      </c>
      <c r="B55" s="122">
        <v>15203315.496409655</v>
      </c>
      <c r="C55" s="123">
        <f t="shared" si="3"/>
        <v>2.1878282120044206E-2</v>
      </c>
      <c r="D55" s="120">
        <f t="shared" si="4"/>
        <v>-40252.801115127571</v>
      </c>
      <c r="E55" s="237">
        <v>0</v>
      </c>
      <c r="F55" s="120">
        <f t="shared" si="2"/>
        <v>0</v>
      </c>
      <c r="G55" s="88"/>
      <c r="H55" s="88"/>
      <c r="I55" s="88"/>
      <c r="J55" s="88"/>
    </row>
    <row r="56" spans="1:10" x14ac:dyDescent="0.25">
      <c r="A56" s="86" t="s">
        <v>301</v>
      </c>
      <c r="B56" s="122">
        <v>1776047.9294476043</v>
      </c>
      <c r="C56" s="123">
        <f t="shared" si="3"/>
        <v>2.5558160434381119E-3</v>
      </c>
      <c r="D56" s="120">
        <f t="shared" si="4"/>
        <v>-4702.3232591516971</v>
      </c>
      <c r="E56" s="237">
        <v>1</v>
      </c>
      <c r="F56" s="120">
        <f t="shared" si="2"/>
        <v>-4702.3232591516971</v>
      </c>
      <c r="G56" s="88"/>
      <c r="H56" s="88"/>
      <c r="I56" s="88"/>
      <c r="J56" s="88"/>
    </row>
    <row r="57" spans="1:10" x14ac:dyDescent="0.25">
      <c r="A57" s="86" t="s">
        <v>302</v>
      </c>
      <c r="B57" s="122">
        <v>2589172.4950823546</v>
      </c>
      <c r="C57" s="123">
        <f t="shared" si="3"/>
        <v>3.7259403265194322E-3</v>
      </c>
      <c r="D57" s="120">
        <f t="shared" si="4"/>
        <v>-6855.1787616274305</v>
      </c>
      <c r="E57" s="237">
        <v>0</v>
      </c>
      <c r="F57" s="120">
        <f t="shared" si="2"/>
        <v>0</v>
      </c>
      <c r="G57" s="88"/>
      <c r="H57" s="88"/>
      <c r="I57" s="88"/>
      <c r="J57" s="88"/>
    </row>
    <row r="58" spans="1:10" x14ac:dyDescent="0.25">
      <c r="A58" s="86" t="s">
        <v>303</v>
      </c>
      <c r="B58" s="122">
        <v>423247.94893862976</v>
      </c>
      <c r="C58" s="123">
        <f t="shared" si="3"/>
        <v>6.0907359554540532E-4</v>
      </c>
      <c r="D58" s="120">
        <f t="shared" si="4"/>
        <v>-1120.6052729114051</v>
      </c>
      <c r="E58" s="237">
        <v>0</v>
      </c>
      <c r="F58" s="120">
        <f t="shared" si="2"/>
        <v>0</v>
      </c>
      <c r="G58" s="88"/>
      <c r="H58" s="88"/>
      <c r="I58" s="88"/>
      <c r="J58" s="88"/>
    </row>
    <row r="59" spans="1:10" x14ac:dyDescent="0.25">
      <c r="A59" s="86" t="s">
        <v>304</v>
      </c>
      <c r="B59" s="122">
        <v>33641169.054122895</v>
      </c>
      <c r="C59" s="123">
        <f t="shared" si="3"/>
        <v>4.8411215802764501E-2</v>
      </c>
      <c r="D59" s="120">
        <f t="shared" si="4"/>
        <v>-89069.472217147879</v>
      </c>
      <c r="E59" s="237">
        <v>6.8836744172887168E-2</v>
      </c>
      <c r="F59" s="120">
        <f t="shared" si="2"/>
        <v>-6131.2524726258898</v>
      </c>
      <c r="G59" s="88"/>
      <c r="H59" s="88"/>
      <c r="I59" s="88"/>
      <c r="J59" s="88"/>
    </row>
    <row r="60" spans="1:10" x14ac:dyDescent="0.25">
      <c r="A60" s="86" t="s">
        <v>305</v>
      </c>
      <c r="B60" s="122">
        <v>1161282.7833100678</v>
      </c>
      <c r="C60" s="123">
        <f t="shared" si="3"/>
        <v>1.6711402430876212E-3</v>
      </c>
      <c r="D60" s="120">
        <f t="shared" si="4"/>
        <v>-3074.6507185252462</v>
      </c>
      <c r="E60" s="237">
        <v>0</v>
      </c>
      <c r="F60" s="120">
        <f t="shared" si="2"/>
        <v>0</v>
      </c>
      <c r="G60" s="88"/>
      <c r="H60" s="88"/>
      <c r="I60" s="88"/>
      <c r="J60" s="88"/>
    </row>
    <row r="61" spans="1:10" x14ac:dyDescent="0.25">
      <c r="A61" s="86" t="s">
        <v>306</v>
      </c>
      <c r="B61" s="122">
        <v>1040862.3686785746</v>
      </c>
      <c r="C61" s="123">
        <f t="shared" si="3"/>
        <v>1.497849633881841E-3</v>
      </c>
      <c r="D61" s="120">
        <f t="shared" si="4"/>
        <v>-2755.8216445967728</v>
      </c>
      <c r="E61" s="237">
        <v>0</v>
      </c>
      <c r="F61" s="120">
        <f t="shared" si="2"/>
        <v>0</v>
      </c>
      <c r="G61" s="88"/>
      <c r="H61" s="88"/>
      <c r="I61" s="88"/>
      <c r="J61" s="88"/>
    </row>
    <row r="62" spans="1:10" x14ac:dyDescent="0.25">
      <c r="A62" s="86" t="s">
        <v>307</v>
      </c>
      <c r="B62" s="122">
        <v>1565974.6592413117</v>
      </c>
      <c r="C62" s="123">
        <f t="shared" si="3"/>
        <v>2.2535107816326243E-3</v>
      </c>
      <c r="D62" s="120">
        <f t="shared" si="4"/>
        <v>-4146.126318608347</v>
      </c>
      <c r="E62" s="237">
        <v>0</v>
      </c>
      <c r="F62" s="120">
        <f t="shared" si="2"/>
        <v>0</v>
      </c>
      <c r="G62" s="88"/>
      <c r="H62" s="88"/>
      <c r="I62" s="88"/>
      <c r="J62" s="88"/>
    </row>
    <row r="63" spans="1:10" x14ac:dyDescent="0.25">
      <c r="A63" s="86" t="s">
        <v>308</v>
      </c>
      <c r="B63" s="122">
        <v>8659755.6641642787</v>
      </c>
      <c r="C63" s="123">
        <f t="shared" si="3"/>
        <v>1.2461793452617559E-2</v>
      </c>
      <c r="D63" s="120">
        <f t="shared" si="4"/>
        <v>-22927.855607385321</v>
      </c>
      <c r="E63" s="237">
        <v>0</v>
      </c>
      <c r="F63" s="120">
        <f t="shared" si="2"/>
        <v>0</v>
      </c>
      <c r="G63" s="88"/>
      <c r="H63" s="88"/>
      <c r="I63" s="88"/>
      <c r="J63" s="88"/>
    </row>
    <row r="64" spans="1:10" x14ac:dyDescent="0.25">
      <c r="A64" s="86" t="s">
        <v>309</v>
      </c>
      <c r="B64" s="122">
        <v>5063531.091486901</v>
      </c>
      <c r="C64" s="123">
        <f t="shared" si="3"/>
        <v>7.2866580825299201E-3</v>
      </c>
      <c r="D64" s="120">
        <f t="shared" si="4"/>
        <v>-13406.372446458838</v>
      </c>
      <c r="E64" s="237">
        <v>0</v>
      </c>
      <c r="F64" s="120">
        <f t="shared" si="2"/>
        <v>0</v>
      </c>
      <c r="G64" s="88"/>
      <c r="H64" s="88"/>
      <c r="I64" s="88"/>
      <c r="J64" s="88"/>
    </row>
    <row r="65" spans="1:10" x14ac:dyDescent="0.25">
      <c r="A65" s="86" t="s">
        <v>310</v>
      </c>
      <c r="B65" s="122">
        <v>1052182.428081865</v>
      </c>
      <c r="C65" s="123">
        <f t="shared" si="3"/>
        <v>1.5141397288482535E-3</v>
      </c>
      <c r="D65" s="120">
        <f t="shared" si="4"/>
        <v>-2785.7930084009167</v>
      </c>
      <c r="E65" s="237">
        <v>1</v>
      </c>
      <c r="F65" s="120">
        <f t="shared" si="2"/>
        <v>-2785.7930084009167</v>
      </c>
      <c r="G65" s="88"/>
      <c r="H65" s="88"/>
      <c r="I65" s="88"/>
      <c r="J65" s="88"/>
    </row>
    <row r="66" spans="1:10" x14ac:dyDescent="0.25">
      <c r="A66" s="86" t="s">
        <v>311</v>
      </c>
      <c r="B66" s="122">
        <v>207320.58451035304</v>
      </c>
      <c r="C66" s="123">
        <f t="shared" si="3"/>
        <v>2.9834401833475925E-4</v>
      </c>
      <c r="D66" s="120">
        <f t="shared" si="4"/>
        <v>-548.90883882124342</v>
      </c>
      <c r="E66" s="237">
        <v>0</v>
      </c>
      <c r="F66" s="120">
        <f t="shared" si="2"/>
        <v>0</v>
      </c>
      <c r="G66" s="88"/>
      <c r="H66" s="88"/>
      <c r="I66" s="88"/>
      <c r="J66" s="88"/>
    </row>
    <row r="67" spans="1:10" x14ac:dyDescent="0.25">
      <c r="A67" s="86" t="s">
        <v>312</v>
      </c>
      <c r="B67" s="122">
        <v>2574115.8889564965</v>
      </c>
      <c r="C67" s="123">
        <f t="shared" si="3"/>
        <v>3.7042731660458035E-3</v>
      </c>
      <c r="D67" s="120">
        <f t="shared" si="4"/>
        <v>-6815.314393095704</v>
      </c>
      <c r="E67" s="237">
        <v>6.8836744172887168E-2</v>
      </c>
      <c r="F67" s="120">
        <f t="shared" si="2"/>
        <v>-469.14405333532477</v>
      </c>
      <c r="G67" s="88"/>
      <c r="H67" s="88"/>
      <c r="I67" s="88"/>
      <c r="J67" s="88"/>
    </row>
    <row r="68" spans="1:10" x14ac:dyDescent="0.25">
      <c r="A68" s="86" t="s">
        <v>313</v>
      </c>
      <c r="B68" s="124">
        <v>1679460.0689229874</v>
      </c>
      <c r="C68" s="123">
        <f t="shared" si="3"/>
        <v>2.4168215943373163E-3</v>
      </c>
      <c r="D68" s="120">
        <f t="shared" si="4"/>
        <v>-4446.5940439847</v>
      </c>
      <c r="E68" s="237">
        <v>0</v>
      </c>
      <c r="F68" s="120">
        <f t="shared" si="2"/>
        <v>0</v>
      </c>
      <c r="G68" s="88"/>
      <c r="H68" s="88"/>
      <c r="I68" s="88"/>
      <c r="J68" s="88"/>
    </row>
    <row r="69" spans="1:10" x14ac:dyDescent="0.25">
      <c r="A69" s="86" t="s">
        <v>314</v>
      </c>
      <c r="B69" s="124">
        <v>52704.45648905819</v>
      </c>
      <c r="C69" s="123">
        <f t="shared" si="3"/>
        <v>7.5844178088885707E-5</v>
      </c>
      <c r="D69" s="120">
        <f t="shared" si="4"/>
        <v>-139.54206274519254</v>
      </c>
      <c r="E69" s="237">
        <v>0</v>
      </c>
      <c r="F69" s="120">
        <f t="shared" si="2"/>
        <v>0</v>
      </c>
      <c r="G69" s="88"/>
      <c r="H69" s="88"/>
      <c r="I69" s="88"/>
      <c r="J69" s="88"/>
    </row>
    <row r="70" spans="1:10" x14ac:dyDescent="0.25">
      <c r="A70" s="86" t="s">
        <v>315</v>
      </c>
      <c r="B70" s="124">
        <v>355365.0965460015</v>
      </c>
      <c r="C70" s="123">
        <f t="shared" si="3"/>
        <v>5.1138699579616196E-4</v>
      </c>
      <c r="D70" s="120">
        <f t="shared" si="4"/>
        <v>-940.87638698956016</v>
      </c>
      <c r="E70" s="237">
        <v>0</v>
      </c>
      <c r="F70" s="120">
        <f t="shared" si="2"/>
        <v>0</v>
      </c>
      <c r="G70" s="88"/>
      <c r="H70" s="88"/>
      <c r="I70" s="88"/>
      <c r="J70" s="88"/>
    </row>
    <row r="71" spans="1:10" x14ac:dyDescent="0.25">
      <c r="A71" s="86" t="s">
        <v>316</v>
      </c>
      <c r="B71" s="124">
        <v>54425.557778113303</v>
      </c>
      <c r="C71" s="123">
        <f t="shared" si="3"/>
        <v>7.8320923346721872E-5</v>
      </c>
      <c r="D71" s="120">
        <f t="shared" si="4"/>
        <v>-144.09890746131293</v>
      </c>
      <c r="E71" s="237">
        <v>0</v>
      </c>
      <c r="F71" s="120">
        <f t="shared" si="2"/>
        <v>0</v>
      </c>
      <c r="G71" s="88"/>
      <c r="H71" s="88"/>
      <c r="I71" s="88"/>
      <c r="J71" s="88"/>
    </row>
    <row r="72" spans="1:10" x14ac:dyDescent="0.25">
      <c r="A72" s="86" t="s">
        <v>317</v>
      </c>
      <c r="B72" s="122">
        <v>2385041.6751109622</v>
      </c>
      <c r="C72" s="123">
        <f t="shared" ref="C72:C82" si="5">B72/$B$89</f>
        <v>3.4321865285544583E-3</v>
      </c>
      <c r="D72" s="120">
        <f t="shared" ref="D72:D82" si="6">C72*$D$89</f>
        <v>-6314.7152489339769</v>
      </c>
      <c r="E72" s="237">
        <v>0</v>
      </c>
      <c r="F72" s="120">
        <f t="shared" si="2"/>
        <v>0</v>
      </c>
      <c r="G72" s="88"/>
      <c r="H72" s="88"/>
      <c r="I72" s="88"/>
      <c r="J72" s="88"/>
    </row>
    <row r="73" spans="1:10" x14ac:dyDescent="0.25">
      <c r="A73" s="86" t="s">
        <v>318</v>
      </c>
      <c r="B73" s="124">
        <v>351194.63940799743</v>
      </c>
      <c r="C73" s="123">
        <f t="shared" si="5"/>
        <v>5.0538551290538376E-4</v>
      </c>
      <c r="D73" s="120">
        <f t="shared" si="6"/>
        <v>-929.83454668999616</v>
      </c>
      <c r="E73" s="237">
        <v>1</v>
      </c>
      <c r="F73" s="120">
        <f t="shared" ref="F73:F82" si="7">D73*E73</f>
        <v>-929.83454668999616</v>
      </c>
      <c r="G73" s="88"/>
      <c r="H73" s="88"/>
      <c r="I73" s="88"/>
      <c r="J73" s="88"/>
    </row>
    <row r="74" spans="1:10" x14ac:dyDescent="0.25">
      <c r="A74" s="86" t="s">
        <v>319</v>
      </c>
      <c r="B74" s="122">
        <v>1191314.8376383614</v>
      </c>
      <c r="C74" s="123">
        <f t="shared" si="5"/>
        <v>1.7143577739869877E-3</v>
      </c>
      <c r="D74" s="120">
        <f t="shared" si="6"/>
        <v>-3154.1645791855071</v>
      </c>
      <c r="E74" s="237">
        <v>0</v>
      </c>
      <c r="F74" s="120">
        <f t="shared" si="7"/>
        <v>0</v>
      </c>
      <c r="G74" s="88"/>
      <c r="H74" s="88"/>
      <c r="I74" s="88"/>
      <c r="J74" s="88"/>
    </row>
    <row r="75" spans="1:10" x14ac:dyDescent="0.25">
      <c r="A75" s="86" t="s">
        <v>118</v>
      </c>
      <c r="B75" s="122">
        <v>32109.090801921579</v>
      </c>
      <c r="C75" s="123">
        <f t="shared" si="5"/>
        <v>4.6206483536334824E-5</v>
      </c>
      <c r="D75" s="120">
        <f t="shared" si="6"/>
        <v>-85.013091147292698</v>
      </c>
      <c r="E75" s="237">
        <v>0</v>
      </c>
      <c r="F75" s="120">
        <f t="shared" si="7"/>
        <v>0</v>
      </c>
      <c r="G75" s="88"/>
      <c r="H75" s="88"/>
      <c r="I75" s="88"/>
      <c r="J75" s="88"/>
    </row>
    <row r="76" spans="1:10" x14ac:dyDescent="0.25">
      <c r="A76" s="86" t="s">
        <v>119</v>
      </c>
      <c r="B76" s="122">
        <v>484962.67595560307</v>
      </c>
      <c r="C76" s="123">
        <f t="shared" si="5"/>
        <v>6.9788397437084751E-4</v>
      </c>
      <c r="D76" s="120">
        <f t="shared" si="6"/>
        <v>-1284.0032260141525</v>
      </c>
      <c r="E76" s="237">
        <v>0</v>
      </c>
      <c r="F76" s="120">
        <f t="shared" si="7"/>
        <v>0</v>
      </c>
      <c r="G76" s="88"/>
      <c r="H76" s="88"/>
      <c r="I76" s="88"/>
      <c r="J76" s="88"/>
    </row>
    <row r="77" spans="1:10" x14ac:dyDescent="0.25">
      <c r="A77" s="86" t="s">
        <v>71</v>
      </c>
      <c r="B77" s="122">
        <v>101222865.95621783</v>
      </c>
      <c r="C77" s="123">
        <f t="shared" si="5"/>
        <v>0.14566443871486701</v>
      </c>
      <c r="D77" s="120">
        <f t="shared" si="6"/>
        <v>-268001.0088984255</v>
      </c>
      <c r="E77" s="237">
        <v>6.6548046661184135E-2</v>
      </c>
      <c r="F77" s="120">
        <f t="shared" si="7"/>
        <v>-17834.943645416846</v>
      </c>
      <c r="G77" s="88"/>
      <c r="H77" s="88"/>
      <c r="I77" s="88"/>
      <c r="J77" s="88"/>
    </row>
    <row r="78" spans="1:10" x14ac:dyDescent="0.25">
      <c r="A78" s="86" t="s">
        <v>120</v>
      </c>
      <c r="B78" s="122">
        <v>507733.63108115114</v>
      </c>
      <c r="C78" s="123">
        <f t="shared" si="5"/>
        <v>7.3065244388641182E-4</v>
      </c>
      <c r="D78" s="120">
        <f t="shared" si="6"/>
        <v>-1344.2923601893026</v>
      </c>
      <c r="E78" s="237">
        <v>0</v>
      </c>
      <c r="F78" s="120">
        <f t="shared" si="7"/>
        <v>0</v>
      </c>
      <c r="G78" s="88"/>
      <c r="H78" s="88"/>
      <c r="I78" s="88"/>
      <c r="J78" s="88"/>
    </row>
    <row r="79" spans="1:10" x14ac:dyDescent="0.25">
      <c r="A79" s="86" t="s">
        <v>121</v>
      </c>
      <c r="B79" s="172">
        <v>414777.8111685231</v>
      </c>
      <c r="C79" s="123">
        <f t="shared" si="5"/>
        <v>5.968846711115344E-4</v>
      </c>
      <c r="D79" s="120">
        <f t="shared" si="6"/>
        <v>-1098.1794559138989</v>
      </c>
      <c r="E79" s="237">
        <v>1</v>
      </c>
      <c r="F79" s="120">
        <f t="shared" si="7"/>
        <v>-1098.1794559138989</v>
      </c>
      <c r="G79" s="88"/>
      <c r="H79" s="88"/>
      <c r="I79" s="88"/>
      <c r="J79" s="88"/>
    </row>
    <row r="80" spans="1:10" x14ac:dyDescent="0.25">
      <c r="A80" s="86" t="s">
        <v>320</v>
      </c>
      <c r="B80" s="172">
        <v>61606.268722206303</v>
      </c>
      <c r="C80" s="123">
        <f t="shared" si="5"/>
        <v>8.8654302266238212E-5</v>
      </c>
      <c r="D80" s="120">
        <f t="shared" si="6"/>
        <v>-163.1107953331429</v>
      </c>
      <c r="E80" s="237">
        <v>0</v>
      </c>
      <c r="F80" s="120">
        <f t="shared" si="7"/>
        <v>0</v>
      </c>
      <c r="G80" s="88"/>
      <c r="H80" s="88"/>
      <c r="I80" s="88"/>
      <c r="J80" s="88"/>
    </row>
    <row r="81" spans="1:10" x14ac:dyDescent="0.25">
      <c r="A81" s="86" t="s">
        <v>167</v>
      </c>
      <c r="B81" s="172">
        <v>920416.90510690771</v>
      </c>
      <c r="C81" s="123">
        <f t="shared" si="5"/>
        <v>1.3245229780795105E-3</v>
      </c>
      <c r="D81" s="120">
        <f t="shared" si="6"/>
        <v>-2436.9262502655433</v>
      </c>
      <c r="E81" s="237">
        <v>0</v>
      </c>
      <c r="F81" s="120">
        <f t="shared" si="7"/>
        <v>0</v>
      </c>
      <c r="G81" s="88"/>
      <c r="H81" s="88"/>
      <c r="I81" s="88"/>
      <c r="J81" s="88"/>
    </row>
    <row r="82" spans="1:10" x14ac:dyDescent="0.25">
      <c r="A82" s="86" t="s">
        <v>321</v>
      </c>
      <c r="B82" s="172">
        <v>-3709.8577847316133</v>
      </c>
      <c r="C82" s="123">
        <f t="shared" si="5"/>
        <v>-5.3386588773197592E-6</v>
      </c>
      <c r="D82" s="120">
        <f t="shared" si="6"/>
        <v>9.8223422127545135</v>
      </c>
      <c r="E82" s="237">
        <v>0</v>
      </c>
      <c r="F82" s="120">
        <f t="shared" si="7"/>
        <v>0</v>
      </c>
      <c r="G82" s="88"/>
      <c r="H82" s="88"/>
      <c r="I82" s="88"/>
      <c r="J82" s="88"/>
    </row>
    <row r="83" spans="1:10" ht="5.25" customHeight="1" x14ac:dyDescent="0.25">
      <c r="A83" s="121"/>
      <c r="B83" s="125"/>
      <c r="C83" s="126"/>
      <c r="D83" s="100"/>
      <c r="E83" s="119"/>
      <c r="F83" s="100"/>
      <c r="G83" s="88"/>
      <c r="H83" s="88"/>
      <c r="I83" s="88"/>
      <c r="J83" s="88"/>
    </row>
    <row r="84" spans="1:10" ht="6.75" customHeight="1" x14ac:dyDescent="0.25">
      <c r="A84" s="121"/>
      <c r="B84" s="127"/>
      <c r="C84" s="128"/>
      <c r="D84" s="100"/>
      <c r="E84" s="101"/>
      <c r="F84" s="100"/>
      <c r="G84" s="88"/>
      <c r="H84" s="88"/>
      <c r="I84" s="88"/>
      <c r="J84" s="88"/>
    </row>
    <row r="85" spans="1:10" x14ac:dyDescent="0.25">
      <c r="A85" s="129" t="s">
        <v>122</v>
      </c>
      <c r="B85" s="130">
        <f>SUM(B8:B82)</f>
        <v>473221715.10178638</v>
      </c>
      <c r="C85" s="131">
        <f>SUM(C8:C82)</f>
        <v>0.68098818252986026</v>
      </c>
      <c r="D85" s="130">
        <f>SUM(D8:D82)</f>
        <v>-1252917.4696039283</v>
      </c>
      <c r="E85" s="101"/>
      <c r="F85" s="130">
        <f>SUM(F8:F84)</f>
        <v>-78556.38252436812</v>
      </c>
      <c r="G85" s="88"/>
      <c r="H85" s="88"/>
      <c r="I85" s="88"/>
      <c r="J85" s="88"/>
    </row>
    <row r="86" spans="1:10" ht="8.25" customHeight="1" x14ac:dyDescent="0.25">
      <c r="A86" s="121"/>
      <c r="B86" s="127"/>
      <c r="C86" s="128"/>
      <c r="D86" s="100"/>
      <c r="E86" s="101"/>
      <c r="F86" s="100"/>
      <c r="G86" s="88"/>
      <c r="H86" s="88"/>
      <c r="I86" s="88"/>
      <c r="J86" s="88"/>
    </row>
    <row r="87" spans="1:10" x14ac:dyDescent="0.25">
      <c r="A87" s="121" t="s">
        <v>168</v>
      </c>
      <c r="B87" s="124">
        <v>221682730</v>
      </c>
      <c r="C87" s="126">
        <f>B87/B89</f>
        <v>0.31901181747014001</v>
      </c>
      <c r="D87" s="120">
        <f>C87*$D$89</f>
        <v>-586934.53039607208</v>
      </c>
      <c r="E87" s="101"/>
      <c r="F87" s="100"/>
      <c r="G87" s="88"/>
      <c r="H87" s="88"/>
      <c r="I87" s="88"/>
      <c r="J87" s="88"/>
    </row>
    <row r="88" spans="1:10" ht="4.5" customHeight="1" x14ac:dyDescent="0.25">
      <c r="A88" s="121"/>
      <c r="B88" s="127"/>
      <c r="C88" s="128"/>
      <c r="D88" s="100"/>
      <c r="E88" s="101"/>
      <c r="F88" s="100"/>
      <c r="G88" s="88"/>
      <c r="H88" s="88"/>
      <c r="I88" s="88"/>
      <c r="J88" s="88"/>
    </row>
    <row r="89" spans="1:10" x14ac:dyDescent="0.25">
      <c r="A89" s="132" t="s">
        <v>4</v>
      </c>
      <c r="B89" s="133">
        <f>B85+B87</f>
        <v>694904445.10178638</v>
      </c>
      <c r="C89" s="134">
        <f>C85+C87</f>
        <v>1.0000000000000002</v>
      </c>
      <c r="D89" s="133">
        <f>Sch9p1!I20</f>
        <v>-1839852</v>
      </c>
      <c r="E89" s="101"/>
      <c r="F89" s="100"/>
      <c r="G89" s="88"/>
      <c r="H89" s="88"/>
      <c r="I89" s="88"/>
      <c r="J89" s="88"/>
    </row>
    <row r="90" spans="1:10" x14ac:dyDescent="0.25">
      <c r="A90" s="97"/>
      <c r="B90" s="98"/>
      <c r="C90" s="99"/>
      <c r="D90" s="100"/>
      <c r="E90" s="101"/>
      <c r="F90" s="100"/>
      <c r="G90" s="88"/>
      <c r="H90" s="88"/>
      <c r="I90" s="88"/>
      <c r="J90" s="88"/>
    </row>
    <row r="91" spans="1:10" x14ac:dyDescent="0.25">
      <c r="A91" s="97"/>
      <c r="B91" s="98"/>
      <c r="C91" s="99"/>
      <c r="D91" s="100"/>
      <c r="E91" s="101"/>
      <c r="F91" s="100"/>
      <c r="G91" s="88"/>
      <c r="H91" s="88"/>
      <c r="I91" s="88"/>
      <c r="J91" s="88"/>
    </row>
    <row r="92" spans="1:10" x14ac:dyDescent="0.25">
      <c r="A92" s="97"/>
      <c r="B92" s="98"/>
      <c r="C92" s="99"/>
      <c r="D92" s="100"/>
      <c r="E92" s="101"/>
      <c r="F92" s="100"/>
      <c r="G92" s="88"/>
      <c r="H92" s="88"/>
      <c r="I92" s="88"/>
      <c r="J92" s="88"/>
    </row>
    <row r="93" spans="1:10" x14ac:dyDescent="0.25">
      <c r="A93" s="97"/>
      <c r="B93" s="98"/>
      <c r="C93" s="99"/>
      <c r="D93" s="100"/>
      <c r="E93" s="101"/>
      <c r="F93" s="100"/>
      <c r="G93" s="88"/>
      <c r="H93" s="88"/>
      <c r="I93" s="88"/>
      <c r="J93" s="88"/>
    </row>
    <row r="94" spans="1:10" x14ac:dyDescent="0.25">
      <c r="A94" s="97"/>
      <c r="B94" s="98"/>
      <c r="C94" s="99"/>
      <c r="D94" s="100"/>
      <c r="E94" s="101"/>
      <c r="F94" s="100"/>
      <c r="G94" s="88"/>
      <c r="H94" s="88"/>
      <c r="I94" s="88"/>
      <c r="J94" s="88"/>
    </row>
    <row r="95" spans="1:10" x14ac:dyDescent="0.25">
      <c r="A95" s="97"/>
      <c r="B95" s="98"/>
      <c r="C95" s="99"/>
      <c r="D95" s="100"/>
      <c r="E95" s="101"/>
      <c r="F95" s="100"/>
      <c r="G95" s="88"/>
      <c r="H95" s="88"/>
      <c r="I95" s="88"/>
      <c r="J95" s="88"/>
    </row>
    <row r="96" spans="1:10" x14ac:dyDescent="0.25">
      <c r="A96" s="97"/>
      <c r="B96" s="98"/>
      <c r="C96" s="99"/>
      <c r="D96" s="100"/>
      <c r="E96" s="101"/>
      <c r="F96" s="100"/>
      <c r="G96" s="88"/>
      <c r="H96" s="88"/>
      <c r="I96" s="88"/>
      <c r="J96" s="88"/>
    </row>
    <row r="97" spans="1:10" x14ac:dyDescent="0.25">
      <c r="A97" s="97"/>
      <c r="B97" s="98"/>
      <c r="C97" s="99"/>
      <c r="D97" s="100"/>
      <c r="E97" s="101"/>
      <c r="F97" s="100"/>
      <c r="G97" s="88"/>
      <c r="H97" s="88"/>
      <c r="I97" s="88"/>
      <c r="J97" s="88"/>
    </row>
    <row r="98" spans="1:10" x14ac:dyDescent="0.25">
      <c r="A98" s="97"/>
      <c r="B98" s="98"/>
      <c r="C98" s="99"/>
      <c r="D98" s="100"/>
      <c r="E98" s="101"/>
      <c r="F98" s="100"/>
      <c r="G98" s="88"/>
      <c r="H98" s="88"/>
      <c r="I98" s="88"/>
      <c r="J98" s="88"/>
    </row>
    <row r="99" spans="1:10" x14ac:dyDescent="0.25">
      <c r="A99" s="97"/>
      <c r="B99" s="98"/>
      <c r="C99" s="99"/>
      <c r="D99" s="100"/>
      <c r="E99" s="101"/>
      <c r="F99" s="100"/>
      <c r="G99" s="88"/>
      <c r="H99" s="88"/>
      <c r="I99" s="88"/>
      <c r="J99" s="88"/>
    </row>
    <row r="100" spans="1:10" x14ac:dyDescent="0.25">
      <c r="A100" s="97"/>
      <c r="B100" s="98"/>
      <c r="C100" s="99"/>
      <c r="D100" s="100"/>
      <c r="E100" s="101"/>
      <c r="F100" s="100"/>
      <c r="G100" s="88"/>
      <c r="H100" s="88"/>
      <c r="I100" s="88"/>
      <c r="J100" s="88"/>
    </row>
    <row r="101" spans="1:10" x14ac:dyDescent="0.25">
      <c r="A101" s="97"/>
      <c r="B101" s="98"/>
      <c r="C101" s="99"/>
      <c r="D101" s="100"/>
      <c r="E101" s="101"/>
      <c r="F101" s="100"/>
      <c r="G101" s="88"/>
      <c r="H101" s="88"/>
      <c r="I101" s="88"/>
      <c r="J101" s="88"/>
    </row>
    <row r="102" spans="1:10" x14ac:dyDescent="0.25">
      <c r="A102" s="97"/>
      <c r="B102" s="98"/>
      <c r="C102" s="99"/>
      <c r="D102" s="100"/>
      <c r="E102" s="101"/>
      <c r="F102" s="100"/>
      <c r="G102" s="88"/>
      <c r="H102" s="88"/>
      <c r="I102" s="88"/>
      <c r="J102" s="88"/>
    </row>
    <row r="103" spans="1:10" x14ac:dyDescent="0.25">
      <c r="A103" s="97"/>
      <c r="B103" s="98"/>
      <c r="C103" s="99"/>
      <c r="D103" s="100"/>
      <c r="E103" s="101"/>
      <c r="F103" s="100"/>
      <c r="G103" s="88"/>
      <c r="H103" s="88"/>
      <c r="I103" s="88"/>
      <c r="J103" s="88"/>
    </row>
    <row r="104" spans="1:10" x14ac:dyDescent="0.25">
      <c r="A104" s="97"/>
      <c r="B104" s="98"/>
      <c r="C104" s="99"/>
      <c r="D104" s="100"/>
      <c r="E104" s="101"/>
      <c r="F104" s="100"/>
      <c r="G104" s="88"/>
      <c r="H104" s="88"/>
      <c r="I104" s="88"/>
      <c r="J104" s="88"/>
    </row>
    <row r="105" spans="1:10" x14ac:dyDescent="0.25">
      <c r="A105" s="97"/>
      <c r="B105" s="98"/>
      <c r="C105" s="99"/>
      <c r="D105" s="100"/>
      <c r="E105" s="101"/>
      <c r="F105" s="100"/>
      <c r="G105" s="88"/>
      <c r="H105" s="88"/>
      <c r="I105" s="88"/>
      <c r="J105" s="88"/>
    </row>
    <row r="106" spans="1:10" x14ac:dyDescent="0.25">
      <c r="A106" s="97"/>
      <c r="B106" s="98"/>
      <c r="C106" s="99"/>
      <c r="D106" s="100"/>
      <c r="E106" s="101"/>
      <c r="F106" s="100"/>
      <c r="G106" s="88"/>
      <c r="H106" s="88"/>
      <c r="I106" s="88"/>
      <c r="J106" s="88"/>
    </row>
    <row r="107" spans="1:10" x14ac:dyDescent="0.25">
      <c r="A107" s="97"/>
      <c r="B107" s="98"/>
      <c r="C107" s="99"/>
      <c r="D107" s="100"/>
      <c r="E107" s="101"/>
      <c r="F107" s="100"/>
      <c r="G107" s="88"/>
      <c r="H107" s="88"/>
      <c r="I107" s="88"/>
      <c r="J107" s="88"/>
    </row>
    <row r="108" spans="1:10" x14ac:dyDescent="0.25">
      <c r="A108" s="97"/>
      <c r="B108" s="98"/>
      <c r="C108" s="99"/>
      <c r="D108" s="100"/>
      <c r="E108" s="101"/>
      <c r="F108" s="100"/>
      <c r="G108" s="88"/>
      <c r="H108" s="88"/>
      <c r="I108" s="88"/>
      <c r="J108" s="88"/>
    </row>
    <row r="109" spans="1:10" x14ac:dyDescent="0.25">
      <c r="A109" s="97"/>
      <c r="B109" s="98"/>
      <c r="C109" s="99"/>
      <c r="D109" s="100"/>
      <c r="E109" s="101"/>
      <c r="F109" s="100"/>
      <c r="G109" s="88"/>
      <c r="H109" s="88"/>
      <c r="I109" s="88"/>
      <c r="J109" s="88"/>
    </row>
    <row r="110" spans="1:10" x14ac:dyDescent="0.25">
      <c r="A110" s="97"/>
      <c r="B110" s="98"/>
      <c r="C110" s="99"/>
      <c r="D110" s="100"/>
      <c r="E110" s="101"/>
      <c r="F110" s="100"/>
      <c r="G110" s="88"/>
      <c r="H110" s="88"/>
      <c r="I110" s="88"/>
      <c r="J110" s="88"/>
    </row>
    <row r="111" spans="1:10" x14ac:dyDescent="0.25">
      <c r="A111" s="97"/>
      <c r="B111" s="98"/>
      <c r="C111" s="99"/>
      <c r="D111" s="100"/>
      <c r="E111" s="101"/>
      <c r="F111" s="100"/>
      <c r="G111" s="88"/>
      <c r="H111" s="88"/>
      <c r="I111" s="88"/>
      <c r="J111" s="88"/>
    </row>
    <row r="112" spans="1:10" x14ac:dyDescent="0.25">
      <c r="A112" s="97"/>
      <c r="B112" s="98"/>
      <c r="C112" s="99"/>
      <c r="D112" s="100"/>
      <c r="E112" s="101"/>
      <c r="F112" s="100"/>
      <c r="G112" s="88"/>
      <c r="H112" s="88"/>
      <c r="I112" s="88"/>
      <c r="J112" s="88"/>
    </row>
    <row r="113" spans="1:10" x14ac:dyDescent="0.25">
      <c r="A113" s="97"/>
      <c r="B113" s="98"/>
      <c r="C113" s="99"/>
      <c r="D113" s="100"/>
      <c r="E113" s="101"/>
      <c r="F113" s="100"/>
      <c r="G113" s="88"/>
      <c r="H113" s="88"/>
      <c r="I113" s="88"/>
      <c r="J113" s="88"/>
    </row>
    <row r="114" spans="1:10" x14ac:dyDescent="0.25">
      <c r="A114" s="97"/>
      <c r="B114" s="98"/>
      <c r="C114" s="99"/>
      <c r="D114" s="100"/>
      <c r="E114" s="101"/>
      <c r="F114" s="100"/>
      <c r="G114" s="88"/>
      <c r="H114" s="88"/>
      <c r="I114" s="88"/>
      <c r="J114" s="88"/>
    </row>
    <row r="115" spans="1:10" x14ac:dyDescent="0.25">
      <c r="A115" s="97"/>
      <c r="B115" s="98"/>
      <c r="C115" s="99"/>
      <c r="D115" s="100"/>
      <c r="E115" s="101"/>
      <c r="F115" s="100"/>
      <c r="G115" s="88"/>
      <c r="H115" s="88"/>
      <c r="I115" s="88"/>
      <c r="J115" s="88"/>
    </row>
    <row r="116" spans="1:10" x14ac:dyDescent="0.25">
      <c r="A116" s="97"/>
      <c r="B116" s="98"/>
      <c r="C116" s="99"/>
      <c r="D116" s="100"/>
      <c r="E116" s="101"/>
      <c r="F116" s="100"/>
      <c r="G116" s="88"/>
      <c r="H116" s="88"/>
      <c r="I116" s="88"/>
      <c r="J116" s="88"/>
    </row>
    <row r="117" spans="1:10" x14ac:dyDescent="0.25">
      <c r="A117" s="97"/>
      <c r="B117" s="98"/>
      <c r="C117" s="99"/>
      <c r="D117" s="100"/>
      <c r="E117" s="101"/>
      <c r="F117" s="100"/>
      <c r="G117" s="88"/>
      <c r="H117" s="88"/>
      <c r="I117" s="88"/>
      <c r="J117" s="88"/>
    </row>
    <row r="118" spans="1:10" x14ac:dyDescent="0.25">
      <c r="A118" s="97"/>
      <c r="B118" s="98"/>
      <c r="C118" s="99"/>
      <c r="D118" s="100"/>
      <c r="E118" s="101"/>
      <c r="F118" s="100"/>
      <c r="G118" s="88"/>
      <c r="H118" s="88"/>
      <c r="I118" s="88"/>
      <c r="J118" s="88"/>
    </row>
    <row r="119" spans="1:10" x14ac:dyDescent="0.25">
      <c r="A119" s="97"/>
      <c r="B119" s="98"/>
      <c r="C119" s="99"/>
      <c r="D119" s="100"/>
      <c r="E119" s="101"/>
      <c r="F119" s="100"/>
      <c r="G119" s="88"/>
      <c r="H119" s="88"/>
      <c r="I119" s="88"/>
      <c r="J119" s="88"/>
    </row>
    <row r="120" spans="1:10" x14ac:dyDescent="0.25">
      <c r="A120" s="97"/>
      <c r="B120" s="98"/>
      <c r="C120" s="99"/>
      <c r="D120" s="100"/>
      <c r="E120" s="101"/>
      <c r="F120" s="100"/>
      <c r="G120" s="88"/>
      <c r="H120" s="88"/>
      <c r="I120" s="88"/>
      <c r="J120" s="88"/>
    </row>
    <row r="121" spans="1:10" x14ac:dyDescent="0.25">
      <c r="A121" s="97"/>
      <c r="B121" s="98"/>
      <c r="C121" s="99"/>
      <c r="D121" s="100"/>
      <c r="E121" s="101"/>
      <c r="F121" s="100"/>
      <c r="G121" s="88"/>
      <c r="H121" s="88"/>
      <c r="I121" s="88"/>
      <c r="J121" s="88"/>
    </row>
    <row r="122" spans="1:10" x14ac:dyDescent="0.25">
      <c r="A122" s="97"/>
      <c r="B122" s="98"/>
      <c r="C122" s="99"/>
      <c r="D122" s="100"/>
      <c r="E122" s="101"/>
      <c r="F122" s="100"/>
      <c r="G122" s="88"/>
      <c r="H122" s="88"/>
      <c r="I122" s="88"/>
      <c r="J122" s="88"/>
    </row>
    <row r="123" spans="1:10" x14ac:dyDescent="0.25">
      <c r="A123" s="97"/>
      <c r="B123" s="98"/>
      <c r="C123" s="99"/>
      <c r="D123" s="100"/>
      <c r="E123" s="101"/>
      <c r="F123" s="100"/>
      <c r="G123" s="88"/>
      <c r="H123" s="88"/>
      <c r="I123" s="88"/>
      <c r="J123" s="88"/>
    </row>
    <row r="124" spans="1:10" x14ac:dyDescent="0.25">
      <c r="A124" s="97"/>
      <c r="B124" s="98"/>
      <c r="C124" s="99"/>
      <c r="D124" s="100"/>
      <c r="E124" s="101"/>
      <c r="F124" s="100"/>
      <c r="G124" s="88"/>
      <c r="H124" s="88"/>
      <c r="I124" s="88"/>
      <c r="J124" s="88"/>
    </row>
    <row r="125" spans="1:10" x14ac:dyDescent="0.25">
      <c r="A125" s="97"/>
      <c r="B125" s="98"/>
      <c r="C125" s="99"/>
      <c r="D125" s="100"/>
      <c r="E125" s="101"/>
      <c r="F125" s="100"/>
      <c r="G125" s="88"/>
      <c r="H125" s="88"/>
      <c r="I125" s="88"/>
      <c r="J125" s="88"/>
    </row>
    <row r="126" spans="1:10" x14ac:dyDescent="0.25">
      <c r="A126" s="97"/>
      <c r="B126" s="98"/>
      <c r="C126" s="99"/>
      <c r="D126" s="100"/>
      <c r="E126" s="101"/>
      <c r="F126" s="100"/>
      <c r="G126" s="88"/>
      <c r="H126" s="88"/>
      <c r="I126" s="88"/>
      <c r="J126" s="88"/>
    </row>
    <row r="127" spans="1:10" x14ac:dyDescent="0.25">
      <c r="A127" s="97"/>
      <c r="B127" s="98"/>
      <c r="C127" s="99"/>
      <c r="D127" s="100"/>
      <c r="E127" s="101"/>
      <c r="F127" s="100"/>
      <c r="G127" s="88"/>
      <c r="H127" s="88"/>
      <c r="I127" s="88"/>
      <c r="J127" s="88"/>
    </row>
    <row r="128" spans="1:10" x14ac:dyDescent="0.25">
      <c r="A128" s="97"/>
      <c r="B128" s="98"/>
      <c r="C128" s="99"/>
      <c r="D128" s="100"/>
      <c r="E128" s="101"/>
      <c r="F128" s="100"/>
      <c r="G128" s="88"/>
      <c r="H128" s="88"/>
      <c r="I128" s="88"/>
      <c r="J128" s="88"/>
    </row>
    <row r="129" spans="1:10" x14ac:dyDescent="0.25">
      <c r="A129" s="97"/>
      <c r="B129" s="98"/>
      <c r="C129" s="99"/>
      <c r="D129" s="100"/>
      <c r="E129" s="101"/>
      <c r="F129" s="100"/>
      <c r="G129" s="88"/>
      <c r="H129" s="88"/>
      <c r="I129" s="88"/>
      <c r="J129" s="88"/>
    </row>
    <row r="130" spans="1:10" x14ac:dyDescent="0.25">
      <c r="A130" s="97"/>
      <c r="B130" s="98"/>
      <c r="C130" s="99"/>
      <c r="D130" s="100"/>
      <c r="E130" s="101"/>
      <c r="F130" s="100"/>
      <c r="G130" s="88"/>
      <c r="H130" s="88"/>
      <c r="I130" s="88"/>
      <c r="J130" s="88"/>
    </row>
    <row r="131" spans="1:10" x14ac:dyDescent="0.25">
      <c r="A131" s="97"/>
      <c r="B131" s="98"/>
      <c r="C131" s="99"/>
      <c r="D131" s="100"/>
      <c r="E131" s="101"/>
      <c r="F131" s="100"/>
      <c r="G131" s="88"/>
      <c r="H131" s="88"/>
      <c r="I131" s="88"/>
      <c r="J131" s="88"/>
    </row>
    <row r="132" spans="1:10" x14ac:dyDescent="0.25">
      <c r="A132" s="97"/>
      <c r="B132" s="98"/>
      <c r="C132" s="99"/>
      <c r="D132" s="100"/>
      <c r="E132" s="101"/>
      <c r="F132" s="100"/>
      <c r="G132" s="88"/>
      <c r="H132" s="88"/>
      <c r="I132" s="88"/>
      <c r="J132" s="88"/>
    </row>
    <row r="133" spans="1:10" x14ac:dyDescent="0.25">
      <c r="A133" s="97"/>
      <c r="B133" s="98"/>
      <c r="C133" s="99"/>
      <c r="D133" s="100"/>
      <c r="E133" s="101"/>
      <c r="F133" s="100"/>
      <c r="G133" s="88"/>
      <c r="H133" s="88"/>
      <c r="I133" s="88"/>
      <c r="J133" s="88"/>
    </row>
    <row r="134" spans="1:10" x14ac:dyDescent="0.25">
      <c r="A134" s="97"/>
      <c r="B134" s="98"/>
      <c r="C134" s="99"/>
      <c r="D134" s="100"/>
      <c r="E134" s="101"/>
      <c r="F134" s="100"/>
      <c r="G134" s="88"/>
      <c r="H134" s="88"/>
      <c r="I134" s="88"/>
      <c r="J134" s="88"/>
    </row>
    <row r="135" spans="1:10" x14ac:dyDescent="0.25">
      <c r="A135" s="97"/>
      <c r="B135" s="98"/>
      <c r="C135" s="99"/>
      <c r="D135" s="100"/>
      <c r="E135" s="101"/>
      <c r="F135" s="100"/>
      <c r="G135" s="88"/>
      <c r="H135" s="88"/>
      <c r="I135" s="88"/>
      <c r="J135" s="88"/>
    </row>
    <row r="136" spans="1:10" x14ac:dyDescent="0.25">
      <c r="A136" s="97"/>
      <c r="B136" s="98"/>
      <c r="C136" s="99"/>
      <c r="D136" s="100"/>
      <c r="E136" s="101"/>
      <c r="F136" s="100"/>
      <c r="G136" s="88"/>
      <c r="H136" s="88"/>
      <c r="I136" s="88"/>
      <c r="J136" s="88"/>
    </row>
    <row r="137" spans="1:10" x14ac:dyDescent="0.25">
      <c r="A137" s="97"/>
      <c r="B137" s="98"/>
      <c r="C137" s="99"/>
      <c r="D137" s="100"/>
      <c r="E137" s="101"/>
      <c r="F137" s="100"/>
      <c r="G137" s="88"/>
      <c r="H137" s="88"/>
      <c r="I137" s="88"/>
      <c r="J137" s="88"/>
    </row>
    <row r="138" spans="1:10" x14ac:dyDescent="0.25">
      <c r="A138" s="97"/>
      <c r="B138" s="98"/>
      <c r="C138" s="99"/>
      <c r="D138" s="100"/>
      <c r="E138" s="101"/>
      <c r="F138" s="100"/>
      <c r="G138" s="88"/>
      <c r="H138" s="88"/>
      <c r="I138" s="88"/>
      <c r="J138" s="88"/>
    </row>
    <row r="139" spans="1:10" x14ac:dyDescent="0.25">
      <c r="A139" s="97"/>
      <c r="B139" s="98"/>
      <c r="C139" s="99"/>
      <c r="D139" s="100"/>
      <c r="E139" s="101"/>
      <c r="F139" s="100"/>
      <c r="G139" s="88"/>
      <c r="H139" s="88"/>
      <c r="I139" s="88"/>
      <c r="J139" s="88"/>
    </row>
    <row r="140" spans="1:10" x14ac:dyDescent="0.25">
      <c r="A140" s="97"/>
      <c r="B140" s="98"/>
      <c r="C140" s="99"/>
      <c r="D140" s="100"/>
      <c r="E140" s="101"/>
      <c r="F140" s="100"/>
      <c r="G140" s="88"/>
      <c r="H140" s="88"/>
      <c r="I140" s="88"/>
      <c r="J140" s="88"/>
    </row>
    <row r="141" spans="1:10" x14ac:dyDescent="0.25">
      <c r="A141" s="97"/>
      <c r="B141" s="98"/>
      <c r="C141" s="99"/>
      <c r="D141" s="100"/>
      <c r="E141" s="101"/>
      <c r="F141" s="100"/>
      <c r="G141" s="88"/>
      <c r="H141" s="88"/>
      <c r="I141" s="88"/>
      <c r="J141" s="88"/>
    </row>
    <row r="142" spans="1:10" x14ac:dyDescent="0.25">
      <c r="A142" s="97"/>
      <c r="B142" s="98"/>
      <c r="C142" s="99"/>
      <c r="D142" s="100"/>
      <c r="E142" s="101"/>
      <c r="F142" s="100"/>
      <c r="G142" s="88"/>
      <c r="H142" s="88"/>
      <c r="I142" s="88"/>
      <c r="J142" s="88"/>
    </row>
    <row r="143" spans="1:10" x14ac:dyDescent="0.25">
      <c r="A143" s="97"/>
      <c r="B143" s="98"/>
      <c r="C143" s="99"/>
      <c r="D143" s="100"/>
      <c r="E143" s="101"/>
      <c r="F143" s="100"/>
      <c r="G143" s="88"/>
      <c r="H143" s="88"/>
      <c r="I143" s="88"/>
      <c r="J143" s="88"/>
    </row>
    <row r="144" spans="1:10" x14ac:dyDescent="0.25">
      <c r="A144" s="97"/>
      <c r="B144" s="98"/>
      <c r="C144" s="99"/>
      <c r="D144" s="100"/>
      <c r="E144" s="101"/>
      <c r="F144" s="100"/>
      <c r="G144" s="88"/>
      <c r="H144" s="88"/>
      <c r="I144" s="88"/>
      <c r="J144" s="88"/>
    </row>
    <row r="145" spans="1:10" x14ac:dyDescent="0.25">
      <c r="A145" s="97"/>
      <c r="B145" s="98"/>
      <c r="C145" s="99"/>
      <c r="D145" s="100"/>
      <c r="E145" s="101"/>
      <c r="F145" s="100"/>
      <c r="G145" s="88"/>
      <c r="H145" s="88"/>
      <c r="I145" s="88"/>
      <c r="J145" s="88"/>
    </row>
    <row r="146" spans="1:10" x14ac:dyDescent="0.25">
      <c r="A146" s="97"/>
      <c r="B146" s="98"/>
      <c r="C146" s="99"/>
      <c r="D146" s="100"/>
      <c r="E146" s="101"/>
      <c r="F146" s="100"/>
      <c r="G146" s="88"/>
      <c r="H146" s="88"/>
      <c r="I146" s="88"/>
      <c r="J146" s="88"/>
    </row>
    <row r="147" spans="1:10" x14ac:dyDescent="0.25">
      <c r="A147" s="97"/>
      <c r="B147" s="98"/>
      <c r="C147" s="99"/>
      <c r="D147" s="100"/>
      <c r="E147" s="101"/>
      <c r="F147" s="100"/>
      <c r="G147" s="88"/>
      <c r="H147" s="88"/>
      <c r="I147" s="88"/>
      <c r="J147" s="88"/>
    </row>
    <row r="148" spans="1:10" x14ac:dyDescent="0.25">
      <c r="A148" s="97"/>
      <c r="B148" s="98"/>
      <c r="C148" s="99"/>
      <c r="D148" s="100"/>
      <c r="E148" s="101"/>
      <c r="F148" s="100"/>
      <c r="G148" s="88"/>
      <c r="H148" s="88"/>
      <c r="I148" s="88"/>
      <c r="J148" s="88"/>
    </row>
    <row r="149" spans="1:10" x14ac:dyDescent="0.25">
      <c r="A149" s="97"/>
      <c r="B149" s="98"/>
      <c r="C149" s="99"/>
      <c r="D149" s="100"/>
      <c r="E149" s="101"/>
      <c r="F149" s="100"/>
      <c r="G149" s="88"/>
      <c r="H149" s="88"/>
      <c r="I149" s="88"/>
      <c r="J149" s="88"/>
    </row>
    <row r="150" spans="1:10" x14ac:dyDescent="0.25">
      <c r="A150" s="97"/>
      <c r="B150" s="98"/>
      <c r="C150" s="99"/>
      <c r="D150" s="100"/>
      <c r="E150" s="101"/>
      <c r="F150" s="100"/>
      <c r="G150" s="88"/>
      <c r="H150" s="88"/>
      <c r="I150" s="88"/>
      <c r="J150" s="88"/>
    </row>
    <row r="151" spans="1:10" x14ac:dyDescent="0.25">
      <c r="A151" s="97"/>
      <c r="B151" s="98"/>
      <c r="C151" s="99"/>
      <c r="D151" s="100"/>
      <c r="E151" s="101"/>
      <c r="F151" s="100"/>
      <c r="G151" s="88"/>
      <c r="H151" s="88"/>
      <c r="I151" s="88"/>
      <c r="J151" s="88"/>
    </row>
    <row r="152" spans="1:10" x14ac:dyDescent="0.25">
      <c r="A152" s="97"/>
      <c r="B152" s="98"/>
      <c r="C152" s="99"/>
      <c r="D152" s="100"/>
      <c r="E152" s="101"/>
      <c r="F152" s="100"/>
      <c r="G152" s="88"/>
      <c r="H152" s="88"/>
      <c r="I152" s="88"/>
      <c r="J152" s="88"/>
    </row>
    <row r="153" spans="1:10" x14ac:dyDescent="0.25">
      <c r="A153" s="97"/>
      <c r="B153" s="98"/>
      <c r="C153" s="99"/>
      <c r="D153" s="100"/>
      <c r="E153" s="101"/>
      <c r="F153" s="100"/>
      <c r="G153" s="88"/>
      <c r="H153" s="88"/>
      <c r="I153" s="88"/>
      <c r="J153" s="88"/>
    </row>
    <row r="154" spans="1:10" x14ac:dyDescent="0.25">
      <c r="A154" s="97"/>
      <c r="B154" s="98"/>
      <c r="C154" s="99"/>
      <c r="D154" s="100"/>
      <c r="E154" s="101"/>
      <c r="F154" s="100"/>
      <c r="G154" s="88"/>
      <c r="H154" s="88"/>
      <c r="I154" s="88"/>
      <c r="J154" s="88"/>
    </row>
    <row r="155" spans="1:10" x14ac:dyDescent="0.25">
      <c r="A155" s="97"/>
      <c r="B155" s="98"/>
      <c r="C155" s="99"/>
      <c r="D155" s="100"/>
      <c r="E155" s="101"/>
      <c r="F155" s="100"/>
      <c r="G155" s="88"/>
      <c r="H155" s="88"/>
      <c r="I155" s="88"/>
      <c r="J155" s="88"/>
    </row>
    <row r="156" spans="1:10" x14ac:dyDescent="0.25">
      <c r="A156" s="97"/>
      <c r="B156" s="98"/>
      <c r="C156" s="99"/>
      <c r="D156" s="100"/>
      <c r="E156" s="101"/>
      <c r="F156" s="100"/>
      <c r="G156" s="88"/>
      <c r="H156" s="88"/>
      <c r="I156" s="88"/>
      <c r="J156" s="88"/>
    </row>
    <row r="157" spans="1:10" x14ac:dyDescent="0.25">
      <c r="A157" s="97"/>
      <c r="B157" s="98"/>
      <c r="C157" s="99"/>
      <c r="D157" s="100"/>
      <c r="E157" s="101"/>
      <c r="F157" s="100"/>
      <c r="G157" s="88"/>
      <c r="H157" s="88"/>
      <c r="I157" s="88"/>
      <c r="J157" s="88"/>
    </row>
    <row r="158" spans="1:10" x14ac:dyDescent="0.25">
      <c r="A158" s="97"/>
      <c r="B158" s="98"/>
      <c r="C158" s="99"/>
      <c r="D158" s="100"/>
      <c r="E158" s="101"/>
      <c r="F158" s="100"/>
      <c r="G158" s="88"/>
      <c r="H158" s="88"/>
      <c r="I158" s="88"/>
      <c r="J158" s="88"/>
    </row>
    <row r="159" spans="1:10" x14ac:dyDescent="0.25">
      <c r="A159" s="97"/>
      <c r="B159" s="98"/>
      <c r="C159" s="99"/>
      <c r="D159" s="100"/>
      <c r="E159" s="101"/>
      <c r="F159" s="100"/>
      <c r="G159" s="88"/>
      <c r="H159" s="88"/>
      <c r="I159" s="88"/>
      <c r="J159" s="88"/>
    </row>
    <row r="160" spans="1:10" x14ac:dyDescent="0.25">
      <c r="A160" s="97"/>
      <c r="B160" s="98"/>
      <c r="C160" s="99"/>
      <c r="D160" s="100"/>
      <c r="E160" s="101"/>
      <c r="F160" s="100"/>
      <c r="G160" s="88"/>
      <c r="H160" s="88"/>
      <c r="I160" s="88"/>
      <c r="J160" s="88"/>
    </row>
    <row r="161" spans="1:10" x14ac:dyDescent="0.25">
      <c r="A161" s="97"/>
      <c r="B161" s="98"/>
      <c r="C161" s="99"/>
      <c r="D161" s="100"/>
      <c r="E161" s="101"/>
      <c r="F161" s="100"/>
      <c r="G161" s="88"/>
      <c r="H161" s="88"/>
      <c r="I161" s="88"/>
      <c r="J161" s="88"/>
    </row>
    <row r="162" spans="1:10" x14ac:dyDescent="0.25">
      <c r="A162" s="97"/>
      <c r="B162" s="98"/>
      <c r="C162" s="99"/>
      <c r="D162" s="100"/>
      <c r="E162" s="101"/>
      <c r="F162" s="100"/>
      <c r="G162" s="88"/>
      <c r="H162" s="88"/>
      <c r="I162" s="88"/>
      <c r="J162" s="88"/>
    </row>
    <row r="163" spans="1:10" x14ac:dyDescent="0.25">
      <c r="A163" s="97"/>
      <c r="B163" s="98"/>
      <c r="C163" s="99"/>
      <c r="D163" s="100"/>
      <c r="E163" s="101"/>
      <c r="F163" s="100"/>
      <c r="G163" s="88"/>
      <c r="H163" s="88"/>
      <c r="I163" s="88"/>
      <c r="J163" s="88"/>
    </row>
    <row r="164" spans="1:10" x14ac:dyDescent="0.25">
      <c r="A164" s="97"/>
      <c r="B164" s="98"/>
      <c r="C164" s="99"/>
      <c r="D164" s="100"/>
      <c r="E164" s="101"/>
      <c r="F164" s="100"/>
      <c r="G164" s="88"/>
      <c r="H164" s="88"/>
      <c r="I164" s="88"/>
      <c r="J164" s="88"/>
    </row>
    <row r="165" spans="1:10" x14ac:dyDescent="0.25">
      <c r="A165" s="97"/>
      <c r="B165" s="98"/>
      <c r="C165" s="99"/>
      <c r="D165" s="100"/>
      <c r="E165" s="101"/>
      <c r="F165" s="100"/>
      <c r="G165" s="88"/>
      <c r="H165" s="88"/>
      <c r="I165" s="88"/>
      <c r="J165" s="88"/>
    </row>
    <row r="166" spans="1:10" x14ac:dyDescent="0.25">
      <c r="A166" s="97"/>
      <c r="B166" s="98"/>
      <c r="C166" s="99"/>
      <c r="D166" s="100"/>
      <c r="E166" s="101"/>
      <c r="F166" s="100"/>
      <c r="G166" s="88"/>
      <c r="H166" s="88"/>
      <c r="I166" s="88"/>
      <c r="J166" s="88"/>
    </row>
    <row r="167" spans="1:10" x14ac:dyDescent="0.25">
      <c r="A167" s="97"/>
      <c r="B167" s="98"/>
      <c r="C167" s="99"/>
      <c r="D167" s="100"/>
      <c r="E167" s="101"/>
      <c r="F167" s="100"/>
      <c r="G167" s="88"/>
      <c r="H167" s="88"/>
      <c r="I167" s="88"/>
      <c r="J167" s="88"/>
    </row>
    <row r="168" spans="1:10" x14ac:dyDescent="0.25">
      <c r="A168" s="97"/>
      <c r="B168" s="98"/>
      <c r="C168" s="99"/>
      <c r="D168" s="100"/>
      <c r="E168" s="101"/>
      <c r="F168" s="100"/>
      <c r="G168" s="88"/>
      <c r="H168" s="88"/>
      <c r="I168" s="88"/>
      <c r="J168" s="88"/>
    </row>
    <row r="169" spans="1:10" x14ac:dyDescent="0.25">
      <c r="A169" s="97"/>
      <c r="B169" s="98"/>
      <c r="C169" s="99"/>
      <c r="D169" s="100"/>
      <c r="E169" s="101"/>
      <c r="F169" s="100"/>
      <c r="G169" s="88"/>
      <c r="H169" s="88"/>
      <c r="I169" s="88"/>
      <c r="J169" s="88"/>
    </row>
    <row r="170" spans="1:10" x14ac:dyDescent="0.25">
      <c r="A170" s="97"/>
      <c r="B170" s="98"/>
      <c r="C170" s="99"/>
      <c r="D170" s="100"/>
      <c r="E170" s="101"/>
      <c r="F170" s="100"/>
      <c r="G170" s="88"/>
      <c r="H170" s="88"/>
      <c r="I170" s="88"/>
      <c r="J170" s="88"/>
    </row>
    <row r="171" spans="1:10" x14ac:dyDescent="0.25">
      <c r="A171" s="97"/>
      <c r="B171" s="98"/>
      <c r="C171" s="99"/>
      <c r="D171" s="100"/>
      <c r="E171" s="101"/>
      <c r="F171" s="100"/>
      <c r="G171" s="88"/>
      <c r="H171" s="88"/>
      <c r="I171" s="88"/>
      <c r="J171" s="88"/>
    </row>
    <row r="172" spans="1:10" x14ac:dyDescent="0.25">
      <c r="A172" s="97"/>
      <c r="B172" s="98"/>
      <c r="C172" s="99"/>
      <c r="D172" s="100"/>
      <c r="E172" s="101"/>
      <c r="F172" s="100"/>
      <c r="G172" s="88"/>
      <c r="H172" s="88"/>
      <c r="I172" s="88"/>
      <c r="J172" s="88"/>
    </row>
    <row r="173" spans="1:10" x14ac:dyDescent="0.25">
      <c r="A173" s="97"/>
      <c r="B173" s="98"/>
      <c r="C173" s="99"/>
      <c r="D173" s="100"/>
      <c r="E173" s="101"/>
      <c r="F173" s="100"/>
      <c r="G173" s="88"/>
      <c r="H173" s="88"/>
      <c r="I173" s="88"/>
      <c r="J173" s="88"/>
    </row>
    <row r="174" spans="1:10" x14ac:dyDescent="0.25">
      <c r="A174" s="97"/>
      <c r="B174" s="98"/>
      <c r="C174" s="99"/>
      <c r="D174" s="100"/>
      <c r="E174" s="101"/>
      <c r="F174" s="100"/>
      <c r="G174" s="88"/>
      <c r="H174" s="88"/>
      <c r="I174" s="88"/>
      <c r="J174" s="88"/>
    </row>
    <row r="175" spans="1:10" x14ac:dyDescent="0.25">
      <c r="A175" s="97"/>
      <c r="B175" s="98"/>
      <c r="C175" s="99"/>
      <c r="D175" s="100"/>
      <c r="E175" s="101"/>
      <c r="F175" s="100"/>
      <c r="G175" s="88"/>
      <c r="H175" s="88"/>
      <c r="I175" s="88"/>
      <c r="J175" s="88"/>
    </row>
    <row r="176" spans="1:10" x14ac:dyDescent="0.25">
      <c r="A176" s="97"/>
      <c r="B176" s="98"/>
      <c r="C176" s="99"/>
      <c r="D176" s="100"/>
      <c r="E176" s="101"/>
      <c r="F176" s="100"/>
      <c r="G176" s="88"/>
      <c r="H176" s="88"/>
      <c r="I176" s="88"/>
      <c r="J176" s="88"/>
    </row>
    <row r="177" spans="1:10" x14ac:dyDescent="0.25">
      <c r="A177" s="97"/>
      <c r="B177" s="98"/>
      <c r="C177" s="99"/>
      <c r="D177" s="100"/>
      <c r="E177" s="101"/>
      <c r="F177" s="100"/>
      <c r="G177" s="88"/>
      <c r="H177" s="88"/>
      <c r="I177" s="88"/>
      <c r="J177" s="88"/>
    </row>
    <row r="178" spans="1:10" x14ac:dyDescent="0.25">
      <c r="A178" s="97"/>
      <c r="B178" s="98"/>
      <c r="C178" s="99"/>
      <c r="D178" s="100"/>
      <c r="E178" s="101"/>
      <c r="F178" s="100"/>
      <c r="G178" s="88"/>
      <c r="H178" s="88"/>
      <c r="I178" s="88"/>
      <c r="J178" s="88"/>
    </row>
    <row r="179" spans="1:10" x14ac:dyDescent="0.25">
      <c r="A179" s="97"/>
      <c r="B179" s="98"/>
      <c r="C179" s="99"/>
      <c r="D179" s="100"/>
      <c r="E179" s="101"/>
      <c r="F179" s="100"/>
      <c r="G179" s="88"/>
      <c r="H179" s="88"/>
      <c r="I179" s="88"/>
      <c r="J179" s="88"/>
    </row>
    <row r="180" spans="1:10" x14ac:dyDescent="0.25">
      <c r="A180" s="97"/>
      <c r="B180" s="98"/>
      <c r="C180" s="99"/>
      <c r="D180" s="100"/>
      <c r="E180" s="101"/>
      <c r="F180" s="100"/>
      <c r="G180" s="88"/>
      <c r="H180" s="88"/>
      <c r="I180" s="88"/>
      <c r="J180" s="88"/>
    </row>
    <row r="181" spans="1:10" x14ac:dyDescent="0.25">
      <c r="A181" s="97"/>
      <c r="B181" s="98"/>
      <c r="C181" s="99"/>
      <c r="D181" s="100"/>
      <c r="E181" s="101"/>
      <c r="F181" s="100"/>
      <c r="G181" s="88"/>
      <c r="H181" s="88"/>
      <c r="I181" s="88"/>
      <c r="J181" s="88"/>
    </row>
    <row r="182" spans="1:10" x14ac:dyDescent="0.25">
      <c r="A182" s="97"/>
      <c r="B182" s="98"/>
      <c r="C182" s="99"/>
      <c r="D182" s="100"/>
      <c r="E182" s="101"/>
      <c r="F182" s="100"/>
      <c r="G182" s="88"/>
      <c r="H182" s="88"/>
      <c r="I182" s="88"/>
      <c r="J182" s="88"/>
    </row>
    <row r="183" spans="1:10" x14ac:dyDescent="0.25">
      <c r="A183" s="97"/>
      <c r="B183" s="98"/>
      <c r="C183" s="99"/>
      <c r="D183" s="100"/>
      <c r="E183" s="101"/>
      <c r="F183" s="100"/>
      <c r="G183" s="88"/>
      <c r="H183" s="88"/>
      <c r="I183" s="88"/>
      <c r="J183" s="88"/>
    </row>
    <row r="184" spans="1:10" x14ac:dyDescent="0.25">
      <c r="A184" s="97"/>
      <c r="B184" s="98"/>
      <c r="C184" s="99"/>
      <c r="D184" s="100"/>
      <c r="E184" s="101"/>
      <c r="F184" s="100"/>
      <c r="G184" s="88"/>
      <c r="H184" s="88"/>
      <c r="I184" s="88"/>
      <c r="J184" s="88"/>
    </row>
    <row r="185" spans="1:10" x14ac:dyDescent="0.25">
      <c r="A185" s="97"/>
      <c r="B185" s="98"/>
      <c r="C185" s="99"/>
      <c r="D185" s="100"/>
      <c r="E185" s="101"/>
      <c r="F185" s="100"/>
      <c r="G185" s="88"/>
      <c r="H185" s="88"/>
      <c r="I185" s="88"/>
      <c r="J185" s="88"/>
    </row>
    <row r="186" spans="1:10" x14ac:dyDescent="0.25">
      <c r="A186" s="97"/>
      <c r="B186" s="98"/>
      <c r="C186" s="99"/>
      <c r="D186" s="100"/>
      <c r="E186" s="101"/>
      <c r="F186" s="100"/>
      <c r="G186" s="88"/>
      <c r="H186" s="88"/>
      <c r="I186" s="88"/>
      <c r="J186" s="88"/>
    </row>
    <row r="187" spans="1:10" x14ac:dyDescent="0.25">
      <c r="A187" s="97"/>
      <c r="B187" s="98"/>
      <c r="C187" s="99"/>
      <c r="D187" s="100"/>
      <c r="E187" s="101"/>
      <c r="F187" s="100"/>
      <c r="G187" s="88"/>
      <c r="H187" s="88"/>
      <c r="I187" s="88"/>
      <c r="J187" s="88"/>
    </row>
    <row r="188" spans="1:10" x14ac:dyDescent="0.25">
      <c r="A188" s="97"/>
      <c r="B188" s="98"/>
      <c r="C188" s="99"/>
      <c r="D188" s="100"/>
      <c r="E188" s="101"/>
      <c r="F188" s="100"/>
      <c r="G188" s="88"/>
      <c r="H188" s="88"/>
      <c r="I188" s="88"/>
      <c r="J188" s="88"/>
    </row>
    <row r="189" spans="1:10" x14ac:dyDescent="0.25">
      <c r="A189" s="97"/>
      <c r="B189" s="98"/>
      <c r="C189" s="99"/>
      <c r="D189" s="100"/>
      <c r="E189" s="101"/>
      <c r="F189" s="100"/>
      <c r="G189" s="88"/>
      <c r="H189" s="88"/>
      <c r="I189" s="88"/>
      <c r="J189" s="88"/>
    </row>
    <row r="190" spans="1:10" x14ac:dyDescent="0.25">
      <c r="A190" s="97"/>
      <c r="B190" s="98"/>
      <c r="C190" s="99"/>
      <c r="D190" s="100"/>
      <c r="E190" s="101"/>
      <c r="F190" s="100"/>
      <c r="G190" s="88"/>
      <c r="H190" s="88"/>
      <c r="I190" s="88"/>
      <c r="J190" s="88"/>
    </row>
    <row r="191" spans="1:10" x14ac:dyDescent="0.25">
      <c r="A191" s="97"/>
      <c r="B191" s="98"/>
      <c r="C191" s="99"/>
      <c r="D191" s="100"/>
      <c r="E191" s="101"/>
      <c r="F191" s="100"/>
      <c r="G191" s="88"/>
      <c r="H191" s="88"/>
      <c r="I191" s="88"/>
      <c r="J191" s="88"/>
    </row>
    <row r="192" spans="1:10" x14ac:dyDescent="0.25">
      <c r="A192" s="97"/>
      <c r="B192" s="98"/>
      <c r="C192" s="99"/>
      <c r="D192" s="100"/>
      <c r="E192" s="101"/>
      <c r="F192" s="100"/>
      <c r="G192" s="88"/>
      <c r="H192" s="88"/>
      <c r="I192" s="88"/>
      <c r="J192" s="88"/>
    </row>
    <row r="193" spans="1:10" x14ac:dyDescent="0.25">
      <c r="A193" s="97"/>
      <c r="B193" s="98"/>
      <c r="C193" s="99"/>
      <c r="D193" s="100"/>
      <c r="E193" s="101"/>
      <c r="F193" s="100"/>
      <c r="G193" s="88"/>
      <c r="H193" s="88"/>
      <c r="I193" s="88"/>
      <c r="J193" s="88"/>
    </row>
    <row r="194" spans="1:10" x14ac:dyDescent="0.25">
      <c r="A194" s="97"/>
      <c r="B194" s="98"/>
      <c r="C194" s="99"/>
      <c r="D194" s="100"/>
      <c r="E194" s="101"/>
      <c r="F194" s="100"/>
      <c r="G194" s="88"/>
      <c r="H194" s="88"/>
      <c r="I194" s="88"/>
      <c r="J194" s="88"/>
    </row>
    <row r="195" spans="1:10" x14ac:dyDescent="0.25">
      <c r="A195" s="97"/>
      <c r="B195" s="98"/>
      <c r="C195" s="99"/>
      <c r="D195" s="100"/>
      <c r="E195" s="101"/>
      <c r="F195" s="100"/>
      <c r="G195" s="88"/>
      <c r="H195" s="88"/>
      <c r="I195" s="88"/>
      <c r="J195" s="88"/>
    </row>
    <row r="196" spans="1:10" x14ac:dyDescent="0.25">
      <c r="A196" s="97"/>
      <c r="B196" s="98"/>
      <c r="C196" s="99"/>
      <c r="D196" s="100"/>
      <c r="E196" s="101"/>
      <c r="F196" s="100"/>
      <c r="G196" s="88"/>
      <c r="H196" s="88"/>
      <c r="I196" s="88"/>
      <c r="J196" s="88"/>
    </row>
    <row r="197" spans="1:10" x14ac:dyDescent="0.25">
      <c r="A197" s="97"/>
      <c r="B197" s="98"/>
      <c r="C197" s="99"/>
      <c r="D197" s="100"/>
      <c r="E197" s="101"/>
      <c r="F197" s="100"/>
      <c r="G197" s="88"/>
      <c r="H197" s="88"/>
      <c r="I197" s="88"/>
      <c r="J197" s="88"/>
    </row>
    <row r="198" spans="1:10" x14ac:dyDescent="0.25">
      <c r="A198" s="97"/>
      <c r="B198" s="98"/>
      <c r="C198" s="99"/>
      <c r="D198" s="100"/>
      <c r="E198" s="101"/>
      <c r="F198" s="100"/>
      <c r="G198" s="88"/>
      <c r="H198" s="88"/>
      <c r="I198" s="88"/>
      <c r="J198" s="88"/>
    </row>
    <row r="199" spans="1:10" x14ac:dyDescent="0.25">
      <c r="A199" s="97"/>
      <c r="B199" s="98"/>
      <c r="C199" s="99"/>
      <c r="D199" s="100"/>
      <c r="E199" s="101"/>
      <c r="F199" s="100"/>
      <c r="G199" s="88"/>
      <c r="H199" s="88"/>
      <c r="I199" s="88"/>
      <c r="J199" s="88"/>
    </row>
    <row r="200" spans="1:10" x14ac:dyDescent="0.25">
      <c r="A200" s="97"/>
      <c r="B200" s="98"/>
      <c r="C200" s="99"/>
      <c r="D200" s="100"/>
      <c r="E200" s="101"/>
      <c r="F200" s="100"/>
      <c r="G200" s="88"/>
      <c r="H200" s="88"/>
      <c r="I200" s="88"/>
      <c r="J200" s="88"/>
    </row>
    <row r="201" spans="1:10" x14ac:dyDescent="0.25">
      <c r="A201" s="97"/>
      <c r="B201" s="98"/>
      <c r="C201" s="99"/>
      <c r="D201" s="100"/>
      <c r="E201" s="101"/>
      <c r="F201" s="100"/>
      <c r="G201" s="88"/>
      <c r="H201" s="88"/>
      <c r="I201" s="88"/>
      <c r="J201" s="88"/>
    </row>
    <row r="202" spans="1:10" x14ac:dyDescent="0.25">
      <c r="A202" s="97"/>
      <c r="B202" s="98"/>
      <c r="C202" s="99"/>
      <c r="D202" s="100"/>
      <c r="E202" s="101"/>
      <c r="F202" s="100"/>
      <c r="G202" s="88"/>
      <c r="H202" s="88"/>
      <c r="I202" s="88"/>
      <c r="J202" s="88"/>
    </row>
    <row r="203" spans="1:10" x14ac:dyDescent="0.25">
      <c r="A203" s="97"/>
      <c r="B203" s="98"/>
      <c r="C203" s="99"/>
      <c r="D203" s="100"/>
      <c r="E203" s="101"/>
      <c r="F203" s="100"/>
      <c r="G203" s="88"/>
      <c r="H203" s="88"/>
      <c r="I203" s="88"/>
      <c r="J203" s="88"/>
    </row>
    <row r="204" spans="1:10" x14ac:dyDescent="0.25">
      <c r="A204" s="97"/>
      <c r="B204" s="98"/>
      <c r="C204" s="99"/>
      <c r="D204" s="100"/>
      <c r="E204" s="101"/>
      <c r="F204" s="100"/>
      <c r="G204" s="88"/>
      <c r="H204" s="88"/>
      <c r="I204" s="88"/>
      <c r="J204" s="88"/>
    </row>
    <row r="205" spans="1:10" x14ac:dyDescent="0.25">
      <c r="A205" s="97"/>
      <c r="B205" s="98"/>
      <c r="C205" s="99"/>
      <c r="D205" s="100"/>
      <c r="E205" s="101"/>
      <c r="F205" s="100"/>
      <c r="G205" s="88"/>
      <c r="H205" s="88"/>
      <c r="I205" s="88"/>
      <c r="J205" s="88"/>
    </row>
    <row r="206" spans="1:10" x14ac:dyDescent="0.25">
      <c r="A206" s="97"/>
      <c r="B206" s="98"/>
      <c r="C206" s="99"/>
      <c r="D206" s="100"/>
      <c r="E206" s="101"/>
      <c r="F206" s="100"/>
      <c r="G206" s="88"/>
      <c r="H206" s="88"/>
      <c r="I206" s="88"/>
      <c r="J206" s="88"/>
    </row>
    <row r="207" spans="1:10" x14ac:dyDescent="0.25">
      <c r="A207" s="97"/>
      <c r="B207" s="98"/>
      <c r="C207" s="99"/>
      <c r="D207" s="100"/>
      <c r="E207" s="101"/>
      <c r="F207" s="100"/>
      <c r="G207" s="88"/>
      <c r="H207" s="88"/>
      <c r="I207" s="88"/>
      <c r="J207" s="88"/>
    </row>
    <row r="208" spans="1:10" x14ac:dyDescent="0.25">
      <c r="A208" s="97"/>
      <c r="B208" s="98"/>
      <c r="C208" s="99"/>
      <c r="D208" s="100"/>
      <c r="E208" s="101"/>
      <c r="F208" s="100"/>
      <c r="G208" s="88"/>
      <c r="H208" s="88"/>
      <c r="I208" s="88"/>
      <c r="J208" s="88"/>
    </row>
    <row r="209" spans="1:10" x14ac:dyDescent="0.25">
      <c r="A209" s="97"/>
      <c r="B209" s="98"/>
      <c r="C209" s="99"/>
      <c r="D209" s="100"/>
      <c r="E209" s="101"/>
      <c r="F209" s="100"/>
      <c r="G209" s="88"/>
      <c r="H209" s="88"/>
      <c r="I209" s="88"/>
      <c r="J209" s="88"/>
    </row>
    <row r="210" spans="1:10" x14ac:dyDescent="0.25">
      <c r="A210" s="102"/>
      <c r="B210" s="103"/>
      <c r="C210" s="99"/>
      <c r="D210" s="100"/>
      <c r="E210" s="101"/>
      <c r="F210" s="100"/>
      <c r="G210" s="88"/>
      <c r="H210" s="88"/>
      <c r="I210" s="88"/>
      <c r="J210" s="88"/>
    </row>
    <row r="211" spans="1:10" x14ac:dyDescent="0.25">
      <c r="A211" s="97"/>
      <c r="B211" s="98"/>
      <c r="C211" s="99"/>
      <c r="D211" s="100"/>
      <c r="E211" s="101"/>
      <c r="F211" s="100"/>
      <c r="G211" s="88"/>
      <c r="H211" s="88"/>
      <c r="I211" s="88"/>
      <c r="J211" s="88"/>
    </row>
    <row r="212" spans="1:10" x14ac:dyDescent="0.25">
      <c r="A212" s="97"/>
      <c r="B212" s="98"/>
      <c r="C212" s="99"/>
      <c r="D212" s="100"/>
      <c r="E212" s="101"/>
      <c r="F212" s="100"/>
      <c r="G212" s="88"/>
      <c r="H212" s="88"/>
      <c r="I212" s="88"/>
      <c r="J212" s="88"/>
    </row>
    <row r="213" spans="1:10" x14ac:dyDescent="0.25">
      <c r="A213" s="97"/>
      <c r="B213" s="98"/>
      <c r="C213" s="99"/>
      <c r="D213" s="100"/>
      <c r="E213" s="101"/>
      <c r="F213" s="100"/>
      <c r="G213" s="88"/>
      <c r="H213" s="88"/>
      <c r="I213" s="88"/>
      <c r="J213" s="88"/>
    </row>
    <row r="214" spans="1:10" x14ac:dyDescent="0.25">
      <c r="A214" s="97"/>
      <c r="B214" s="98"/>
      <c r="C214" s="99"/>
      <c r="D214" s="100"/>
      <c r="E214" s="101"/>
      <c r="F214" s="100"/>
      <c r="G214" s="88"/>
      <c r="H214" s="88"/>
      <c r="I214" s="88"/>
      <c r="J214" s="88"/>
    </row>
    <row r="215" spans="1:10" x14ac:dyDescent="0.25">
      <c r="A215" s="97"/>
      <c r="B215" s="98"/>
      <c r="C215" s="99"/>
      <c r="D215" s="100"/>
      <c r="E215" s="101"/>
      <c r="F215" s="100"/>
      <c r="G215" s="88"/>
      <c r="H215" s="88"/>
      <c r="I215" s="88"/>
      <c r="J215" s="88"/>
    </row>
    <row r="216" spans="1:10" x14ac:dyDescent="0.25">
      <c r="A216" s="97"/>
      <c r="B216" s="98"/>
      <c r="C216" s="99"/>
      <c r="D216" s="100"/>
      <c r="E216" s="101"/>
      <c r="F216" s="100"/>
      <c r="G216" s="88"/>
      <c r="H216" s="88"/>
      <c r="I216" s="88"/>
      <c r="J216" s="88"/>
    </row>
    <row r="217" spans="1:10" x14ac:dyDescent="0.25">
      <c r="A217" s="97"/>
      <c r="B217" s="104"/>
      <c r="C217" s="104"/>
      <c r="D217" s="88"/>
      <c r="E217" s="105"/>
      <c r="F217" s="88"/>
      <c r="G217" s="88"/>
      <c r="H217" s="88"/>
      <c r="I217" s="88"/>
      <c r="J217" s="88"/>
    </row>
    <row r="218" spans="1:10" x14ac:dyDescent="0.25">
      <c r="A218" s="106"/>
      <c r="B218" s="107"/>
      <c r="C218" s="108"/>
      <c r="D218" s="107"/>
      <c r="E218" s="105"/>
      <c r="F218" s="107"/>
      <c r="G218" s="88"/>
      <c r="H218" s="88"/>
      <c r="I218" s="88"/>
      <c r="J218" s="88"/>
    </row>
    <row r="219" spans="1:10" x14ac:dyDescent="0.25">
      <c r="A219" s="109"/>
      <c r="B219" s="110"/>
      <c r="C219" s="104"/>
      <c r="D219" s="100"/>
      <c r="E219" s="105"/>
      <c r="F219" s="100"/>
      <c r="G219" s="88"/>
      <c r="H219" s="88"/>
      <c r="I219" s="88"/>
      <c r="J219" s="88"/>
    </row>
    <row r="220" spans="1:10" x14ac:dyDescent="0.25">
      <c r="A220" s="109"/>
      <c r="B220" s="103"/>
      <c r="C220" s="99"/>
      <c r="D220" s="111"/>
      <c r="E220" s="105"/>
      <c r="F220" s="100"/>
      <c r="G220" s="88"/>
      <c r="H220" s="88"/>
      <c r="I220" s="88"/>
      <c r="J220" s="88"/>
    </row>
    <row r="221" spans="1:10" x14ac:dyDescent="0.25">
      <c r="A221" s="109"/>
      <c r="B221" s="110"/>
      <c r="C221" s="104"/>
      <c r="D221" s="110"/>
      <c r="E221" s="105"/>
      <c r="F221" s="100"/>
      <c r="G221" s="88"/>
      <c r="H221" s="88"/>
      <c r="I221" s="88"/>
      <c r="J221" s="88"/>
    </row>
    <row r="222" spans="1:10" x14ac:dyDescent="0.25">
      <c r="A222" s="106"/>
      <c r="B222" s="107"/>
      <c r="C222" s="108"/>
      <c r="D222" s="107"/>
      <c r="E222" s="105"/>
      <c r="F222" s="100"/>
      <c r="G222" s="88"/>
      <c r="H222" s="88"/>
      <c r="I222" s="88"/>
      <c r="J222" s="88"/>
    </row>
    <row r="223" spans="1:10" x14ac:dyDescent="0.25">
      <c r="A223" s="109"/>
      <c r="B223" s="88"/>
      <c r="C223" s="88"/>
      <c r="D223" s="88"/>
      <c r="E223" s="88"/>
      <c r="F223" s="88"/>
      <c r="G223" s="88"/>
      <c r="H223" s="88"/>
      <c r="I223" s="88"/>
      <c r="J223" s="88"/>
    </row>
    <row r="224" spans="1:10" x14ac:dyDescent="0.25">
      <c r="A224" s="88"/>
      <c r="B224" s="88"/>
      <c r="C224" s="88"/>
      <c r="D224" s="88"/>
      <c r="E224" s="88"/>
      <c r="F224" s="88"/>
      <c r="G224" s="88"/>
      <c r="H224" s="88"/>
      <c r="I224" s="88"/>
      <c r="J224" s="88"/>
    </row>
    <row r="225" spans="1:10" x14ac:dyDescent="0.25">
      <c r="A225" s="88"/>
      <c r="B225" s="88"/>
      <c r="C225" s="88"/>
      <c r="D225" s="88"/>
      <c r="E225" s="88"/>
      <c r="F225" s="88"/>
      <c r="G225" s="88"/>
      <c r="H225" s="88"/>
      <c r="I225" s="88"/>
      <c r="J225" s="88"/>
    </row>
  </sheetData>
  <phoneticPr fontId="8" type="noConversion"/>
  <pageMargins left="0.75" right="0.75" top="1" bottom="1" header="0.5" footer="0.5"/>
  <pageSetup scale="4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34"/>
  <sheetViews>
    <sheetView workbookViewId="0">
      <selection activeCell="K5" sqref="K5"/>
    </sheetView>
  </sheetViews>
  <sheetFormatPr defaultRowHeight="15.75" x14ac:dyDescent="0.25"/>
  <cols>
    <col min="1" max="1" width="4.375" customWidth="1"/>
    <col min="2" max="2" width="1.625" customWidth="1"/>
    <col min="3" max="3" width="40.125" customWidth="1"/>
    <col min="4" max="4" width="1.5" customWidth="1"/>
    <col min="5" max="6" width="1.25" customWidth="1"/>
    <col min="7" max="7" width="7.75" customWidth="1"/>
    <col min="8" max="8" width="1.25" customWidth="1"/>
    <col min="9" max="9" width="15.375" customWidth="1"/>
    <col min="10" max="10" width="1.75" customWidth="1"/>
    <col min="11" max="11" width="10" customWidth="1"/>
    <col min="12" max="12" width="1.875" customWidth="1"/>
    <col min="13" max="13" width="7.375" customWidth="1"/>
    <col min="14" max="14" width="1.625" customWidth="1"/>
    <col min="15" max="15" width="11.5" customWidth="1"/>
  </cols>
  <sheetData>
    <row r="1" spans="1:15" x14ac:dyDescent="0.25">
      <c r="A1" t="s">
        <v>258</v>
      </c>
      <c r="K1" t="s">
        <v>386</v>
      </c>
      <c r="M1" s="16"/>
      <c r="N1" s="16"/>
      <c r="O1" s="16"/>
    </row>
    <row r="2" spans="1:15" x14ac:dyDescent="0.25">
      <c r="A2" t="s">
        <v>147</v>
      </c>
      <c r="K2" t="s">
        <v>261</v>
      </c>
      <c r="M2" s="16"/>
      <c r="N2" s="16"/>
      <c r="O2" s="16"/>
    </row>
    <row r="3" spans="1:15" x14ac:dyDescent="0.25">
      <c r="A3" t="s">
        <v>148</v>
      </c>
      <c r="K3" t="s">
        <v>450</v>
      </c>
      <c r="M3" s="16"/>
      <c r="N3" s="16"/>
      <c r="O3" s="16"/>
    </row>
    <row r="4" spans="1:15" x14ac:dyDescent="0.25">
      <c r="A4" t="s">
        <v>184</v>
      </c>
      <c r="K4" t="str">
        <f>Sch9p1!K4</f>
        <v>Revised 3/29/16</v>
      </c>
      <c r="M4" s="16"/>
      <c r="N4" s="16"/>
      <c r="O4" s="16"/>
    </row>
    <row r="5" spans="1:15" x14ac:dyDescent="0.25">
      <c r="A5" t="s">
        <v>384</v>
      </c>
      <c r="M5" s="16"/>
      <c r="N5" s="16"/>
      <c r="O5" s="16"/>
    </row>
    <row r="6" spans="1:15" x14ac:dyDescent="0.25">
      <c r="A6" s="16"/>
      <c r="B6" s="16"/>
      <c r="C6" s="16"/>
      <c r="D6" s="16"/>
      <c r="E6" s="16"/>
      <c r="F6" s="16"/>
      <c r="G6" s="16"/>
      <c r="H6" s="16"/>
      <c r="I6" s="16"/>
      <c r="J6" s="16"/>
      <c r="K6" s="16"/>
      <c r="L6" s="16"/>
      <c r="M6" s="16"/>
      <c r="N6" s="16"/>
      <c r="O6" s="16"/>
    </row>
    <row r="7" spans="1:15" x14ac:dyDescent="0.25">
      <c r="A7" s="16"/>
      <c r="B7" s="16"/>
      <c r="C7" s="16"/>
      <c r="D7" s="16"/>
      <c r="E7" s="16"/>
      <c r="F7" s="16"/>
      <c r="G7" s="16"/>
      <c r="H7" s="16"/>
      <c r="I7" s="16"/>
      <c r="J7" s="16"/>
      <c r="K7" s="16"/>
      <c r="L7" s="16"/>
      <c r="M7" s="16"/>
      <c r="N7" s="16"/>
      <c r="O7" s="211" t="s">
        <v>478</v>
      </c>
    </row>
    <row r="8" spans="1:15" x14ac:dyDescent="0.25">
      <c r="G8" s="1"/>
      <c r="H8" s="1"/>
      <c r="I8" s="1" t="s">
        <v>4</v>
      </c>
      <c r="J8" s="1"/>
      <c r="K8" s="1"/>
      <c r="L8" s="1"/>
      <c r="M8" s="1"/>
      <c r="N8" s="1"/>
      <c r="O8" s="1" t="s">
        <v>145</v>
      </c>
    </row>
    <row r="9" spans="1:15" x14ac:dyDescent="0.25">
      <c r="A9" s="4"/>
      <c r="C9" s="2" t="s">
        <v>1</v>
      </c>
      <c r="D9" s="4"/>
      <c r="E9" s="14"/>
      <c r="G9" s="10" t="s">
        <v>10</v>
      </c>
      <c r="H9" s="1"/>
      <c r="I9" s="10" t="s">
        <v>6</v>
      </c>
      <c r="J9" s="1"/>
      <c r="K9" s="10" t="s">
        <v>7</v>
      </c>
      <c r="L9" s="1"/>
      <c r="M9" s="11" t="s">
        <v>9</v>
      </c>
      <c r="N9" s="1"/>
      <c r="O9" s="10" t="s">
        <v>8</v>
      </c>
    </row>
    <row r="11" spans="1:15" x14ac:dyDescent="0.25">
      <c r="C11" s="3" t="s">
        <v>11</v>
      </c>
    </row>
    <row r="13" spans="1:15" x14ac:dyDescent="0.25">
      <c r="A13">
        <v>1</v>
      </c>
      <c r="C13" t="s">
        <v>185</v>
      </c>
      <c r="G13" s="47" t="s">
        <v>76</v>
      </c>
      <c r="I13" s="42">
        <f>I22</f>
        <v>-2846346.0551773505</v>
      </c>
      <c r="K13" s="1" t="s">
        <v>77</v>
      </c>
      <c r="L13" s="1"/>
      <c r="M13" s="1" t="s">
        <v>77</v>
      </c>
      <c r="O13" s="208">
        <f>Sch10p2!F85</f>
        <v>-178462.3927208246</v>
      </c>
    </row>
    <row r="16" spans="1:15" x14ac:dyDescent="0.25">
      <c r="I16" s="42"/>
    </row>
    <row r="17" spans="1:15" x14ac:dyDescent="0.25">
      <c r="C17" s="3" t="s">
        <v>79</v>
      </c>
      <c r="I17" s="201" t="s">
        <v>2</v>
      </c>
      <c r="K17" s="3" t="s">
        <v>464</v>
      </c>
    </row>
    <row r="18" spans="1:15" x14ac:dyDescent="0.25">
      <c r="A18" t="s">
        <v>80</v>
      </c>
      <c r="C18" s="18" t="s">
        <v>186</v>
      </c>
      <c r="D18" s="4"/>
      <c r="E18" s="4"/>
      <c r="F18" s="4"/>
      <c r="G18" s="4"/>
      <c r="H18" s="4"/>
      <c r="I18" s="44">
        <f>-4043010</f>
        <v>-4043010</v>
      </c>
      <c r="J18" s="4"/>
      <c r="K18" t="s">
        <v>329</v>
      </c>
    </row>
    <row r="19" spans="1:15" x14ac:dyDescent="0.25">
      <c r="A19" t="s">
        <v>81</v>
      </c>
      <c r="C19" t="s">
        <v>466</v>
      </c>
      <c r="I19" s="43">
        <f>-8222739</f>
        <v>-8222739</v>
      </c>
      <c r="K19" s="13" t="s">
        <v>196</v>
      </c>
    </row>
    <row r="20" spans="1:15" x14ac:dyDescent="0.25">
      <c r="A20" t="s">
        <v>82</v>
      </c>
      <c r="C20" t="s">
        <v>187</v>
      </c>
      <c r="I20" s="44">
        <f>I19-I18</f>
        <v>-4179729</v>
      </c>
      <c r="K20" t="s">
        <v>183</v>
      </c>
    </row>
    <row r="21" spans="1:15" x14ac:dyDescent="0.25">
      <c r="A21" s="4" t="s">
        <v>83</v>
      </c>
      <c r="B21" s="4"/>
      <c r="C21" s="18" t="s">
        <v>123</v>
      </c>
      <c r="D21" s="4"/>
      <c r="E21" s="4"/>
      <c r="F21" s="4"/>
      <c r="G21" s="4"/>
      <c r="H21" s="4"/>
      <c r="I21" s="71">
        <f>Sch10p2!C85</f>
        <v>0.68098818252986026</v>
      </c>
      <c r="J21" s="4"/>
    </row>
    <row r="22" spans="1:15" x14ac:dyDescent="0.25">
      <c r="A22" s="18" t="s">
        <v>84</v>
      </c>
      <c r="B22" s="4"/>
      <c r="C22" s="18" t="s">
        <v>185</v>
      </c>
      <c r="D22" s="4"/>
      <c r="E22" s="4"/>
      <c r="F22" s="4"/>
      <c r="G22" s="4"/>
      <c r="H22" s="4"/>
      <c r="I22" s="72">
        <f>I20*I21</f>
        <v>-2846346.0551773505</v>
      </c>
      <c r="J22" s="4"/>
    </row>
    <row r="23" spans="1:15" x14ac:dyDescent="0.25">
      <c r="A23" s="4"/>
      <c r="B23" s="4"/>
    </row>
    <row r="24" spans="1:15" x14ac:dyDescent="0.25">
      <c r="A24" s="4"/>
      <c r="B24" s="4"/>
      <c r="C24" s="18"/>
      <c r="D24" s="4"/>
      <c r="E24" s="4"/>
      <c r="F24" s="4"/>
      <c r="G24" s="4"/>
      <c r="H24" s="4"/>
      <c r="I24" s="44"/>
      <c r="J24" s="4"/>
      <c r="K24" s="4"/>
      <c r="L24" s="4"/>
      <c r="M24" s="4"/>
    </row>
    <row r="25" spans="1:15" x14ac:dyDescent="0.25">
      <c r="A25" s="4"/>
      <c r="B25" s="4"/>
      <c r="C25" s="18" t="s">
        <v>387</v>
      </c>
      <c r="D25" s="4"/>
      <c r="E25" s="4"/>
      <c r="F25" s="4"/>
      <c r="G25" s="4"/>
      <c r="H25" s="4"/>
      <c r="I25" s="19"/>
      <c r="J25" s="4"/>
      <c r="K25" s="4"/>
      <c r="L25" s="4"/>
      <c r="M25" s="4"/>
    </row>
    <row r="26" spans="1:15" x14ac:dyDescent="0.25">
      <c r="A26" s="4"/>
      <c r="B26" s="4"/>
      <c r="C26" s="174" t="s">
        <v>467</v>
      </c>
      <c r="D26" s="4"/>
      <c r="E26" s="4"/>
      <c r="F26" s="4"/>
      <c r="G26" s="4"/>
      <c r="H26" s="4"/>
      <c r="I26" s="44"/>
      <c r="J26" s="4"/>
      <c r="K26" s="4"/>
      <c r="L26" s="4"/>
      <c r="M26" s="4"/>
    </row>
    <row r="27" spans="1:15" x14ac:dyDescent="0.25">
      <c r="A27" s="4"/>
      <c r="B27" s="4"/>
      <c r="C27" s="4"/>
      <c r="D27" s="4"/>
      <c r="E27" s="4"/>
      <c r="F27" s="4"/>
      <c r="G27" s="4"/>
      <c r="H27" s="4"/>
      <c r="I27" s="44"/>
      <c r="J27" s="4"/>
      <c r="K27" s="4"/>
      <c r="L27" s="4"/>
      <c r="M27" s="4"/>
    </row>
    <row r="28" spans="1:15" x14ac:dyDescent="0.25">
      <c r="A28" s="4"/>
      <c r="B28" s="4"/>
      <c r="C28" s="4"/>
      <c r="D28" s="4"/>
      <c r="E28" s="4"/>
      <c r="F28" s="4"/>
      <c r="G28" s="4"/>
      <c r="H28" s="4"/>
      <c r="I28" s="4"/>
      <c r="J28" s="4"/>
      <c r="K28" s="4"/>
      <c r="L28" s="4"/>
      <c r="M28" s="4"/>
    </row>
    <row r="29" spans="1:15" x14ac:dyDescent="0.25">
      <c r="A29" s="4"/>
      <c r="B29" s="4"/>
      <c r="C29" s="4"/>
      <c r="D29" s="4"/>
      <c r="E29" s="4"/>
      <c r="F29" s="4"/>
      <c r="G29" s="4"/>
      <c r="H29" s="4"/>
      <c r="I29" s="4"/>
      <c r="J29" s="4"/>
      <c r="K29" s="4"/>
      <c r="L29" s="4"/>
      <c r="M29" s="4"/>
    </row>
    <row r="30" spans="1:15" x14ac:dyDescent="0.25">
      <c r="C30" t="s">
        <v>78</v>
      </c>
    </row>
    <row r="31" spans="1:15" ht="15.75" customHeight="1" x14ac:dyDescent="0.25">
      <c r="C31" s="222" t="s">
        <v>388</v>
      </c>
      <c r="D31" s="223"/>
      <c r="E31" s="223"/>
      <c r="F31" s="223"/>
      <c r="G31" s="223"/>
      <c r="H31" s="223"/>
      <c r="I31" s="223"/>
      <c r="J31" s="223"/>
      <c r="K31" s="223"/>
      <c r="L31" s="223"/>
      <c r="M31" s="223"/>
      <c r="N31" s="223"/>
      <c r="O31" s="224"/>
    </row>
    <row r="32" spans="1:15" ht="15.75" customHeight="1" x14ac:dyDescent="0.25">
      <c r="C32" s="225"/>
      <c r="D32" s="226"/>
      <c r="E32" s="226"/>
      <c r="F32" s="226"/>
      <c r="G32" s="226"/>
      <c r="H32" s="226"/>
      <c r="I32" s="226"/>
      <c r="J32" s="226"/>
      <c r="K32" s="226"/>
      <c r="L32" s="226"/>
      <c r="M32" s="226"/>
      <c r="N32" s="226"/>
      <c r="O32" s="227"/>
    </row>
    <row r="33" spans="3:15" x14ac:dyDescent="0.25">
      <c r="C33" s="225"/>
      <c r="D33" s="226"/>
      <c r="E33" s="226"/>
      <c r="F33" s="226"/>
      <c r="G33" s="226"/>
      <c r="H33" s="226"/>
      <c r="I33" s="226"/>
      <c r="J33" s="226"/>
      <c r="K33" s="226"/>
      <c r="L33" s="226"/>
      <c r="M33" s="226"/>
      <c r="N33" s="226"/>
      <c r="O33" s="227"/>
    </row>
    <row r="34" spans="3:15" ht="15.75" customHeight="1" x14ac:dyDescent="0.25">
      <c r="C34" s="228"/>
      <c r="D34" s="229"/>
      <c r="E34" s="229"/>
      <c r="F34" s="229"/>
      <c r="G34" s="229"/>
      <c r="H34" s="229"/>
      <c r="I34" s="229"/>
      <c r="J34" s="229"/>
      <c r="K34" s="229"/>
      <c r="L34" s="229"/>
      <c r="M34" s="229"/>
      <c r="N34" s="229"/>
      <c r="O34" s="230"/>
    </row>
  </sheetData>
  <mergeCells count="1">
    <mergeCell ref="C31:O34"/>
  </mergeCells>
  <pageMargins left="0.7" right="0.7" top="0.75" bottom="0.75" header="0.3" footer="0.3"/>
  <pageSetup scale="78"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231"/>
  <sheetViews>
    <sheetView workbookViewId="0">
      <selection activeCell="F13" sqref="F13"/>
    </sheetView>
  </sheetViews>
  <sheetFormatPr defaultRowHeight="15.75" x14ac:dyDescent="0.25"/>
  <cols>
    <col min="1" max="1" width="17.625" style="74" customWidth="1"/>
    <col min="2" max="2" width="14.75" style="74" customWidth="1"/>
    <col min="3" max="3" width="9.625" style="74" customWidth="1"/>
    <col min="4" max="4" width="12" style="74" customWidth="1"/>
    <col min="5" max="5" width="10.875" style="74" customWidth="1"/>
    <col min="6" max="6" width="12.125" style="74" customWidth="1"/>
    <col min="7" max="16384" width="9" style="74"/>
  </cols>
  <sheetData>
    <row r="1" spans="1:7" x14ac:dyDescent="0.25">
      <c r="A1" s="74" t="s">
        <v>259</v>
      </c>
      <c r="B1"/>
      <c r="C1"/>
      <c r="D1"/>
      <c r="E1" t="s">
        <v>386</v>
      </c>
    </row>
    <row r="2" spans="1:7" x14ac:dyDescent="0.25">
      <c r="A2" t="s">
        <v>147</v>
      </c>
      <c r="B2"/>
      <c r="C2"/>
      <c r="D2"/>
      <c r="E2" t="s">
        <v>261</v>
      </c>
    </row>
    <row r="3" spans="1:7" x14ac:dyDescent="0.25">
      <c r="A3" t="s">
        <v>148</v>
      </c>
      <c r="B3"/>
      <c r="C3"/>
      <c r="D3"/>
      <c r="E3" t="s">
        <v>451</v>
      </c>
    </row>
    <row r="4" spans="1:7" x14ac:dyDescent="0.25">
      <c r="A4" t="s">
        <v>184</v>
      </c>
      <c r="B4"/>
      <c r="C4"/>
      <c r="D4"/>
      <c r="E4" t="str">
        <f>Sch9p1!K4</f>
        <v>Revised 3/29/16</v>
      </c>
    </row>
    <row r="5" spans="1:7" ht="15" customHeight="1" x14ac:dyDescent="0.25">
      <c r="A5" t="s">
        <v>384</v>
      </c>
      <c r="B5"/>
      <c r="C5"/>
      <c r="D5"/>
      <c r="E5" s="206" t="s">
        <v>478</v>
      </c>
      <c r="F5" s="29" t="s">
        <v>478</v>
      </c>
    </row>
    <row r="6" spans="1:7" x14ac:dyDescent="0.25">
      <c r="A6" s="112"/>
      <c r="B6" s="113" t="s">
        <v>64</v>
      </c>
      <c r="C6" s="114"/>
      <c r="D6" s="29" t="s">
        <v>169</v>
      </c>
      <c r="E6" s="206" t="s">
        <v>8</v>
      </c>
      <c r="F6" s="29" t="s">
        <v>145</v>
      </c>
    </row>
    <row r="7" spans="1:7" x14ac:dyDescent="0.25">
      <c r="A7" s="115" t="s">
        <v>74</v>
      </c>
      <c r="B7" s="116" t="s">
        <v>385</v>
      </c>
      <c r="C7" s="117" t="s">
        <v>8</v>
      </c>
      <c r="D7" s="118" t="s">
        <v>75</v>
      </c>
      <c r="E7" s="207" t="s">
        <v>72</v>
      </c>
      <c r="F7" s="118" t="s">
        <v>2</v>
      </c>
    </row>
    <row r="8" spans="1:7" x14ac:dyDescent="0.25">
      <c r="A8" s="86" t="s">
        <v>154</v>
      </c>
      <c r="B8" s="122">
        <v>67884043.425930023</v>
      </c>
      <c r="C8" s="123">
        <f t="shared" ref="C8:C39" si="0">B8/$B$89</f>
        <v>9.7688313701874058E-2</v>
      </c>
      <c r="D8" s="120">
        <f t="shared" ref="D8:D39" si="1">C8*$D$89</f>
        <v>-408310.67774082033</v>
      </c>
      <c r="E8" s="237">
        <v>0</v>
      </c>
      <c r="F8" s="120">
        <f>D8*E8</f>
        <v>0</v>
      </c>
      <c r="G8" s="88"/>
    </row>
    <row r="9" spans="1:7" x14ac:dyDescent="0.25">
      <c r="A9" s="86" t="s">
        <v>155</v>
      </c>
      <c r="B9" s="122">
        <v>7473965.8163556829</v>
      </c>
      <c r="C9" s="123">
        <f t="shared" si="0"/>
        <v>1.075538639742178E-2</v>
      </c>
      <c r="D9" s="120">
        <f t="shared" si="1"/>
        <v>-44954.600431509338</v>
      </c>
      <c r="E9" s="237">
        <v>0.22437004168265501</v>
      </c>
      <c r="F9" s="120">
        <f t="shared" ref="F9:F72" si="2">D9*E9</f>
        <v>-10086.465572644851</v>
      </c>
      <c r="G9" s="88"/>
    </row>
    <row r="10" spans="1:7" x14ac:dyDescent="0.25">
      <c r="A10" s="86" t="s">
        <v>66</v>
      </c>
      <c r="B10" s="122">
        <v>5688.354078993184</v>
      </c>
      <c r="C10" s="123">
        <f t="shared" si="0"/>
        <v>8.1858075870560602E-6</v>
      </c>
      <c r="D10" s="120">
        <f t="shared" si="1"/>
        <v>-34.214457360038239</v>
      </c>
      <c r="E10" s="237">
        <v>8.2285226967736394E-2</v>
      </c>
      <c r="F10" s="120">
        <f t="shared" si="2"/>
        <v>-2.8153443894486854</v>
      </c>
      <c r="G10" s="88"/>
    </row>
    <row r="11" spans="1:7" x14ac:dyDescent="0.25">
      <c r="A11" s="86" t="s">
        <v>156</v>
      </c>
      <c r="B11" s="124">
        <v>1840130.5347571312</v>
      </c>
      <c r="C11" s="123">
        <f t="shared" si="0"/>
        <v>2.6480339098818076E-3</v>
      </c>
      <c r="D11" s="120">
        <f t="shared" si="1"/>
        <v>-11068.064126116378</v>
      </c>
      <c r="E11" s="237">
        <v>0</v>
      </c>
      <c r="F11" s="120">
        <f t="shared" si="2"/>
        <v>0</v>
      </c>
      <c r="G11" s="88"/>
    </row>
    <row r="12" spans="1:7" x14ac:dyDescent="0.25">
      <c r="A12" s="173" t="s">
        <v>157</v>
      </c>
      <c r="B12" s="122">
        <v>651466.40833665896</v>
      </c>
      <c r="C12" s="123">
        <f t="shared" si="0"/>
        <v>9.3749063332187381E-4</v>
      </c>
      <c r="D12" s="120">
        <f t="shared" si="1"/>
        <v>-3918.4567873238025</v>
      </c>
      <c r="E12" s="237">
        <v>0.22730931045735822</v>
      </c>
      <c r="F12" s="120">
        <f t="shared" si="2"/>
        <v>-890.70171038352873</v>
      </c>
      <c r="G12" s="88"/>
    </row>
    <row r="13" spans="1:7" x14ac:dyDescent="0.25">
      <c r="A13" s="86" t="s">
        <v>67</v>
      </c>
      <c r="B13" s="122">
        <v>325823.58490444999</v>
      </c>
      <c r="C13" s="123">
        <f t="shared" si="0"/>
        <v>4.6887537876768779E-4</v>
      </c>
      <c r="D13" s="120">
        <f t="shared" si="1"/>
        <v>-1959.7720180212889</v>
      </c>
      <c r="E13" s="237">
        <v>7.6800559158639092E-2</v>
      </c>
      <c r="F13" s="120">
        <f t="shared" si="2"/>
        <v>-150.51158680748952</v>
      </c>
      <c r="G13" s="88"/>
    </row>
    <row r="14" spans="1:7" x14ac:dyDescent="0.25">
      <c r="A14" s="86" t="s">
        <v>277</v>
      </c>
      <c r="B14" s="122">
        <v>119826.97067672609</v>
      </c>
      <c r="C14" s="123">
        <f t="shared" si="0"/>
        <v>1.7243661559709033E-4</v>
      </c>
      <c r="D14" s="120">
        <f t="shared" si="1"/>
        <v>-720.7383228730107</v>
      </c>
      <c r="E14" s="237">
        <v>0</v>
      </c>
      <c r="F14" s="120">
        <f t="shared" si="2"/>
        <v>0</v>
      </c>
      <c r="G14" s="88"/>
    </row>
    <row r="15" spans="1:7" x14ac:dyDescent="0.25">
      <c r="A15" s="86" t="s">
        <v>158</v>
      </c>
      <c r="B15" s="122">
        <v>2139.63</v>
      </c>
      <c r="C15" s="123">
        <f t="shared" si="0"/>
        <v>3.0790276491706669E-6</v>
      </c>
      <c r="D15" s="120">
        <f t="shared" si="1"/>
        <v>-12.869501157040462</v>
      </c>
      <c r="E15" s="237">
        <v>0.22565052397253504</v>
      </c>
      <c r="F15" s="120">
        <f t="shared" si="2"/>
        <v>-2.9040096793513261</v>
      </c>
      <c r="G15" s="88"/>
    </row>
    <row r="16" spans="1:7" x14ac:dyDescent="0.25">
      <c r="A16" s="86" t="s">
        <v>278</v>
      </c>
      <c r="B16" s="122">
        <v>32126887.385325186</v>
      </c>
      <c r="C16" s="123">
        <f t="shared" si="0"/>
        <v>4.6232093652270982E-2</v>
      </c>
      <c r="D16" s="120">
        <f t="shared" si="1"/>
        <v>-193237.62256911295</v>
      </c>
      <c r="E16" s="237">
        <v>0</v>
      </c>
      <c r="F16" s="120">
        <f t="shared" si="2"/>
        <v>0</v>
      </c>
      <c r="G16" s="88"/>
    </row>
    <row r="17" spans="1:7" x14ac:dyDescent="0.25">
      <c r="A17" s="86" t="s">
        <v>279</v>
      </c>
      <c r="B17" s="122">
        <v>18043997.810790766</v>
      </c>
      <c r="C17" s="123">
        <f t="shared" si="0"/>
        <v>2.5966156840668598E-2</v>
      </c>
      <c r="D17" s="120">
        <f t="shared" si="1"/>
        <v>-108531.49876549092</v>
      </c>
      <c r="E17" s="237">
        <v>0.22437004168265501</v>
      </c>
      <c r="F17" s="120">
        <f t="shared" si="2"/>
        <v>-24351.216901894219</v>
      </c>
      <c r="G17" s="88"/>
    </row>
    <row r="18" spans="1:7" x14ac:dyDescent="0.25">
      <c r="A18" s="86" t="s">
        <v>280</v>
      </c>
      <c r="B18" s="122">
        <v>-82229.878538628589</v>
      </c>
      <c r="C18" s="123">
        <f t="shared" si="0"/>
        <v>-1.1833264144192363E-4</v>
      </c>
      <c r="D18" s="120">
        <f t="shared" si="1"/>
        <v>494.59837308140999</v>
      </c>
      <c r="E18" s="237">
        <v>0.22565052397253504</v>
      </c>
      <c r="F18" s="120">
        <f t="shared" si="2"/>
        <v>111.60638204178353</v>
      </c>
      <c r="G18" s="88"/>
    </row>
    <row r="19" spans="1:7" x14ac:dyDescent="0.25">
      <c r="A19" s="86" t="s">
        <v>159</v>
      </c>
      <c r="B19" s="122">
        <v>7468677.1259951256</v>
      </c>
      <c r="C19" s="123">
        <f t="shared" si="0"/>
        <v>1.0747775724619445E-2</v>
      </c>
      <c r="D19" s="120">
        <f t="shared" si="1"/>
        <v>-44922.78988168791</v>
      </c>
      <c r="E19" s="237">
        <v>0</v>
      </c>
      <c r="F19" s="120">
        <f t="shared" si="2"/>
        <v>0</v>
      </c>
      <c r="G19" s="88"/>
    </row>
    <row r="20" spans="1:7" x14ac:dyDescent="0.25">
      <c r="A20" s="86" t="s">
        <v>160</v>
      </c>
      <c r="B20" s="122">
        <v>7865931.746117129</v>
      </c>
      <c r="C20" s="123">
        <f t="shared" si="0"/>
        <v>1.1319443704184341E-2</v>
      </c>
      <c r="D20" s="120">
        <f t="shared" si="1"/>
        <v>-47312.20711424671</v>
      </c>
      <c r="E20" s="237">
        <v>0.22565052397253504</v>
      </c>
      <c r="F20" s="120">
        <f t="shared" si="2"/>
        <v>-10676.02432562687</v>
      </c>
      <c r="G20" s="88"/>
    </row>
    <row r="21" spans="1:7" x14ac:dyDescent="0.25">
      <c r="A21" s="86" t="s">
        <v>281</v>
      </c>
      <c r="B21" s="122">
        <v>990352.84525628691</v>
      </c>
      <c r="C21" s="123">
        <f t="shared" si="0"/>
        <v>1.4251640671419574E-3</v>
      </c>
      <c r="D21" s="120">
        <f t="shared" si="1"/>
        <v>-5956.799581191186</v>
      </c>
      <c r="E21" s="237">
        <v>0</v>
      </c>
      <c r="F21" s="120">
        <f t="shared" si="2"/>
        <v>0</v>
      </c>
      <c r="G21" s="88"/>
    </row>
    <row r="22" spans="1:7" x14ac:dyDescent="0.25">
      <c r="A22" s="86" t="s">
        <v>282</v>
      </c>
      <c r="B22" s="122">
        <v>2788048.901278784</v>
      </c>
      <c r="C22" s="123">
        <f t="shared" si="0"/>
        <v>4.0121327772919971E-3</v>
      </c>
      <c r="D22" s="120">
        <f t="shared" si="1"/>
        <v>-16769.627721097902</v>
      </c>
      <c r="E22" s="237">
        <v>0.22565052397253504</v>
      </c>
      <c r="F22" s="120">
        <f t="shared" si="2"/>
        <v>-3784.0752820900902</v>
      </c>
      <c r="G22" s="88"/>
    </row>
    <row r="23" spans="1:7" x14ac:dyDescent="0.25">
      <c r="A23" s="86" t="s">
        <v>283</v>
      </c>
      <c r="B23" s="122">
        <v>54802.150907052463</v>
      </c>
      <c r="C23" s="123">
        <f t="shared" si="0"/>
        <v>7.8862858474052931E-5</v>
      </c>
      <c r="D23" s="120">
        <f t="shared" si="1"/>
        <v>-329.62537658689479</v>
      </c>
      <c r="E23" s="237">
        <v>0</v>
      </c>
      <c r="F23" s="120">
        <f t="shared" si="2"/>
        <v>0</v>
      </c>
      <c r="G23" s="88"/>
    </row>
    <row r="24" spans="1:7" x14ac:dyDescent="0.25">
      <c r="A24" s="86" t="s">
        <v>284</v>
      </c>
      <c r="B24" s="122">
        <v>17719.469690664984</v>
      </c>
      <c r="C24" s="123">
        <f t="shared" si="0"/>
        <v>2.5499145696311553E-5</v>
      </c>
      <c r="D24" s="120">
        <f t="shared" si="1"/>
        <v>-106.57951874209859</v>
      </c>
      <c r="E24" s="237">
        <v>0.22565052397253504</v>
      </c>
      <c r="F24" s="120">
        <f t="shared" si="2"/>
        <v>-24.049724248895163</v>
      </c>
      <c r="G24" s="88"/>
    </row>
    <row r="25" spans="1:7" x14ac:dyDescent="0.25">
      <c r="A25" s="86" t="s">
        <v>285</v>
      </c>
      <c r="B25" s="122">
        <v>4986210.316771457</v>
      </c>
      <c r="C25" s="123">
        <f t="shared" si="0"/>
        <v>7.1753898711082497E-3</v>
      </c>
      <c r="D25" s="120">
        <f t="shared" si="1"/>
        <v>-29991.185130577414</v>
      </c>
      <c r="E25" s="237">
        <v>0</v>
      </c>
      <c r="F25" s="120">
        <f t="shared" si="2"/>
        <v>0</v>
      </c>
      <c r="G25" s="88"/>
    </row>
    <row r="26" spans="1:7" x14ac:dyDescent="0.25">
      <c r="A26" s="86" t="s">
        <v>286</v>
      </c>
      <c r="B26" s="122">
        <v>1718632.846716661</v>
      </c>
      <c r="C26" s="123">
        <f t="shared" si="0"/>
        <v>2.4731930538520641E-3</v>
      </c>
      <c r="D26" s="120">
        <f t="shared" si="1"/>
        <v>-10337.276729784035</v>
      </c>
      <c r="E26" s="237">
        <v>0.22565052397253504</v>
      </c>
      <c r="F26" s="120">
        <f t="shared" si="2"/>
        <v>-2332.6119105248608</v>
      </c>
      <c r="G26" s="88"/>
    </row>
    <row r="27" spans="1:7" x14ac:dyDescent="0.25">
      <c r="A27" s="86" t="s">
        <v>287</v>
      </c>
      <c r="B27" s="122">
        <v>505.11772648143074</v>
      </c>
      <c r="C27" s="123">
        <f t="shared" si="0"/>
        <v>7.2688803481094933E-7</v>
      </c>
      <c r="D27" s="120">
        <f t="shared" si="1"/>
        <v>-3.0381949988523345</v>
      </c>
      <c r="E27" s="237">
        <v>0</v>
      </c>
      <c r="F27" s="120">
        <f t="shared" si="2"/>
        <v>0</v>
      </c>
      <c r="G27" s="88"/>
    </row>
    <row r="28" spans="1:7" x14ac:dyDescent="0.25">
      <c r="A28" s="86" t="s">
        <v>288</v>
      </c>
      <c r="B28" s="122">
        <v>1872310.5679591252</v>
      </c>
      <c r="C28" s="123">
        <f t="shared" si="0"/>
        <v>2.6943424828501103E-3</v>
      </c>
      <c r="D28" s="120">
        <f t="shared" si="1"/>
        <v>-11261.62141150061</v>
      </c>
      <c r="E28" s="237">
        <v>8.2285226967736394E-2</v>
      </c>
      <c r="F28" s="120">
        <f t="shared" si="2"/>
        <v>-926.66507387004754</v>
      </c>
      <c r="G28" s="88"/>
    </row>
    <row r="29" spans="1:7" x14ac:dyDescent="0.25">
      <c r="A29" s="86" t="s">
        <v>289</v>
      </c>
      <c r="B29" s="122">
        <v>1978477.6022114239</v>
      </c>
      <c r="C29" s="123">
        <f t="shared" si="0"/>
        <v>2.8471218110018358E-3</v>
      </c>
      <c r="D29" s="120">
        <f t="shared" si="1"/>
        <v>-11900.197599976893</v>
      </c>
      <c r="E29" s="237">
        <v>0</v>
      </c>
      <c r="F29" s="120">
        <f t="shared" si="2"/>
        <v>0</v>
      </c>
      <c r="G29" s="88"/>
    </row>
    <row r="30" spans="1:7" x14ac:dyDescent="0.25">
      <c r="A30" s="86" t="s">
        <v>290</v>
      </c>
      <c r="B30" s="122">
        <v>899293.5980669097</v>
      </c>
      <c r="C30" s="123">
        <f t="shared" si="0"/>
        <v>1.2941255512262343E-3</v>
      </c>
      <c r="D30" s="120">
        <f t="shared" si="1"/>
        <v>-5409.0940961012766</v>
      </c>
      <c r="E30" s="237">
        <v>0.22565052397253504</v>
      </c>
      <c r="F30" s="120">
        <f t="shared" si="2"/>
        <v>-1220.564917001999</v>
      </c>
      <c r="G30" s="88"/>
    </row>
    <row r="31" spans="1:7" x14ac:dyDescent="0.25">
      <c r="A31" s="86" t="s">
        <v>68</v>
      </c>
      <c r="B31" s="122">
        <v>26766065.187209137</v>
      </c>
      <c r="C31" s="123">
        <f t="shared" si="0"/>
        <v>3.851761976179123E-2</v>
      </c>
      <c r="D31" s="120">
        <f t="shared" si="1"/>
        <v>-160993.2123293319</v>
      </c>
      <c r="E31" s="237">
        <v>8.2285226967736394E-2</v>
      </c>
      <c r="F31" s="120">
        <f t="shared" si="2"/>
        <v>-13247.363016784053</v>
      </c>
      <c r="G31" s="88"/>
    </row>
    <row r="32" spans="1:7" x14ac:dyDescent="0.25">
      <c r="A32" s="86" t="s">
        <v>161</v>
      </c>
      <c r="B32" s="122">
        <v>9704036.161406856</v>
      </c>
      <c r="C32" s="123">
        <f t="shared" si="0"/>
        <v>1.3964561933382731E-2</v>
      </c>
      <c r="D32" s="120">
        <f t="shared" si="1"/>
        <v>-58368.084485255866</v>
      </c>
      <c r="E32" s="237">
        <v>0</v>
      </c>
      <c r="F32" s="120">
        <f t="shared" si="2"/>
        <v>0</v>
      </c>
      <c r="G32" s="88"/>
    </row>
    <row r="33" spans="1:7" x14ac:dyDescent="0.25">
      <c r="A33" s="86" t="s">
        <v>162</v>
      </c>
      <c r="B33" s="122">
        <v>134529.60273698869</v>
      </c>
      <c r="C33" s="123">
        <f t="shared" si="0"/>
        <v>1.9359439083352448E-4</v>
      </c>
      <c r="D33" s="120">
        <f t="shared" si="1"/>
        <v>-809.17208960421647</v>
      </c>
      <c r="E33" s="237">
        <v>0.22565052397253504</v>
      </c>
      <c r="F33" s="120">
        <f t="shared" si="2"/>
        <v>-182.59010600314252</v>
      </c>
      <c r="G33" s="88"/>
    </row>
    <row r="34" spans="1:7" x14ac:dyDescent="0.25">
      <c r="A34" s="86" t="s">
        <v>163</v>
      </c>
      <c r="B34" s="122">
        <v>1640286.7030886197</v>
      </c>
      <c r="C34" s="123">
        <f t="shared" si="0"/>
        <v>2.3604492886045046E-3</v>
      </c>
      <c r="D34" s="120">
        <f t="shared" si="1"/>
        <v>-9866.0383446096166</v>
      </c>
      <c r="E34" s="237">
        <v>0.22437004168265501</v>
      </c>
      <c r="F34" s="120">
        <f t="shared" si="2"/>
        <v>-2213.6434346227325</v>
      </c>
      <c r="G34" s="88"/>
    </row>
    <row r="35" spans="1:7" x14ac:dyDescent="0.25">
      <c r="A35" s="86" t="s">
        <v>164</v>
      </c>
      <c r="B35" s="122">
        <v>3902219.1207062858</v>
      </c>
      <c r="C35" s="123">
        <f t="shared" si="0"/>
        <v>5.6154758373069651E-3</v>
      </c>
      <c r="D35" s="120">
        <f t="shared" si="1"/>
        <v>-23471.167205991205</v>
      </c>
      <c r="E35" s="237">
        <v>0</v>
      </c>
      <c r="F35" s="120">
        <f t="shared" si="2"/>
        <v>0</v>
      </c>
      <c r="G35" s="88"/>
    </row>
    <row r="36" spans="1:7" x14ac:dyDescent="0.25">
      <c r="A36" s="86" t="s">
        <v>165</v>
      </c>
      <c r="B36" s="122">
        <v>204315.4936260535</v>
      </c>
      <c r="C36" s="123">
        <f t="shared" si="0"/>
        <v>2.940195519919668E-4</v>
      </c>
      <c r="D36" s="120">
        <f t="shared" si="1"/>
        <v>-1228.9220480278314</v>
      </c>
      <c r="E36" s="237">
        <v>0.22565052397253504</v>
      </c>
      <c r="F36" s="120">
        <f t="shared" si="2"/>
        <v>-277.306904058881</v>
      </c>
      <c r="G36" s="88"/>
    </row>
    <row r="37" spans="1:7" x14ac:dyDescent="0.25">
      <c r="A37" s="86" t="s">
        <v>69</v>
      </c>
      <c r="B37" s="122">
        <v>15257490.955798399</v>
      </c>
      <c r="C37" s="123">
        <f t="shared" si="0"/>
        <v>2.195624314011051E-2</v>
      </c>
      <c r="D37" s="120">
        <f t="shared" si="1"/>
        <v>-91771.146183770965</v>
      </c>
      <c r="E37" s="237">
        <v>8.2285226967736394E-2</v>
      </c>
      <c r="F37" s="120">
        <f t="shared" si="2"/>
        <v>-7551.4095928209099</v>
      </c>
      <c r="G37" s="88"/>
    </row>
    <row r="38" spans="1:7" x14ac:dyDescent="0.25">
      <c r="A38" s="86" t="s">
        <v>166</v>
      </c>
      <c r="B38" s="122">
        <v>23950.698454310346</v>
      </c>
      <c r="C38" s="123">
        <f t="shared" si="0"/>
        <v>3.4466175347032296E-5</v>
      </c>
      <c r="D38" s="120">
        <f t="shared" si="1"/>
        <v>-144.05927261707595</v>
      </c>
      <c r="E38" s="237">
        <v>0.22437004168265501</v>
      </c>
      <c r="F38" s="120">
        <f t="shared" si="2"/>
        <v>-32.322585001866294</v>
      </c>
      <c r="G38" s="88"/>
    </row>
    <row r="39" spans="1:7" x14ac:dyDescent="0.25">
      <c r="A39" s="86" t="s">
        <v>291</v>
      </c>
      <c r="B39" s="122">
        <v>-2077143.3667929284</v>
      </c>
      <c r="C39" s="123">
        <f t="shared" si="0"/>
        <v>-2.9891064612324911E-3</v>
      </c>
      <c r="D39" s="120">
        <f t="shared" si="1"/>
        <v>12493.654960100819</v>
      </c>
      <c r="E39" s="237">
        <v>0</v>
      </c>
      <c r="F39" s="120">
        <f t="shared" si="2"/>
        <v>0</v>
      </c>
      <c r="G39" s="88"/>
    </row>
    <row r="40" spans="1:7" x14ac:dyDescent="0.25">
      <c r="A40" s="86" t="s">
        <v>292</v>
      </c>
      <c r="B40" s="122">
        <v>50701.957012414874</v>
      </c>
      <c r="C40" s="123">
        <f t="shared" ref="C40:C71" si="3">B40/$B$89</f>
        <v>7.296248767697592E-5</v>
      </c>
      <c r="D40" s="120">
        <f t="shared" ref="D40:D71" si="4">C40*$D$89</f>
        <v>-304.96342565559888</v>
      </c>
      <c r="E40" s="237">
        <v>0.22565052397253504</v>
      </c>
      <c r="F40" s="120">
        <f t="shared" si="2"/>
        <v>-68.815156791645123</v>
      </c>
      <c r="G40" s="88"/>
    </row>
    <row r="41" spans="1:7" x14ac:dyDescent="0.25">
      <c r="A41" s="86" t="s">
        <v>293</v>
      </c>
      <c r="B41" s="122">
        <v>3602262.440574009</v>
      </c>
      <c r="C41" s="123">
        <f t="shared" si="3"/>
        <v>5.183824144406453E-3</v>
      </c>
      <c r="D41" s="120">
        <f t="shared" si="4"/>
        <v>-21666.980107275838</v>
      </c>
      <c r="E41" s="237">
        <v>8.2285226967736394E-2</v>
      </c>
      <c r="F41" s="120">
        <f t="shared" si="2"/>
        <v>-1782.8723758326219</v>
      </c>
      <c r="G41" s="88"/>
    </row>
    <row r="42" spans="1:7" x14ac:dyDescent="0.25">
      <c r="A42" s="86" t="s">
        <v>294</v>
      </c>
      <c r="B42" s="122">
        <v>79030.443447199534</v>
      </c>
      <c r="C42" s="123">
        <f t="shared" si="3"/>
        <v>1.1372850469480523E-4</v>
      </c>
      <c r="D42" s="120">
        <f t="shared" si="4"/>
        <v>-475.35432919951359</v>
      </c>
      <c r="E42" s="237">
        <v>0.22437004168265501</v>
      </c>
      <c r="F42" s="120">
        <f t="shared" si="2"/>
        <v>-106.65527065652537</v>
      </c>
      <c r="G42" s="88"/>
    </row>
    <row r="43" spans="1:7" x14ac:dyDescent="0.25">
      <c r="A43" s="86" t="s">
        <v>115</v>
      </c>
      <c r="B43" s="122">
        <v>769363.03456823027</v>
      </c>
      <c r="C43" s="123">
        <f t="shared" si="3"/>
        <v>1.1071493929723497E-3</v>
      </c>
      <c r="D43" s="120">
        <f t="shared" si="4"/>
        <v>-4627.5844251389262</v>
      </c>
      <c r="E43" s="237">
        <v>0</v>
      </c>
      <c r="F43" s="120">
        <f t="shared" si="2"/>
        <v>0</v>
      </c>
      <c r="G43" s="88"/>
    </row>
    <row r="44" spans="1:7" x14ac:dyDescent="0.25">
      <c r="A44" s="86" t="s">
        <v>295</v>
      </c>
      <c r="B44" s="122">
        <v>1171533.2413468305</v>
      </c>
      <c r="C44" s="123">
        <f t="shared" si="3"/>
        <v>1.6858911316580078E-3</v>
      </c>
      <c r="D44" s="120">
        <f t="shared" si="4"/>
        <v>-7046.5680538337929</v>
      </c>
      <c r="E44" s="237">
        <v>0</v>
      </c>
      <c r="F44" s="120">
        <f t="shared" si="2"/>
        <v>0</v>
      </c>
      <c r="G44" s="88"/>
    </row>
    <row r="45" spans="1:7" x14ac:dyDescent="0.25">
      <c r="A45" s="86" t="s">
        <v>116</v>
      </c>
      <c r="B45" s="122">
        <v>7611604.7200949928</v>
      </c>
      <c r="C45" s="123">
        <f t="shared" si="3"/>
        <v>1.095345521783226E-2</v>
      </c>
      <c r="D45" s="120">
        <f t="shared" si="4"/>
        <v>-45782.474424174812</v>
      </c>
      <c r="E45" s="237">
        <v>0</v>
      </c>
      <c r="F45" s="120">
        <f t="shared" si="2"/>
        <v>0</v>
      </c>
      <c r="G45" s="88"/>
    </row>
    <row r="46" spans="1:7" x14ac:dyDescent="0.25">
      <c r="A46" s="86" t="s">
        <v>70</v>
      </c>
      <c r="B46" s="122">
        <v>22783021.431030944</v>
      </c>
      <c r="C46" s="123">
        <f t="shared" si="3"/>
        <v>3.2785833493544268E-2</v>
      </c>
      <c r="D46" s="120">
        <f t="shared" si="4"/>
        <v>-137035.89904213828</v>
      </c>
      <c r="E46" s="237">
        <v>6.3308872574412173E-2</v>
      </c>
      <c r="F46" s="120">
        <f t="shared" si="2"/>
        <v>-8675.5882705787426</v>
      </c>
      <c r="G46" s="88"/>
    </row>
    <row r="47" spans="1:7" x14ac:dyDescent="0.25">
      <c r="A47" s="86" t="s">
        <v>127</v>
      </c>
      <c r="B47" s="122">
        <v>8978274.9582358953</v>
      </c>
      <c r="C47" s="123">
        <f t="shared" si="3"/>
        <v>1.2920157615225499E-2</v>
      </c>
      <c r="D47" s="120">
        <f t="shared" si="4"/>
        <v>-54002.757468928859</v>
      </c>
      <c r="E47" s="237">
        <v>0</v>
      </c>
      <c r="F47" s="120">
        <f t="shared" si="2"/>
        <v>0</v>
      </c>
      <c r="G47" s="88"/>
    </row>
    <row r="48" spans="1:7" x14ac:dyDescent="0.25">
      <c r="A48" s="86" t="s">
        <v>117</v>
      </c>
      <c r="B48" s="122">
        <v>1595821.2432592155</v>
      </c>
      <c r="C48" s="123">
        <f t="shared" si="3"/>
        <v>2.2964614120801414E-3</v>
      </c>
      <c r="D48" s="120">
        <f t="shared" si="4"/>
        <v>-9598.5863614523169</v>
      </c>
      <c r="E48" s="237">
        <v>1</v>
      </c>
      <c r="F48" s="120">
        <f t="shared" si="2"/>
        <v>-9598.5863614523169</v>
      </c>
      <c r="G48" s="88"/>
    </row>
    <row r="49" spans="1:7" x14ac:dyDescent="0.25">
      <c r="A49" s="86" t="s">
        <v>128</v>
      </c>
      <c r="B49" s="122">
        <v>2099728.7106250674</v>
      </c>
      <c r="C49" s="123">
        <f t="shared" si="3"/>
        <v>3.0216078274150466E-3</v>
      </c>
      <c r="D49" s="120">
        <f t="shared" si="4"/>
        <v>-12629.501862873665</v>
      </c>
      <c r="E49" s="237">
        <v>0</v>
      </c>
      <c r="F49" s="120">
        <f t="shared" si="2"/>
        <v>0</v>
      </c>
      <c r="G49" s="88"/>
    </row>
    <row r="50" spans="1:7" x14ac:dyDescent="0.25">
      <c r="A50" s="86" t="s">
        <v>129</v>
      </c>
      <c r="B50" s="122">
        <v>210694.69676372391</v>
      </c>
      <c r="C50" s="123">
        <f t="shared" si="3"/>
        <v>3.0319952368827101E-4</v>
      </c>
      <c r="D50" s="120">
        <f t="shared" si="4"/>
        <v>-1267.2918419460532</v>
      </c>
      <c r="E50" s="237">
        <v>0</v>
      </c>
      <c r="F50" s="120">
        <f t="shared" si="2"/>
        <v>0</v>
      </c>
      <c r="G50" s="88"/>
    </row>
    <row r="51" spans="1:7" x14ac:dyDescent="0.25">
      <c r="A51" s="86" t="s">
        <v>296</v>
      </c>
      <c r="B51" s="122">
        <v>2388140.3720043534</v>
      </c>
      <c r="C51" s="123">
        <f t="shared" si="3"/>
        <v>3.4366456983226661E-3</v>
      </c>
      <c r="D51" s="120">
        <f t="shared" si="4"/>
        <v>-14364.2476880045</v>
      </c>
      <c r="E51" s="237">
        <v>0</v>
      </c>
      <c r="F51" s="120">
        <f t="shared" si="2"/>
        <v>0</v>
      </c>
      <c r="G51" s="88"/>
    </row>
    <row r="52" spans="1:7" x14ac:dyDescent="0.25">
      <c r="A52" s="86" t="s">
        <v>297</v>
      </c>
      <c r="B52" s="122">
        <v>2338721.3480784995</v>
      </c>
      <c r="C52" s="123">
        <f t="shared" si="3"/>
        <v>3.3655294113652339E-3</v>
      </c>
      <c r="D52" s="120">
        <f t="shared" si="4"/>
        <v>-14067.000881036198</v>
      </c>
      <c r="E52" s="237">
        <v>0</v>
      </c>
      <c r="F52" s="120">
        <f t="shared" si="2"/>
        <v>0</v>
      </c>
      <c r="G52" s="88"/>
    </row>
    <row r="53" spans="1:7" x14ac:dyDescent="0.25">
      <c r="A53" s="86" t="s">
        <v>298</v>
      </c>
      <c r="B53" s="122">
        <v>11729860.600978389</v>
      </c>
      <c r="C53" s="123">
        <f t="shared" si="3"/>
        <v>1.6879818057949327E-2</v>
      </c>
      <c r="D53" s="120">
        <f t="shared" si="4"/>
        <v>-70553.06505153449</v>
      </c>
      <c r="E53" s="237">
        <v>0</v>
      </c>
      <c r="F53" s="120">
        <f t="shared" si="2"/>
        <v>0</v>
      </c>
      <c r="G53" s="88"/>
    </row>
    <row r="54" spans="1:7" x14ac:dyDescent="0.25">
      <c r="A54" s="86" t="s">
        <v>299</v>
      </c>
      <c r="B54" s="122">
        <v>8556255.8106250465</v>
      </c>
      <c r="C54" s="123">
        <f t="shared" si="3"/>
        <v>1.2312852322266792E-2</v>
      </c>
      <c r="D54" s="120">
        <f t="shared" si="4"/>
        <v>-51464.385924095855</v>
      </c>
      <c r="E54" s="237">
        <v>6.3308872574412173E-2</v>
      </c>
      <c r="F54" s="120">
        <f t="shared" si="2"/>
        <v>-3258.1522505889561</v>
      </c>
      <c r="G54" s="88"/>
    </row>
    <row r="55" spans="1:7" x14ac:dyDescent="0.25">
      <c r="A55" s="86" t="s">
        <v>300</v>
      </c>
      <c r="B55" s="122">
        <v>15203315.496409655</v>
      </c>
      <c r="C55" s="123">
        <f t="shared" si="3"/>
        <v>2.1878282120044206E-2</v>
      </c>
      <c r="D55" s="120">
        <f t="shared" si="4"/>
        <v>-91445.290247330253</v>
      </c>
      <c r="E55" s="237">
        <v>0</v>
      </c>
      <c r="F55" s="120">
        <f t="shared" si="2"/>
        <v>0</v>
      </c>
      <c r="G55" s="88"/>
    </row>
    <row r="56" spans="1:7" x14ac:dyDescent="0.25">
      <c r="A56" s="86" t="s">
        <v>301</v>
      </c>
      <c r="B56" s="122">
        <v>1776047.9294476043</v>
      </c>
      <c r="C56" s="123">
        <f t="shared" si="3"/>
        <v>2.5558160434381119E-3</v>
      </c>
      <c r="D56" s="120">
        <f t="shared" si="4"/>
        <v>-10682.618435423536</v>
      </c>
      <c r="E56" s="237">
        <v>1</v>
      </c>
      <c r="F56" s="120">
        <f t="shared" si="2"/>
        <v>-10682.618435423536</v>
      </c>
      <c r="G56" s="88"/>
    </row>
    <row r="57" spans="1:7" x14ac:dyDescent="0.25">
      <c r="A57" s="86" t="s">
        <v>302</v>
      </c>
      <c r="B57" s="122">
        <v>2589172.4950823546</v>
      </c>
      <c r="C57" s="123">
        <f t="shared" si="3"/>
        <v>3.7259403265194322E-3</v>
      </c>
      <c r="D57" s="120">
        <f t="shared" si="4"/>
        <v>-15573.42083502274</v>
      </c>
      <c r="E57" s="237">
        <v>0</v>
      </c>
      <c r="F57" s="120">
        <f t="shared" si="2"/>
        <v>0</v>
      </c>
      <c r="G57" s="88"/>
    </row>
    <row r="58" spans="1:7" x14ac:dyDescent="0.25">
      <c r="A58" s="86" t="s">
        <v>303</v>
      </c>
      <c r="B58" s="122">
        <v>423247.94893862976</v>
      </c>
      <c r="C58" s="123">
        <f t="shared" si="3"/>
        <v>6.0907359554540532E-4</v>
      </c>
      <c r="D58" s="120">
        <f t="shared" si="4"/>
        <v>-2545.7625704354014</v>
      </c>
      <c r="E58" s="237">
        <v>0</v>
      </c>
      <c r="F58" s="120">
        <f t="shared" si="2"/>
        <v>0</v>
      </c>
      <c r="G58" s="88"/>
    </row>
    <row r="59" spans="1:7" x14ac:dyDescent="0.25">
      <c r="A59" s="86" t="s">
        <v>304</v>
      </c>
      <c r="B59" s="122">
        <v>33641169.054122895</v>
      </c>
      <c r="C59" s="123">
        <f t="shared" si="3"/>
        <v>4.8411215802764501E-2</v>
      </c>
      <c r="D59" s="120">
        <f t="shared" si="4"/>
        <v>-202345.76261607307</v>
      </c>
      <c r="E59" s="237">
        <v>6.8836744172887168E-2</v>
      </c>
      <c r="F59" s="120">
        <f t="shared" si="2"/>
        <v>-13928.823495670378</v>
      </c>
      <c r="G59" s="88"/>
    </row>
    <row r="60" spans="1:7" x14ac:dyDescent="0.25">
      <c r="A60" s="86" t="s">
        <v>305</v>
      </c>
      <c r="B60" s="122">
        <v>1161282.7833100678</v>
      </c>
      <c r="C60" s="123">
        <f t="shared" si="3"/>
        <v>1.6711402430876212E-3</v>
      </c>
      <c r="D60" s="120">
        <f t="shared" si="4"/>
        <v>-6984.91333710038</v>
      </c>
      <c r="E60" s="237">
        <v>0</v>
      </c>
      <c r="F60" s="120">
        <f t="shared" si="2"/>
        <v>0</v>
      </c>
      <c r="G60" s="88"/>
    </row>
    <row r="61" spans="1:7" x14ac:dyDescent="0.25">
      <c r="A61" s="86" t="s">
        <v>306</v>
      </c>
      <c r="B61" s="122">
        <v>1040862.3686785746</v>
      </c>
      <c r="C61" s="123">
        <f t="shared" si="3"/>
        <v>1.497849633881841E-3</v>
      </c>
      <c r="D61" s="120">
        <f t="shared" si="4"/>
        <v>-6260.605552375313</v>
      </c>
      <c r="E61" s="237">
        <v>0</v>
      </c>
      <c r="F61" s="120">
        <f t="shared" si="2"/>
        <v>0</v>
      </c>
      <c r="G61" s="88"/>
    </row>
    <row r="62" spans="1:7" x14ac:dyDescent="0.25">
      <c r="A62" s="86" t="s">
        <v>307</v>
      </c>
      <c r="B62" s="122">
        <v>1565974.6592413117</v>
      </c>
      <c r="C62" s="123">
        <f t="shared" si="3"/>
        <v>2.2535107816326243E-3</v>
      </c>
      <c r="D62" s="120">
        <f t="shared" si="4"/>
        <v>-9419.0643658025474</v>
      </c>
      <c r="E62" s="237">
        <v>0</v>
      </c>
      <c r="F62" s="120">
        <f t="shared" si="2"/>
        <v>0</v>
      </c>
      <c r="G62" s="88"/>
    </row>
    <row r="63" spans="1:7" x14ac:dyDescent="0.25">
      <c r="A63" s="86" t="s">
        <v>308</v>
      </c>
      <c r="B63" s="122">
        <v>8659755.6641642787</v>
      </c>
      <c r="C63" s="123">
        <f t="shared" si="3"/>
        <v>1.2461793452617559E-2</v>
      </c>
      <c r="D63" s="120">
        <f t="shared" si="4"/>
        <v>-52086.919485915736</v>
      </c>
      <c r="E63" s="237">
        <v>0</v>
      </c>
      <c r="F63" s="120">
        <f t="shared" si="2"/>
        <v>0</v>
      </c>
      <c r="G63" s="88"/>
    </row>
    <row r="64" spans="1:7" x14ac:dyDescent="0.25">
      <c r="A64" s="86" t="s">
        <v>309</v>
      </c>
      <c r="B64" s="122">
        <v>5063531.091486901</v>
      </c>
      <c r="C64" s="123">
        <f t="shared" si="3"/>
        <v>7.2866580825299201E-3</v>
      </c>
      <c r="D64" s="120">
        <f t="shared" si="4"/>
        <v>-30456.256100634699</v>
      </c>
      <c r="E64" s="237">
        <v>0</v>
      </c>
      <c r="F64" s="120">
        <f t="shared" si="2"/>
        <v>0</v>
      </c>
      <c r="G64" s="88"/>
    </row>
    <row r="65" spans="1:7" x14ac:dyDescent="0.25">
      <c r="A65" s="86" t="s">
        <v>310</v>
      </c>
      <c r="B65" s="122">
        <v>1052182.428081865</v>
      </c>
      <c r="C65" s="123">
        <f t="shared" si="3"/>
        <v>1.5141397288482535E-3</v>
      </c>
      <c r="D65" s="120">
        <f t="shared" si="4"/>
        <v>-6328.6937347191815</v>
      </c>
      <c r="E65" s="237">
        <v>1</v>
      </c>
      <c r="F65" s="120">
        <f t="shared" si="2"/>
        <v>-6328.6937347191815</v>
      </c>
      <c r="G65" s="88"/>
    </row>
    <row r="66" spans="1:7" x14ac:dyDescent="0.25">
      <c r="A66" s="86" t="s">
        <v>311</v>
      </c>
      <c r="B66" s="122">
        <v>207320.58451035304</v>
      </c>
      <c r="C66" s="123">
        <f t="shared" si="3"/>
        <v>2.9834401833475925E-4</v>
      </c>
      <c r="D66" s="120">
        <f t="shared" si="4"/>
        <v>-1246.9971454103249</v>
      </c>
      <c r="E66" s="237">
        <v>0</v>
      </c>
      <c r="F66" s="120">
        <f t="shared" si="2"/>
        <v>0</v>
      </c>
      <c r="G66" s="88"/>
    </row>
    <row r="67" spans="1:7" x14ac:dyDescent="0.25">
      <c r="A67" s="86" t="s">
        <v>312</v>
      </c>
      <c r="B67" s="122">
        <v>2574115.8889564965</v>
      </c>
      <c r="C67" s="123">
        <f t="shared" si="3"/>
        <v>3.7042731660458035E-3</v>
      </c>
      <c r="D67" s="120">
        <f t="shared" si="4"/>
        <v>-15482.85797604346</v>
      </c>
      <c r="E67" s="237">
        <v>6.8836744172887168E-2</v>
      </c>
      <c r="F67" s="120">
        <f t="shared" si="2"/>
        <v>-1065.7895335620492</v>
      </c>
      <c r="G67" s="88"/>
    </row>
    <row r="68" spans="1:7" x14ac:dyDescent="0.25">
      <c r="A68" s="86" t="s">
        <v>313</v>
      </c>
      <c r="B68" s="124">
        <v>1679460.0689229874</v>
      </c>
      <c r="C68" s="123">
        <f t="shared" si="3"/>
        <v>2.4168215943373163E-3</v>
      </c>
      <c r="D68" s="120">
        <f t="shared" si="4"/>
        <v>-10101.659305677917</v>
      </c>
      <c r="E68" s="237">
        <v>0</v>
      </c>
      <c r="F68" s="120">
        <f t="shared" si="2"/>
        <v>0</v>
      </c>
      <c r="G68" s="88"/>
    </row>
    <row r="69" spans="1:7" x14ac:dyDescent="0.25">
      <c r="A69" s="86" t="s">
        <v>314</v>
      </c>
      <c r="B69" s="124">
        <v>52704.45648905819</v>
      </c>
      <c r="C69" s="123">
        <f t="shared" si="3"/>
        <v>7.5844178088885707E-5</v>
      </c>
      <c r="D69" s="120">
        <f t="shared" si="4"/>
        <v>-317.00811063928018</v>
      </c>
      <c r="E69" s="237">
        <v>0</v>
      </c>
      <c r="F69" s="120">
        <f t="shared" si="2"/>
        <v>0</v>
      </c>
      <c r="G69" s="88"/>
    </row>
    <row r="70" spans="1:7" x14ac:dyDescent="0.25">
      <c r="A70" s="86" t="s">
        <v>315</v>
      </c>
      <c r="B70" s="124">
        <v>355365.0965460015</v>
      </c>
      <c r="C70" s="123">
        <f t="shared" si="3"/>
        <v>5.1138699579616196E-4</v>
      </c>
      <c r="D70" s="120">
        <f t="shared" si="4"/>
        <v>-2137.4590565520962</v>
      </c>
      <c r="E70" s="237">
        <v>0</v>
      </c>
      <c r="F70" s="120">
        <f t="shared" si="2"/>
        <v>0</v>
      </c>
      <c r="G70" s="88"/>
    </row>
    <row r="71" spans="1:7" x14ac:dyDescent="0.25">
      <c r="A71" s="86" t="s">
        <v>316</v>
      </c>
      <c r="B71" s="124">
        <v>54425.557778113303</v>
      </c>
      <c r="C71" s="123">
        <f t="shared" si="3"/>
        <v>7.8320923346721872E-5</v>
      </c>
      <c r="D71" s="120">
        <f t="shared" si="4"/>
        <v>-327.36023461907047</v>
      </c>
      <c r="E71" s="237">
        <v>0</v>
      </c>
      <c r="F71" s="120">
        <f t="shared" si="2"/>
        <v>0</v>
      </c>
      <c r="G71" s="88"/>
    </row>
    <row r="72" spans="1:7" x14ac:dyDescent="0.25">
      <c r="A72" s="86" t="s">
        <v>317</v>
      </c>
      <c r="B72" s="122">
        <v>2385041.6751109622</v>
      </c>
      <c r="C72" s="123">
        <f t="shared" ref="C72:C82" si="5">B72/$B$89</f>
        <v>3.4321865285544583E-3</v>
      </c>
      <c r="D72" s="120">
        <f t="shared" ref="D72:D82" si="6">C72*$D$89</f>
        <v>-14345.609566808398</v>
      </c>
      <c r="E72" s="237">
        <v>0</v>
      </c>
      <c r="F72" s="120">
        <f t="shared" si="2"/>
        <v>0</v>
      </c>
      <c r="G72" s="88"/>
    </row>
    <row r="73" spans="1:7" x14ac:dyDescent="0.25">
      <c r="A73" s="86" t="s">
        <v>318</v>
      </c>
      <c r="B73" s="124">
        <v>351194.63940799743</v>
      </c>
      <c r="C73" s="123">
        <f t="shared" si="5"/>
        <v>5.0538551290538376E-4</v>
      </c>
      <c r="D73" s="120">
        <f t="shared" si="6"/>
        <v>-2112.3744844705066</v>
      </c>
      <c r="E73" s="237">
        <v>1</v>
      </c>
      <c r="F73" s="120">
        <f t="shared" ref="F73:F82" si="7">D73*E73</f>
        <v>-2112.3744844705066</v>
      </c>
      <c r="G73" s="88"/>
    </row>
    <row r="74" spans="1:7" x14ac:dyDescent="0.25">
      <c r="A74" s="86" t="s">
        <v>319</v>
      </c>
      <c r="B74" s="122">
        <v>1191314.8376383614</v>
      </c>
      <c r="C74" s="123">
        <f t="shared" si="5"/>
        <v>1.7143577739869877E-3</v>
      </c>
      <c r="D74" s="120">
        <f t="shared" si="6"/>
        <v>-7165.5509043088578</v>
      </c>
      <c r="E74" s="237">
        <v>0</v>
      </c>
      <c r="F74" s="120">
        <f t="shared" si="7"/>
        <v>0</v>
      </c>
      <c r="G74" s="88"/>
    </row>
    <row r="75" spans="1:7" x14ac:dyDescent="0.25">
      <c r="A75" s="86" t="s">
        <v>118</v>
      </c>
      <c r="B75" s="122">
        <v>32109.090801921579</v>
      </c>
      <c r="C75" s="123">
        <f t="shared" si="5"/>
        <v>4.6206483536334824E-5</v>
      </c>
      <c r="D75" s="120">
        <f t="shared" si="6"/>
        <v>-193.13057922484123</v>
      </c>
      <c r="E75" s="237">
        <v>0</v>
      </c>
      <c r="F75" s="120">
        <f t="shared" si="7"/>
        <v>0</v>
      </c>
      <c r="G75" s="88"/>
    </row>
    <row r="76" spans="1:7" x14ac:dyDescent="0.25">
      <c r="A76" s="86" t="s">
        <v>119</v>
      </c>
      <c r="B76" s="122">
        <v>484962.67595560307</v>
      </c>
      <c r="C76" s="123">
        <f t="shared" si="5"/>
        <v>6.9788397437084751E-4</v>
      </c>
      <c r="D76" s="120">
        <f t="shared" si="6"/>
        <v>-2916.965886313088</v>
      </c>
      <c r="E76" s="237">
        <v>0</v>
      </c>
      <c r="F76" s="120">
        <f t="shared" si="7"/>
        <v>0</v>
      </c>
      <c r="G76" s="88"/>
    </row>
    <row r="77" spans="1:7" x14ac:dyDescent="0.25">
      <c r="A77" s="86" t="s">
        <v>71</v>
      </c>
      <c r="B77" s="122">
        <v>101222865.95621783</v>
      </c>
      <c r="C77" s="123">
        <f t="shared" si="5"/>
        <v>0.14566443871486701</v>
      </c>
      <c r="D77" s="120">
        <f t="shared" si="6"/>
        <v>-608837.8787652523</v>
      </c>
      <c r="E77" s="237">
        <v>6.6548046661184135E-2</v>
      </c>
      <c r="F77" s="120">
        <f t="shared" si="7"/>
        <v>-40516.971565166379</v>
      </c>
      <c r="G77" s="88"/>
    </row>
    <row r="78" spans="1:7" x14ac:dyDescent="0.25">
      <c r="A78" s="86" t="s">
        <v>120</v>
      </c>
      <c r="B78" s="122">
        <v>507733.63108115114</v>
      </c>
      <c r="C78" s="123">
        <f t="shared" si="5"/>
        <v>7.3065244388641182E-4</v>
      </c>
      <c r="D78" s="120">
        <f t="shared" si="6"/>
        <v>-3053.9292086329083</v>
      </c>
      <c r="E78" s="237">
        <v>0</v>
      </c>
      <c r="F78" s="120">
        <f t="shared" si="7"/>
        <v>0</v>
      </c>
      <c r="G78" s="88"/>
    </row>
    <row r="79" spans="1:7" x14ac:dyDescent="0.25">
      <c r="A79" s="86" t="s">
        <v>121</v>
      </c>
      <c r="B79" s="172">
        <v>414777.8111685231</v>
      </c>
      <c r="C79" s="123">
        <f t="shared" si="5"/>
        <v>5.968846711115344E-4</v>
      </c>
      <c r="D79" s="120">
        <f t="shared" si="6"/>
        <v>-2494.8161695003428</v>
      </c>
      <c r="E79" s="237">
        <v>1</v>
      </c>
      <c r="F79" s="120">
        <f t="shared" si="7"/>
        <v>-2494.8161695003428</v>
      </c>
      <c r="G79" s="88"/>
    </row>
    <row r="80" spans="1:7" x14ac:dyDescent="0.25">
      <c r="A80" s="86" t="s">
        <v>320</v>
      </c>
      <c r="B80" s="172">
        <v>61606.268722206303</v>
      </c>
      <c r="C80" s="123">
        <f t="shared" si="5"/>
        <v>8.8654302266238212E-5</v>
      </c>
      <c r="D80" s="120">
        <f t="shared" si="6"/>
        <v>-370.5509581569616</v>
      </c>
      <c r="E80" s="237">
        <v>0</v>
      </c>
      <c r="F80" s="120">
        <f t="shared" si="7"/>
        <v>0</v>
      </c>
      <c r="G80" s="88"/>
    </row>
    <row r="81" spans="1:7" x14ac:dyDescent="0.25">
      <c r="A81" s="86" t="s">
        <v>167</v>
      </c>
      <c r="B81" s="172">
        <v>920416.90510690771</v>
      </c>
      <c r="C81" s="123">
        <f t="shared" si="5"/>
        <v>1.3245229780795105E-3</v>
      </c>
      <c r="D81" s="120">
        <f t="shared" si="6"/>
        <v>-5536.1471026452946</v>
      </c>
      <c r="E81" s="237">
        <v>0</v>
      </c>
      <c r="F81" s="120">
        <f t="shared" si="7"/>
        <v>0</v>
      </c>
      <c r="G81" s="88"/>
    </row>
    <row r="82" spans="1:7" x14ac:dyDescent="0.25">
      <c r="A82" s="86" t="s">
        <v>321</v>
      </c>
      <c r="B82" s="172">
        <v>-3709.8577847316133</v>
      </c>
      <c r="C82" s="123">
        <f t="shared" si="5"/>
        <v>-5.3386588773197592E-6</v>
      </c>
      <c r="D82" s="120">
        <f t="shared" si="6"/>
        <v>22.314147330640839</v>
      </c>
      <c r="E82" s="237">
        <v>0</v>
      </c>
      <c r="F82" s="120">
        <f t="shared" si="7"/>
        <v>0</v>
      </c>
      <c r="G82" s="88"/>
    </row>
    <row r="83" spans="1:7" ht="6.75" customHeight="1" x14ac:dyDescent="0.25">
      <c r="A83" s="121"/>
      <c r="B83" s="125"/>
      <c r="C83" s="126"/>
      <c r="D83" s="100"/>
      <c r="E83" s="119"/>
      <c r="F83" s="100"/>
      <c r="G83" s="88"/>
    </row>
    <row r="84" spans="1:7" ht="6.75" customHeight="1" x14ac:dyDescent="0.25">
      <c r="A84" s="121"/>
      <c r="B84" s="127"/>
      <c r="C84" s="128"/>
      <c r="D84" s="100"/>
      <c r="E84" s="101"/>
      <c r="F84" s="100"/>
      <c r="G84" s="88"/>
    </row>
    <row r="85" spans="1:7" x14ac:dyDescent="0.25">
      <c r="A85" s="129" t="s">
        <v>122</v>
      </c>
      <c r="B85" s="130">
        <f>SUM(B8:B82)</f>
        <v>473221715.10178638</v>
      </c>
      <c r="C85" s="131">
        <f>SUM(C8:C82)</f>
        <v>0.68098818252986026</v>
      </c>
      <c r="D85" s="130">
        <f>SUM(D8:D82)</f>
        <v>-2846346.0551773491</v>
      </c>
      <c r="E85" s="101"/>
      <c r="F85" s="130">
        <f>SUM(F8:F84)</f>
        <v>-178462.3927208246</v>
      </c>
      <c r="G85" s="88"/>
    </row>
    <row r="86" spans="1:7" ht="8.25" customHeight="1" x14ac:dyDescent="0.25">
      <c r="A86" s="121"/>
      <c r="B86" s="127"/>
      <c r="C86" s="128"/>
      <c r="D86" s="100"/>
      <c r="E86" s="101"/>
      <c r="F86" s="100"/>
      <c r="G86" s="88"/>
    </row>
    <row r="87" spans="1:7" x14ac:dyDescent="0.25">
      <c r="A87" s="121" t="s">
        <v>168</v>
      </c>
      <c r="B87" s="124">
        <v>221682730</v>
      </c>
      <c r="C87" s="126">
        <f>B87/B89</f>
        <v>0.31901181747014001</v>
      </c>
      <c r="D87" s="120">
        <f>C87*$D$89</f>
        <v>-1333382.9448226509</v>
      </c>
      <c r="E87" s="101"/>
      <c r="F87" s="100"/>
      <c r="G87" s="88"/>
    </row>
    <row r="88" spans="1:7" ht="7.5" customHeight="1" x14ac:dyDescent="0.25">
      <c r="A88" s="121"/>
      <c r="B88" s="127"/>
      <c r="C88" s="128"/>
      <c r="D88" s="100"/>
      <c r="E88" s="101"/>
      <c r="F88" s="100"/>
      <c r="G88" s="88"/>
    </row>
    <row r="89" spans="1:7" x14ac:dyDescent="0.25">
      <c r="A89" s="132" t="s">
        <v>4</v>
      </c>
      <c r="B89" s="133">
        <f>B85+B87</f>
        <v>694904445.10178638</v>
      </c>
      <c r="C89" s="134">
        <f>C85+C87</f>
        <v>1.0000000000000002</v>
      </c>
      <c r="D89" s="133">
        <f>Sch10p1!I20</f>
        <v>-4179729</v>
      </c>
      <c r="E89" s="101"/>
      <c r="F89" s="100"/>
      <c r="G89" s="88"/>
    </row>
    <row r="90" spans="1:7" x14ac:dyDescent="0.25">
      <c r="A90" s="97"/>
      <c r="B90" s="98"/>
      <c r="C90" s="99"/>
      <c r="D90" s="100"/>
      <c r="E90" s="101"/>
      <c r="F90" s="100"/>
      <c r="G90" s="88"/>
    </row>
    <row r="91" spans="1:7" x14ac:dyDescent="0.25">
      <c r="A91" s="97"/>
      <c r="B91" s="98"/>
      <c r="C91" s="99"/>
      <c r="D91" s="100"/>
      <c r="E91" s="101"/>
      <c r="F91" s="100"/>
      <c r="G91" s="88"/>
    </row>
    <row r="92" spans="1:7" x14ac:dyDescent="0.25">
      <c r="A92" s="97"/>
      <c r="B92" s="98"/>
      <c r="C92" s="99"/>
      <c r="D92" s="100"/>
      <c r="E92" s="101"/>
      <c r="F92" s="100"/>
      <c r="G92" s="88"/>
    </row>
    <row r="93" spans="1:7" x14ac:dyDescent="0.25">
      <c r="A93" s="97"/>
      <c r="B93" s="98"/>
      <c r="C93" s="99"/>
      <c r="D93" s="100"/>
      <c r="E93" s="101"/>
      <c r="F93" s="100"/>
      <c r="G93" s="88"/>
    </row>
    <row r="94" spans="1:7" x14ac:dyDescent="0.25">
      <c r="A94" s="97"/>
      <c r="B94" s="98"/>
      <c r="C94" s="99"/>
      <c r="D94" s="100"/>
      <c r="E94" s="101"/>
      <c r="F94" s="100"/>
      <c r="G94" s="88"/>
    </row>
    <row r="95" spans="1:7" x14ac:dyDescent="0.25">
      <c r="A95" s="97"/>
      <c r="B95" s="98"/>
      <c r="C95" s="99"/>
      <c r="D95" s="100"/>
      <c r="E95" s="101"/>
      <c r="F95" s="100"/>
      <c r="G95" s="88"/>
    </row>
    <row r="96" spans="1:7" x14ac:dyDescent="0.25">
      <c r="A96" s="97"/>
      <c r="B96" s="98"/>
      <c r="C96" s="99"/>
      <c r="D96" s="100"/>
      <c r="E96" s="101"/>
      <c r="F96" s="100"/>
      <c r="G96" s="88"/>
    </row>
    <row r="97" spans="1:7" x14ac:dyDescent="0.25">
      <c r="A97" s="97"/>
      <c r="B97" s="98"/>
      <c r="C97" s="99"/>
      <c r="D97" s="100"/>
      <c r="E97" s="101"/>
      <c r="F97" s="100"/>
      <c r="G97" s="88"/>
    </row>
    <row r="98" spans="1:7" x14ac:dyDescent="0.25">
      <c r="A98" s="97"/>
      <c r="B98" s="98"/>
      <c r="C98" s="99"/>
      <c r="D98" s="100"/>
      <c r="E98" s="101"/>
      <c r="F98" s="100"/>
      <c r="G98" s="88"/>
    </row>
    <row r="99" spans="1:7" x14ac:dyDescent="0.25">
      <c r="A99" s="97"/>
      <c r="B99" s="98"/>
      <c r="C99" s="99"/>
      <c r="D99" s="100"/>
      <c r="E99" s="101"/>
      <c r="F99" s="100"/>
      <c r="G99" s="88"/>
    </row>
    <row r="100" spans="1:7" x14ac:dyDescent="0.25">
      <c r="A100" s="97"/>
      <c r="B100" s="98"/>
      <c r="C100" s="99"/>
      <c r="D100" s="100"/>
      <c r="E100" s="101"/>
      <c r="F100" s="100"/>
      <c r="G100" s="88"/>
    </row>
    <row r="101" spans="1:7" x14ac:dyDescent="0.25">
      <c r="A101" s="97"/>
      <c r="B101" s="98"/>
      <c r="C101" s="99"/>
      <c r="D101" s="100"/>
      <c r="E101" s="101"/>
      <c r="F101" s="100"/>
      <c r="G101" s="88"/>
    </row>
    <row r="102" spans="1:7" x14ac:dyDescent="0.25">
      <c r="A102" s="97"/>
      <c r="B102" s="98"/>
      <c r="C102" s="99"/>
      <c r="D102" s="100"/>
      <c r="E102" s="101"/>
      <c r="F102" s="100"/>
      <c r="G102" s="88"/>
    </row>
    <row r="103" spans="1:7" x14ac:dyDescent="0.25">
      <c r="A103" s="97"/>
      <c r="B103" s="98"/>
      <c r="C103" s="99"/>
      <c r="D103" s="100"/>
      <c r="E103" s="101"/>
      <c r="F103" s="100"/>
      <c r="G103" s="88"/>
    </row>
    <row r="104" spans="1:7" x14ac:dyDescent="0.25">
      <c r="A104" s="97"/>
      <c r="B104" s="98"/>
      <c r="C104" s="99"/>
      <c r="D104" s="100"/>
      <c r="E104" s="101"/>
      <c r="F104" s="100"/>
      <c r="G104" s="88"/>
    </row>
    <row r="105" spans="1:7" x14ac:dyDescent="0.25">
      <c r="A105" s="97"/>
      <c r="B105" s="98"/>
      <c r="C105" s="99"/>
      <c r="D105" s="100"/>
      <c r="E105" s="101"/>
      <c r="F105" s="100"/>
      <c r="G105" s="88"/>
    </row>
    <row r="106" spans="1:7" x14ac:dyDescent="0.25">
      <c r="A106" s="97"/>
      <c r="B106" s="98"/>
      <c r="C106" s="99"/>
      <c r="D106" s="100"/>
      <c r="E106" s="101"/>
      <c r="F106" s="100"/>
      <c r="G106" s="88"/>
    </row>
    <row r="107" spans="1:7" x14ac:dyDescent="0.25">
      <c r="A107" s="97"/>
      <c r="B107" s="98"/>
      <c r="C107" s="99"/>
      <c r="D107" s="100"/>
      <c r="E107" s="101"/>
      <c r="F107" s="100"/>
      <c r="G107" s="88"/>
    </row>
    <row r="108" spans="1:7" x14ac:dyDescent="0.25">
      <c r="A108" s="97"/>
      <c r="B108" s="98"/>
      <c r="C108" s="99"/>
      <c r="D108" s="100"/>
      <c r="E108" s="101"/>
      <c r="F108" s="100"/>
      <c r="G108" s="88"/>
    </row>
    <row r="109" spans="1:7" x14ac:dyDescent="0.25">
      <c r="A109" s="97"/>
      <c r="B109" s="98"/>
      <c r="C109" s="99"/>
      <c r="D109" s="100"/>
      <c r="E109" s="101"/>
      <c r="F109" s="100"/>
      <c r="G109" s="88"/>
    </row>
    <row r="110" spans="1:7" x14ac:dyDescent="0.25">
      <c r="A110" s="97"/>
      <c r="B110" s="98"/>
      <c r="C110" s="99"/>
      <c r="D110" s="100"/>
      <c r="E110" s="101"/>
      <c r="F110" s="100"/>
      <c r="G110" s="88"/>
    </row>
    <row r="111" spans="1:7" x14ac:dyDescent="0.25">
      <c r="A111" s="97"/>
      <c r="B111" s="98"/>
      <c r="C111" s="99"/>
      <c r="D111" s="100"/>
      <c r="E111" s="101"/>
      <c r="F111" s="100"/>
      <c r="G111" s="88"/>
    </row>
    <row r="112" spans="1:7" x14ac:dyDescent="0.25">
      <c r="A112" s="97"/>
      <c r="B112" s="98"/>
      <c r="C112" s="99"/>
      <c r="D112" s="100"/>
      <c r="E112" s="101"/>
      <c r="F112" s="100"/>
      <c r="G112" s="88"/>
    </row>
    <row r="113" spans="1:7" x14ac:dyDescent="0.25">
      <c r="A113" s="97"/>
      <c r="B113" s="98"/>
      <c r="C113" s="99"/>
      <c r="D113" s="100"/>
      <c r="E113" s="101"/>
      <c r="F113" s="100"/>
      <c r="G113" s="88"/>
    </row>
    <row r="114" spans="1:7" x14ac:dyDescent="0.25">
      <c r="A114" s="97"/>
      <c r="B114" s="98"/>
      <c r="C114" s="99"/>
      <c r="D114" s="100"/>
      <c r="E114" s="101"/>
      <c r="F114" s="100"/>
      <c r="G114" s="88"/>
    </row>
    <row r="115" spans="1:7" x14ac:dyDescent="0.25">
      <c r="A115" s="97"/>
      <c r="B115" s="98"/>
      <c r="C115" s="99"/>
      <c r="D115" s="100"/>
      <c r="E115" s="101"/>
      <c r="F115" s="100"/>
      <c r="G115" s="88"/>
    </row>
    <row r="116" spans="1:7" x14ac:dyDescent="0.25">
      <c r="A116" s="97"/>
      <c r="B116" s="98"/>
      <c r="C116" s="99"/>
      <c r="D116" s="100"/>
      <c r="E116" s="101"/>
      <c r="F116" s="100"/>
      <c r="G116" s="88"/>
    </row>
    <row r="117" spans="1:7" x14ac:dyDescent="0.25">
      <c r="A117" s="97"/>
      <c r="B117" s="98"/>
      <c r="C117" s="99"/>
      <c r="D117" s="100"/>
      <c r="E117" s="101"/>
      <c r="F117" s="100"/>
      <c r="G117" s="88"/>
    </row>
    <row r="118" spans="1:7" x14ac:dyDescent="0.25">
      <c r="A118" s="97"/>
      <c r="B118" s="98"/>
      <c r="C118" s="99"/>
      <c r="D118" s="100"/>
      <c r="E118" s="101"/>
      <c r="F118" s="100"/>
      <c r="G118" s="88"/>
    </row>
    <row r="119" spans="1:7" x14ac:dyDescent="0.25">
      <c r="A119" s="97"/>
      <c r="B119" s="98"/>
      <c r="C119" s="99"/>
      <c r="D119" s="100"/>
      <c r="E119" s="101"/>
      <c r="F119" s="100"/>
      <c r="G119" s="88"/>
    </row>
    <row r="120" spans="1:7" x14ac:dyDescent="0.25">
      <c r="A120" s="97"/>
      <c r="B120" s="98"/>
      <c r="C120" s="99"/>
      <c r="D120" s="100"/>
      <c r="E120" s="101"/>
      <c r="F120" s="100"/>
      <c r="G120" s="88"/>
    </row>
    <row r="121" spans="1:7" x14ac:dyDescent="0.25">
      <c r="A121" s="97"/>
      <c r="B121" s="98"/>
      <c r="C121" s="99"/>
      <c r="D121" s="100"/>
      <c r="E121" s="101"/>
      <c r="F121" s="100"/>
      <c r="G121" s="88"/>
    </row>
    <row r="122" spans="1:7" x14ac:dyDescent="0.25">
      <c r="A122" s="97"/>
      <c r="B122" s="98"/>
      <c r="C122" s="99"/>
      <c r="D122" s="100"/>
      <c r="E122" s="101"/>
      <c r="F122" s="100"/>
      <c r="G122" s="88"/>
    </row>
    <row r="123" spans="1:7" x14ac:dyDescent="0.25">
      <c r="A123" s="97"/>
      <c r="B123" s="98"/>
      <c r="C123" s="99"/>
      <c r="D123" s="100"/>
      <c r="E123" s="101"/>
      <c r="F123" s="100"/>
      <c r="G123" s="88"/>
    </row>
    <row r="124" spans="1:7" x14ac:dyDescent="0.25">
      <c r="A124" s="97"/>
      <c r="B124" s="98"/>
      <c r="C124" s="99"/>
      <c r="D124" s="100"/>
      <c r="E124" s="101"/>
      <c r="F124" s="100"/>
      <c r="G124" s="88"/>
    </row>
    <row r="125" spans="1:7" x14ac:dyDescent="0.25">
      <c r="A125" s="97"/>
      <c r="B125" s="98"/>
      <c r="C125" s="99"/>
      <c r="D125" s="100"/>
      <c r="E125" s="101"/>
      <c r="F125" s="100"/>
      <c r="G125" s="88"/>
    </row>
    <row r="126" spans="1:7" x14ac:dyDescent="0.25">
      <c r="A126" s="97"/>
      <c r="B126" s="98"/>
      <c r="C126" s="99"/>
      <c r="D126" s="100"/>
      <c r="E126" s="101"/>
      <c r="F126" s="100"/>
      <c r="G126" s="88"/>
    </row>
    <row r="127" spans="1:7" x14ac:dyDescent="0.25">
      <c r="A127" s="97"/>
      <c r="B127" s="98"/>
      <c r="C127" s="99"/>
      <c r="D127" s="100"/>
      <c r="E127" s="101"/>
      <c r="F127" s="100"/>
      <c r="G127" s="88"/>
    </row>
    <row r="128" spans="1:7" x14ac:dyDescent="0.25">
      <c r="A128" s="97"/>
      <c r="B128" s="98"/>
      <c r="C128" s="99"/>
      <c r="D128" s="100"/>
      <c r="E128" s="101"/>
      <c r="F128" s="100"/>
      <c r="G128" s="88"/>
    </row>
    <row r="129" spans="1:7" x14ac:dyDescent="0.25">
      <c r="A129" s="97"/>
      <c r="B129" s="98"/>
      <c r="C129" s="99"/>
      <c r="D129" s="100"/>
      <c r="E129" s="101"/>
      <c r="F129" s="100"/>
      <c r="G129" s="88"/>
    </row>
    <row r="130" spans="1:7" x14ac:dyDescent="0.25">
      <c r="A130" s="97"/>
      <c r="B130" s="98"/>
      <c r="C130" s="99"/>
      <c r="D130" s="100"/>
      <c r="E130" s="101"/>
      <c r="F130" s="100"/>
      <c r="G130" s="88"/>
    </row>
    <row r="131" spans="1:7" x14ac:dyDescent="0.25">
      <c r="A131" s="97"/>
      <c r="B131" s="98"/>
      <c r="C131" s="99"/>
      <c r="D131" s="100"/>
      <c r="E131" s="101"/>
      <c r="F131" s="100"/>
      <c r="G131" s="88"/>
    </row>
    <row r="132" spans="1:7" x14ac:dyDescent="0.25">
      <c r="A132" s="97"/>
      <c r="B132" s="98"/>
      <c r="C132" s="99"/>
      <c r="D132" s="100"/>
      <c r="E132" s="101"/>
      <c r="F132" s="100"/>
      <c r="G132" s="88"/>
    </row>
    <row r="133" spans="1:7" x14ac:dyDescent="0.25">
      <c r="A133" s="97"/>
      <c r="B133" s="98"/>
      <c r="C133" s="99"/>
      <c r="D133" s="100"/>
      <c r="E133" s="101"/>
      <c r="F133" s="100"/>
      <c r="G133" s="88"/>
    </row>
    <row r="134" spans="1:7" x14ac:dyDescent="0.25">
      <c r="A134" s="97"/>
      <c r="B134" s="98"/>
      <c r="C134" s="99"/>
      <c r="D134" s="100"/>
      <c r="E134" s="101"/>
      <c r="F134" s="100"/>
      <c r="G134" s="88"/>
    </row>
    <row r="135" spans="1:7" x14ac:dyDescent="0.25">
      <c r="A135" s="97"/>
      <c r="B135" s="98"/>
      <c r="C135" s="99"/>
      <c r="D135" s="100"/>
      <c r="E135" s="101"/>
      <c r="F135" s="100"/>
      <c r="G135" s="88"/>
    </row>
    <row r="136" spans="1:7" x14ac:dyDescent="0.25">
      <c r="A136" s="97"/>
      <c r="B136" s="98"/>
      <c r="C136" s="99"/>
      <c r="D136" s="100"/>
      <c r="E136" s="101"/>
      <c r="F136" s="100"/>
      <c r="G136" s="88"/>
    </row>
    <row r="137" spans="1:7" x14ac:dyDescent="0.25">
      <c r="A137" s="97"/>
      <c r="B137" s="98"/>
      <c r="C137" s="99"/>
      <c r="D137" s="100"/>
      <c r="E137" s="101"/>
      <c r="F137" s="100"/>
      <c r="G137" s="88"/>
    </row>
    <row r="138" spans="1:7" x14ac:dyDescent="0.25">
      <c r="A138" s="97"/>
      <c r="B138" s="98"/>
      <c r="C138" s="99"/>
      <c r="D138" s="100"/>
      <c r="E138" s="101"/>
      <c r="F138" s="100"/>
      <c r="G138" s="88"/>
    </row>
    <row r="139" spans="1:7" x14ac:dyDescent="0.25">
      <c r="A139" s="97"/>
      <c r="B139" s="98"/>
      <c r="C139" s="99"/>
      <c r="D139" s="100"/>
      <c r="E139" s="101"/>
      <c r="F139" s="100"/>
      <c r="G139" s="88"/>
    </row>
    <row r="140" spans="1:7" x14ac:dyDescent="0.25">
      <c r="A140" s="97"/>
      <c r="B140" s="98"/>
      <c r="C140" s="99"/>
      <c r="D140" s="100"/>
      <c r="E140" s="101"/>
      <c r="F140" s="100"/>
      <c r="G140" s="88"/>
    </row>
    <row r="141" spans="1:7" x14ac:dyDescent="0.25">
      <c r="A141" s="97"/>
      <c r="B141" s="98"/>
      <c r="C141" s="99"/>
      <c r="D141" s="100"/>
      <c r="E141" s="101"/>
      <c r="F141" s="100"/>
      <c r="G141" s="88"/>
    </row>
    <row r="142" spans="1:7" x14ac:dyDescent="0.25">
      <c r="A142" s="97"/>
      <c r="B142" s="98"/>
      <c r="C142" s="99"/>
      <c r="D142" s="100"/>
      <c r="E142" s="101"/>
      <c r="F142" s="100"/>
      <c r="G142" s="88"/>
    </row>
    <row r="143" spans="1:7" x14ac:dyDescent="0.25">
      <c r="A143" s="97"/>
      <c r="B143" s="98"/>
      <c r="C143" s="99"/>
      <c r="D143" s="100"/>
      <c r="E143" s="101"/>
      <c r="F143" s="100"/>
      <c r="G143" s="88"/>
    </row>
    <row r="144" spans="1:7" x14ac:dyDescent="0.25">
      <c r="A144" s="97"/>
      <c r="B144" s="98"/>
      <c r="C144" s="99"/>
      <c r="D144" s="100"/>
      <c r="E144" s="101"/>
      <c r="F144" s="100"/>
      <c r="G144" s="88"/>
    </row>
    <row r="145" spans="1:7" x14ac:dyDescent="0.25">
      <c r="A145" s="97"/>
      <c r="B145" s="98"/>
      <c r="C145" s="99"/>
      <c r="D145" s="100"/>
      <c r="E145" s="101"/>
      <c r="F145" s="100"/>
      <c r="G145" s="88"/>
    </row>
    <row r="146" spans="1:7" x14ac:dyDescent="0.25">
      <c r="A146" s="97"/>
      <c r="B146" s="98"/>
      <c r="C146" s="99"/>
      <c r="D146" s="100"/>
      <c r="E146" s="101"/>
      <c r="F146" s="100"/>
      <c r="G146" s="88"/>
    </row>
    <row r="147" spans="1:7" x14ac:dyDescent="0.25">
      <c r="A147" s="97"/>
      <c r="B147" s="98"/>
      <c r="C147" s="99"/>
      <c r="D147" s="100"/>
      <c r="E147" s="101"/>
      <c r="F147" s="100"/>
      <c r="G147" s="88"/>
    </row>
    <row r="148" spans="1:7" x14ac:dyDescent="0.25">
      <c r="A148" s="97"/>
      <c r="B148" s="98"/>
      <c r="C148" s="99"/>
      <c r="D148" s="100"/>
      <c r="E148" s="101"/>
      <c r="F148" s="100"/>
      <c r="G148" s="88"/>
    </row>
    <row r="149" spans="1:7" x14ac:dyDescent="0.25">
      <c r="A149" s="97"/>
      <c r="B149" s="98"/>
      <c r="C149" s="99"/>
      <c r="D149" s="100"/>
      <c r="E149" s="101"/>
      <c r="F149" s="100"/>
      <c r="G149" s="88"/>
    </row>
    <row r="150" spans="1:7" x14ac:dyDescent="0.25">
      <c r="A150" s="97"/>
      <c r="B150" s="98"/>
      <c r="C150" s="99"/>
      <c r="D150" s="100"/>
      <c r="E150" s="101"/>
      <c r="F150" s="100"/>
      <c r="G150" s="88"/>
    </row>
    <row r="151" spans="1:7" x14ac:dyDescent="0.25">
      <c r="A151" s="97"/>
      <c r="B151" s="98"/>
      <c r="C151" s="99"/>
      <c r="D151" s="100"/>
      <c r="E151" s="101"/>
      <c r="F151" s="100"/>
      <c r="G151" s="88"/>
    </row>
    <row r="152" spans="1:7" x14ac:dyDescent="0.25">
      <c r="A152" s="97"/>
      <c r="B152" s="98"/>
      <c r="C152" s="99"/>
      <c r="D152" s="100"/>
      <c r="E152" s="101"/>
      <c r="F152" s="100"/>
      <c r="G152" s="88"/>
    </row>
    <row r="153" spans="1:7" x14ac:dyDescent="0.25">
      <c r="A153" s="97"/>
      <c r="B153" s="98"/>
      <c r="C153" s="99"/>
      <c r="D153" s="100"/>
      <c r="E153" s="101"/>
      <c r="F153" s="100"/>
      <c r="G153" s="88"/>
    </row>
    <row r="154" spans="1:7" x14ac:dyDescent="0.25">
      <c r="A154" s="97"/>
      <c r="B154" s="98"/>
      <c r="C154" s="99"/>
      <c r="D154" s="100"/>
      <c r="E154" s="101"/>
      <c r="F154" s="100"/>
      <c r="G154" s="88"/>
    </row>
    <row r="155" spans="1:7" x14ac:dyDescent="0.25">
      <c r="A155" s="97"/>
      <c r="B155" s="98"/>
      <c r="C155" s="99"/>
      <c r="D155" s="100"/>
      <c r="E155" s="101"/>
      <c r="F155" s="100"/>
      <c r="G155" s="88"/>
    </row>
    <row r="156" spans="1:7" x14ac:dyDescent="0.25">
      <c r="A156" s="97"/>
      <c r="B156" s="98"/>
      <c r="C156" s="99"/>
      <c r="D156" s="100"/>
      <c r="E156" s="101"/>
      <c r="F156" s="100"/>
      <c r="G156" s="88"/>
    </row>
    <row r="157" spans="1:7" x14ac:dyDescent="0.25">
      <c r="A157" s="97"/>
      <c r="B157" s="98"/>
      <c r="C157" s="99"/>
      <c r="D157" s="100"/>
      <c r="E157" s="101"/>
      <c r="F157" s="100"/>
      <c r="G157" s="88"/>
    </row>
    <row r="158" spans="1:7" x14ac:dyDescent="0.25">
      <c r="A158" s="97"/>
      <c r="B158" s="98"/>
      <c r="C158" s="99"/>
      <c r="D158" s="100"/>
      <c r="E158" s="101"/>
      <c r="F158" s="100"/>
      <c r="G158" s="88"/>
    </row>
    <row r="159" spans="1:7" x14ac:dyDescent="0.25">
      <c r="A159" s="97"/>
      <c r="B159" s="98"/>
      <c r="C159" s="99"/>
      <c r="D159" s="100"/>
      <c r="E159" s="101"/>
      <c r="F159" s="100"/>
      <c r="G159" s="88"/>
    </row>
    <row r="160" spans="1:7" x14ac:dyDescent="0.25">
      <c r="A160" s="97"/>
      <c r="B160" s="98"/>
      <c r="C160" s="99"/>
      <c r="D160" s="100"/>
      <c r="E160" s="101"/>
      <c r="F160" s="100"/>
      <c r="G160" s="88"/>
    </row>
    <row r="161" spans="1:7" x14ac:dyDescent="0.25">
      <c r="A161" s="97"/>
      <c r="B161" s="98"/>
      <c r="C161" s="99"/>
      <c r="D161" s="100"/>
      <c r="E161" s="101"/>
      <c r="F161" s="100"/>
      <c r="G161" s="88"/>
    </row>
    <row r="162" spans="1:7" x14ac:dyDescent="0.25">
      <c r="A162" s="97"/>
      <c r="B162" s="98"/>
      <c r="C162" s="99"/>
      <c r="D162" s="100"/>
      <c r="E162" s="101"/>
      <c r="F162" s="100"/>
      <c r="G162" s="88"/>
    </row>
    <row r="163" spans="1:7" x14ac:dyDescent="0.25">
      <c r="A163" s="97"/>
      <c r="B163" s="98"/>
      <c r="C163" s="99"/>
      <c r="D163" s="100"/>
      <c r="E163" s="101"/>
      <c r="F163" s="100"/>
      <c r="G163" s="88"/>
    </row>
    <row r="164" spans="1:7" x14ac:dyDescent="0.25">
      <c r="A164" s="97"/>
      <c r="B164" s="98"/>
      <c r="C164" s="99"/>
      <c r="D164" s="100"/>
      <c r="E164" s="101"/>
      <c r="F164" s="100"/>
      <c r="G164" s="88"/>
    </row>
    <row r="165" spans="1:7" x14ac:dyDescent="0.25">
      <c r="A165" s="97"/>
      <c r="B165" s="98"/>
      <c r="C165" s="99"/>
      <c r="D165" s="100"/>
      <c r="E165" s="101"/>
      <c r="F165" s="100"/>
      <c r="G165" s="88"/>
    </row>
    <row r="166" spans="1:7" x14ac:dyDescent="0.25">
      <c r="A166" s="97"/>
      <c r="B166" s="98"/>
      <c r="C166" s="99"/>
      <c r="D166" s="100"/>
      <c r="E166" s="101"/>
      <c r="F166" s="100"/>
      <c r="G166" s="88"/>
    </row>
    <row r="167" spans="1:7" x14ac:dyDescent="0.25">
      <c r="A167" s="97"/>
      <c r="B167" s="98"/>
      <c r="C167" s="99"/>
      <c r="D167" s="100"/>
      <c r="E167" s="101"/>
      <c r="F167" s="100"/>
      <c r="G167" s="88"/>
    </row>
    <row r="168" spans="1:7" x14ac:dyDescent="0.25">
      <c r="A168" s="97"/>
      <c r="B168" s="98"/>
      <c r="C168" s="99"/>
      <c r="D168" s="100"/>
      <c r="E168" s="101"/>
      <c r="F168" s="100"/>
      <c r="G168" s="88"/>
    </row>
    <row r="169" spans="1:7" x14ac:dyDescent="0.25">
      <c r="A169" s="97"/>
      <c r="B169" s="98"/>
      <c r="C169" s="99"/>
      <c r="D169" s="100"/>
      <c r="E169" s="101"/>
      <c r="F169" s="100"/>
      <c r="G169" s="88"/>
    </row>
    <row r="170" spans="1:7" x14ac:dyDescent="0.25">
      <c r="A170" s="97"/>
      <c r="B170" s="98"/>
      <c r="C170" s="99"/>
      <c r="D170" s="100"/>
      <c r="E170" s="101"/>
      <c r="F170" s="100"/>
      <c r="G170" s="88"/>
    </row>
    <row r="171" spans="1:7" x14ac:dyDescent="0.25">
      <c r="A171" s="97"/>
      <c r="B171" s="98"/>
      <c r="C171" s="99"/>
      <c r="D171" s="100"/>
      <c r="E171" s="101"/>
      <c r="F171" s="100"/>
      <c r="G171" s="88"/>
    </row>
    <row r="172" spans="1:7" x14ac:dyDescent="0.25">
      <c r="A172" s="97"/>
      <c r="B172" s="98"/>
      <c r="C172" s="99"/>
      <c r="D172" s="100"/>
      <c r="E172" s="101"/>
      <c r="F172" s="100"/>
      <c r="G172" s="88"/>
    </row>
    <row r="173" spans="1:7" x14ac:dyDescent="0.25">
      <c r="A173" s="97"/>
      <c r="B173" s="98"/>
      <c r="C173" s="99"/>
      <c r="D173" s="100"/>
      <c r="E173" s="101"/>
      <c r="F173" s="100"/>
      <c r="G173" s="88"/>
    </row>
    <row r="174" spans="1:7" x14ac:dyDescent="0.25">
      <c r="A174" s="97"/>
      <c r="B174" s="98"/>
      <c r="C174" s="99"/>
      <c r="D174" s="100"/>
      <c r="E174" s="101"/>
      <c r="F174" s="100"/>
      <c r="G174" s="88"/>
    </row>
    <row r="175" spans="1:7" x14ac:dyDescent="0.25">
      <c r="A175" s="97"/>
      <c r="B175" s="98"/>
      <c r="C175" s="99"/>
      <c r="D175" s="100"/>
      <c r="E175" s="101"/>
      <c r="F175" s="100"/>
      <c r="G175" s="88"/>
    </row>
    <row r="176" spans="1:7" x14ac:dyDescent="0.25">
      <c r="A176" s="97"/>
      <c r="B176" s="98"/>
      <c r="C176" s="99"/>
      <c r="D176" s="100"/>
      <c r="E176" s="101"/>
      <c r="F176" s="100"/>
      <c r="G176" s="88"/>
    </row>
    <row r="177" spans="1:7" x14ac:dyDescent="0.25">
      <c r="A177" s="97"/>
      <c r="B177" s="98"/>
      <c r="C177" s="99"/>
      <c r="D177" s="100"/>
      <c r="E177" s="101"/>
      <c r="F177" s="100"/>
      <c r="G177" s="88"/>
    </row>
    <row r="178" spans="1:7" x14ac:dyDescent="0.25">
      <c r="A178" s="97"/>
      <c r="B178" s="98"/>
      <c r="C178" s="99"/>
      <c r="D178" s="100"/>
      <c r="E178" s="101"/>
      <c r="F178" s="100"/>
      <c r="G178" s="88"/>
    </row>
    <row r="179" spans="1:7" x14ac:dyDescent="0.25">
      <c r="A179" s="97"/>
      <c r="B179" s="98"/>
      <c r="C179" s="99"/>
      <c r="D179" s="100"/>
      <c r="E179" s="101"/>
      <c r="F179" s="100"/>
      <c r="G179" s="88"/>
    </row>
    <row r="180" spans="1:7" x14ac:dyDescent="0.25">
      <c r="A180" s="97"/>
      <c r="B180" s="98"/>
      <c r="C180" s="99"/>
      <c r="D180" s="100"/>
      <c r="E180" s="101"/>
      <c r="F180" s="100"/>
      <c r="G180" s="88"/>
    </row>
    <row r="181" spans="1:7" x14ac:dyDescent="0.25">
      <c r="A181" s="97"/>
      <c r="B181" s="98"/>
      <c r="C181" s="99"/>
      <c r="D181" s="100"/>
      <c r="E181" s="101"/>
      <c r="F181" s="100"/>
      <c r="G181" s="88"/>
    </row>
    <row r="182" spans="1:7" x14ac:dyDescent="0.25">
      <c r="A182" s="97"/>
      <c r="B182" s="98"/>
      <c r="C182" s="99"/>
      <c r="D182" s="100"/>
      <c r="E182" s="101"/>
      <c r="F182" s="100"/>
      <c r="G182" s="88"/>
    </row>
    <row r="183" spans="1:7" x14ac:dyDescent="0.25">
      <c r="A183" s="97"/>
      <c r="B183" s="98"/>
      <c r="C183" s="99"/>
      <c r="D183" s="100"/>
      <c r="E183" s="101"/>
      <c r="F183" s="100"/>
      <c r="G183" s="88"/>
    </row>
    <row r="184" spans="1:7" x14ac:dyDescent="0.25">
      <c r="A184" s="97"/>
      <c r="B184" s="98"/>
      <c r="C184" s="99"/>
      <c r="D184" s="100"/>
      <c r="E184" s="101"/>
      <c r="F184" s="100"/>
      <c r="G184" s="88"/>
    </row>
    <row r="185" spans="1:7" x14ac:dyDescent="0.25">
      <c r="A185" s="97"/>
      <c r="B185" s="98"/>
      <c r="C185" s="99"/>
      <c r="D185" s="100"/>
      <c r="E185" s="101"/>
      <c r="F185" s="100"/>
      <c r="G185" s="88"/>
    </row>
    <row r="186" spans="1:7" x14ac:dyDescent="0.25">
      <c r="A186" s="97"/>
      <c r="B186" s="98"/>
      <c r="C186" s="99"/>
      <c r="D186" s="100"/>
      <c r="E186" s="101"/>
      <c r="F186" s="100"/>
      <c r="G186" s="88"/>
    </row>
    <row r="187" spans="1:7" x14ac:dyDescent="0.25">
      <c r="A187" s="97"/>
      <c r="B187" s="98"/>
      <c r="C187" s="99"/>
      <c r="D187" s="100"/>
      <c r="E187" s="101"/>
      <c r="F187" s="100"/>
      <c r="G187" s="88"/>
    </row>
    <row r="188" spans="1:7" x14ac:dyDescent="0.25">
      <c r="A188" s="97"/>
      <c r="B188" s="98"/>
      <c r="C188" s="99"/>
      <c r="D188" s="100"/>
      <c r="E188" s="101"/>
      <c r="F188" s="100"/>
      <c r="G188" s="88"/>
    </row>
    <row r="189" spans="1:7" x14ac:dyDescent="0.25">
      <c r="A189" s="97"/>
      <c r="B189" s="98"/>
      <c r="C189" s="99"/>
      <c r="D189" s="100"/>
      <c r="E189" s="101"/>
      <c r="F189" s="100"/>
      <c r="G189" s="88"/>
    </row>
    <row r="190" spans="1:7" x14ac:dyDescent="0.25">
      <c r="A190" s="97"/>
      <c r="B190" s="98"/>
      <c r="C190" s="99"/>
      <c r="D190" s="100"/>
      <c r="E190" s="101"/>
      <c r="F190" s="100"/>
      <c r="G190" s="88"/>
    </row>
    <row r="191" spans="1:7" x14ac:dyDescent="0.25">
      <c r="A191" s="97"/>
      <c r="B191" s="98"/>
      <c r="C191" s="99"/>
      <c r="D191" s="100"/>
      <c r="E191" s="101"/>
      <c r="F191" s="100"/>
      <c r="G191" s="88"/>
    </row>
    <row r="192" spans="1:7" x14ac:dyDescent="0.25">
      <c r="A192" s="97"/>
      <c r="B192" s="98"/>
      <c r="C192" s="99"/>
      <c r="D192" s="100"/>
      <c r="E192" s="101"/>
      <c r="F192" s="100"/>
      <c r="G192" s="88"/>
    </row>
    <row r="193" spans="1:7" x14ac:dyDescent="0.25">
      <c r="A193" s="97"/>
      <c r="B193" s="98"/>
      <c r="C193" s="99"/>
      <c r="D193" s="100"/>
      <c r="E193" s="101"/>
      <c r="F193" s="100"/>
      <c r="G193" s="88"/>
    </row>
    <row r="194" spans="1:7" x14ac:dyDescent="0.25">
      <c r="A194" s="97"/>
      <c r="B194" s="98"/>
      <c r="C194" s="99"/>
      <c r="D194" s="100"/>
      <c r="E194" s="101"/>
      <c r="F194" s="100"/>
      <c r="G194" s="88"/>
    </row>
    <row r="195" spans="1:7" x14ac:dyDescent="0.25">
      <c r="A195" s="97"/>
      <c r="B195" s="98"/>
      <c r="C195" s="99"/>
      <c r="D195" s="100"/>
      <c r="E195" s="101"/>
      <c r="F195" s="100"/>
      <c r="G195" s="88"/>
    </row>
    <row r="196" spans="1:7" x14ac:dyDescent="0.25">
      <c r="A196" s="97"/>
      <c r="B196" s="98"/>
      <c r="C196" s="99"/>
      <c r="D196" s="100"/>
      <c r="E196" s="101"/>
      <c r="F196" s="100"/>
      <c r="G196" s="88"/>
    </row>
    <row r="197" spans="1:7" x14ac:dyDescent="0.25">
      <c r="A197" s="97"/>
      <c r="B197" s="98"/>
      <c r="C197" s="99"/>
      <c r="D197" s="100"/>
      <c r="E197" s="101"/>
      <c r="F197" s="100"/>
      <c r="G197" s="88"/>
    </row>
    <row r="198" spans="1:7" x14ac:dyDescent="0.25">
      <c r="A198" s="97"/>
      <c r="B198" s="98"/>
      <c r="C198" s="99"/>
      <c r="D198" s="100"/>
      <c r="E198" s="101"/>
      <c r="F198" s="100"/>
      <c r="G198" s="88"/>
    </row>
    <row r="199" spans="1:7" x14ac:dyDescent="0.25">
      <c r="A199" s="97"/>
      <c r="B199" s="98"/>
      <c r="C199" s="99"/>
      <c r="D199" s="100"/>
      <c r="E199" s="101"/>
      <c r="F199" s="100"/>
      <c r="G199" s="88"/>
    </row>
    <row r="200" spans="1:7" x14ac:dyDescent="0.25">
      <c r="A200" s="97"/>
      <c r="B200" s="98"/>
      <c r="C200" s="99"/>
      <c r="D200" s="100"/>
      <c r="E200" s="101"/>
      <c r="F200" s="100"/>
      <c r="G200" s="88"/>
    </row>
    <row r="201" spans="1:7" x14ac:dyDescent="0.25">
      <c r="A201" s="97"/>
      <c r="B201" s="98"/>
      <c r="C201" s="99"/>
      <c r="D201" s="100"/>
      <c r="E201" s="101"/>
      <c r="F201" s="100"/>
      <c r="G201" s="88"/>
    </row>
    <row r="202" spans="1:7" x14ac:dyDescent="0.25">
      <c r="A202" s="97"/>
      <c r="B202" s="98"/>
      <c r="C202" s="99"/>
      <c r="D202" s="100"/>
      <c r="E202" s="101"/>
      <c r="F202" s="100"/>
      <c r="G202" s="88"/>
    </row>
    <row r="203" spans="1:7" x14ac:dyDescent="0.25">
      <c r="A203" s="97"/>
      <c r="B203" s="98"/>
      <c r="C203" s="99"/>
      <c r="D203" s="100"/>
      <c r="E203" s="101"/>
      <c r="F203" s="100"/>
      <c r="G203" s="88"/>
    </row>
    <row r="204" spans="1:7" x14ac:dyDescent="0.25">
      <c r="A204" s="97"/>
      <c r="B204" s="98"/>
      <c r="C204" s="99"/>
      <c r="D204" s="100"/>
      <c r="E204" s="101"/>
      <c r="F204" s="100"/>
      <c r="G204" s="88"/>
    </row>
    <row r="205" spans="1:7" x14ac:dyDescent="0.25">
      <c r="A205" s="97"/>
      <c r="B205" s="98"/>
      <c r="C205" s="99"/>
      <c r="D205" s="100"/>
      <c r="E205" s="101"/>
      <c r="F205" s="100"/>
      <c r="G205" s="88"/>
    </row>
    <row r="206" spans="1:7" x14ac:dyDescent="0.25">
      <c r="A206" s="97"/>
      <c r="B206" s="98"/>
      <c r="C206" s="99"/>
      <c r="D206" s="100"/>
      <c r="E206" s="101"/>
      <c r="F206" s="100"/>
      <c r="G206" s="88"/>
    </row>
    <row r="207" spans="1:7" x14ac:dyDescent="0.25">
      <c r="A207" s="97"/>
      <c r="B207" s="98"/>
      <c r="C207" s="99"/>
      <c r="D207" s="100"/>
      <c r="E207" s="101"/>
      <c r="F207" s="100"/>
      <c r="G207" s="88"/>
    </row>
    <row r="208" spans="1:7" x14ac:dyDescent="0.25">
      <c r="A208" s="97"/>
      <c r="B208" s="98"/>
      <c r="C208" s="99"/>
      <c r="D208" s="100"/>
      <c r="E208" s="101"/>
      <c r="F208" s="100"/>
      <c r="G208" s="88"/>
    </row>
    <row r="209" spans="1:7" x14ac:dyDescent="0.25">
      <c r="A209" s="97"/>
      <c r="B209" s="98"/>
      <c r="C209" s="99"/>
      <c r="D209" s="100"/>
      <c r="E209" s="101"/>
      <c r="F209" s="100"/>
      <c r="G209" s="88"/>
    </row>
    <row r="210" spans="1:7" x14ac:dyDescent="0.25">
      <c r="A210" s="102"/>
      <c r="B210" s="103"/>
      <c r="C210" s="99"/>
      <c r="D210" s="100"/>
      <c r="E210" s="101"/>
      <c r="F210" s="100"/>
      <c r="G210" s="88"/>
    </row>
    <row r="211" spans="1:7" x14ac:dyDescent="0.25">
      <c r="A211" s="97"/>
      <c r="B211" s="98"/>
      <c r="C211" s="99"/>
      <c r="D211" s="100"/>
      <c r="E211" s="101"/>
      <c r="F211" s="100"/>
      <c r="G211" s="88"/>
    </row>
    <row r="212" spans="1:7" x14ac:dyDescent="0.25">
      <c r="A212" s="97"/>
      <c r="B212" s="98"/>
      <c r="C212" s="99"/>
      <c r="D212" s="100"/>
      <c r="E212" s="101"/>
      <c r="F212" s="100"/>
      <c r="G212" s="88"/>
    </row>
    <row r="213" spans="1:7" x14ac:dyDescent="0.25">
      <c r="A213" s="97"/>
      <c r="B213" s="98"/>
      <c r="C213" s="99"/>
      <c r="D213" s="100"/>
      <c r="E213" s="101"/>
      <c r="F213" s="100"/>
      <c r="G213" s="88"/>
    </row>
    <row r="214" spans="1:7" x14ac:dyDescent="0.25">
      <c r="A214" s="97"/>
      <c r="B214" s="98"/>
      <c r="C214" s="99"/>
      <c r="D214" s="100"/>
      <c r="E214" s="101"/>
      <c r="F214" s="100"/>
      <c r="G214" s="88"/>
    </row>
    <row r="215" spans="1:7" x14ac:dyDescent="0.25">
      <c r="A215" s="97"/>
      <c r="B215" s="98"/>
      <c r="C215" s="99"/>
      <c r="D215" s="100"/>
      <c r="E215" s="101"/>
      <c r="F215" s="100"/>
      <c r="G215" s="88"/>
    </row>
    <row r="216" spans="1:7" x14ac:dyDescent="0.25">
      <c r="A216" s="97"/>
      <c r="B216" s="98"/>
      <c r="C216" s="99"/>
      <c r="D216" s="100"/>
      <c r="E216" s="101"/>
      <c r="F216" s="100"/>
      <c r="G216" s="88"/>
    </row>
    <row r="217" spans="1:7" x14ac:dyDescent="0.25">
      <c r="A217" s="97"/>
      <c r="B217" s="104"/>
      <c r="C217" s="104"/>
      <c r="D217" s="88"/>
      <c r="E217" s="105"/>
      <c r="F217" s="88"/>
      <c r="G217" s="88"/>
    </row>
    <row r="218" spans="1:7" x14ac:dyDescent="0.25">
      <c r="A218" s="106"/>
      <c r="B218" s="107"/>
      <c r="C218" s="108"/>
      <c r="D218" s="107"/>
      <c r="E218" s="105"/>
      <c r="F218" s="107"/>
      <c r="G218" s="88"/>
    </row>
    <row r="219" spans="1:7" x14ac:dyDescent="0.25">
      <c r="A219" s="109"/>
      <c r="B219" s="110"/>
      <c r="C219" s="104"/>
      <c r="D219" s="100"/>
      <c r="E219" s="105"/>
      <c r="F219" s="100"/>
      <c r="G219" s="88"/>
    </row>
    <row r="220" spans="1:7" x14ac:dyDescent="0.25">
      <c r="A220" s="109"/>
      <c r="B220" s="103"/>
      <c r="C220" s="99"/>
      <c r="D220" s="111"/>
      <c r="E220" s="105"/>
      <c r="F220" s="100"/>
      <c r="G220" s="88"/>
    </row>
    <row r="221" spans="1:7" x14ac:dyDescent="0.25">
      <c r="A221" s="109"/>
      <c r="B221" s="110"/>
      <c r="C221" s="104"/>
      <c r="D221" s="110"/>
      <c r="E221" s="105"/>
      <c r="F221" s="100"/>
      <c r="G221" s="88"/>
    </row>
    <row r="222" spans="1:7" x14ac:dyDescent="0.25">
      <c r="A222" s="106"/>
      <c r="B222" s="107"/>
      <c r="C222" s="108"/>
      <c r="D222" s="107"/>
      <c r="E222" s="105"/>
      <c r="F222" s="100"/>
      <c r="G222" s="88"/>
    </row>
    <row r="223" spans="1:7" x14ac:dyDescent="0.25">
      <c r="A223" s="109"/>
      <c r="B223" s="88"/>
      <c r="C223" s="88"/>
      <c r="D223" s="88"/>
      <c r="E223" s="88"/>
      <c r="F223" s="88"/>
      <c r="G223" s="88"/>
    </row>
    <row r="224" spans="1:7" x14ac:dyDescent="0.25">
      <c r="A224" s="88"/>
      <c r="B224" s="88"/>
      <c r="C224" s="88"/>
      <c r="D224" s="88"/>
      <c r="E224" s="88"/>
      <c r="F224" s="88"/>
      <c r="G224" s="88"/>
    </row>
    <row r="225" spans="1:7" x14ac:dyDescent="0.25">
      <c r="A225" s="88"/>
      <c r="B225" s="88"/>
      <c r="C225" s="88"/>
      <c r="D225" s="88"/>
      <c r="E225" s="88"/>
      <c r="F225" s="88"/>
      <c r="G225" s="88"/>
    </row>
    <row r="226" spans="1:7" x14ac:dyDescent="0.25">
      <c r="A226" s="88"/>
      <c r="B226" s="88"/>
      <c r="C226" s="88"/>
      <c r="D226" s="88"/>
      <c r="E226" s="88"/>
      <c r="F226" s="88"/>
      <c r="G226" s="88"/>
    </row>
    <row r="227" spans="1:7" x14ac:dyDescent="0.25">
      <c r="A227" s="88"/>
      <c r="B227" s="88"/>
      <c r="C227" s="88"/>
      <c r="D227" s="88"/>
      <c r="E227" s="88"/>
      <c r="F227" s="88"/>
      <c r="G227" s="88"/>
    </row>
    <row r="228" spans="1:7" x14ac:dyDescent="0.25">
      <c r="A228" s="88"/>
      <c r="B228" s="88"/>
      <c r="C228" s="88"/>
      <c r="D228" s="88"/>
      <c r="E228" s="88"/>
      <c r="F228" s="88"/>
      <c r="G228" s="88"/>
    </row>
    <row r="229" spans="1:7" x14ac:dyDescent="0.25">
      <c r="A229" s="88"/>
      <c r="B229" s="88"/>
      <c r="C229" s="88"/>
      <c r="D229" s="88"/>
      <c r="E229" s="88"/>
      <c r="F229" s="88"/>
      <c r="G229" s="88"/>
    </row>
    <row r="230" spans="1:7" x14ac:dyDescent="0.25">
      <c r="A230" s="88"/>
      <c r="B230" s="88"/>
      <c r="C230" s="88"/>
      <c r="D230" s="88"/>
      <c r="E230" s="88"/>
      <c r="F230" s="88"/>
      <c r="G230" s="88"/>
    </row>
    <row r="231" spans="1:7" x14ac:dyDescent="0.25">
      <c r="A231" s="88"/>
      <c r="B231" s="88"/>
      <c r="C231" s="88"/>
      <c r="D231" s="88"/>
      <c r="E231" s="88"/>
      <c r="F231" s="88"/>
      <c r="G231" s="88"/>
    </row>
  </sheetData>
  <pageMargins left="0.7" right="0.7" top="0.75" bottom="0.75" header="0.3" footer="0.3"/>
  <pageSetup scale="48"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29"/>
  <sheetViews>
    <sheetView workbookViewId="0">
      <selection activeCell="K5" sqref="K5"/>
    </sheetView>
  </sheetViews>
  <sheetFormatPr defaultRowHeight="15.75" x14ac:dyDescent="0.25"/>
  <cols>
    <col min="1" max="1" width="3.875" customWidth="1"/>
    <col min="2" max="2" width="1.625" customWidth="1"/>
    <col min="3" max="3" width="34.375" customWidth="1"/>
    <col min="4" max="4" width="2" customWidth="1"/>
    <col min="5" max="5" width="3.25" customWidth="1"/>
    <col min="6" max="6" width="1" customWidth="1"/>
    <col min="7" max="7" width="9.5" customWidth="1"/>
    <col min="8" max="8" width="0.875" customWidth="1"/>
    <col min="9" max="9" width="12.25" customWidth="1"/>
    <col min="10" max="10" width="1" customWidth="1"/>
    <col min="11" max="11" width="9.125" customWidth="1"/>
    <col min="12" max="12" width="1" customWidth="1"/>
    <col min="13" max="13" width="9.125" customWidth="1"/>
    <col min="14" max="14" width="1.625" customWidth="1"/>
    <col min="15" max="15" width="11.375" customWidth="1"/>
  </cols>
  <sheetData>
    <row r="1" spans="1:16" x14ac:dyDescent="0.25">
      <c r="A1" t="s">
        <v>381</v>
      </c>
      <c r="K1" t="s">
        <v>386</v>
      </c>
      <c r="M1" s="16"/>
      <c r="N1" s="16"/>
      <c r="O1" s="16"/>
    </row>
    <row r="2" spans="1:16" x14ac:dyDescent="0.25">
      <c r="A2" t="s">
        <v>147</v>
      </c>
      <c r="K2" t="s">
        <v>261</v>
      </c>
      <c r="M2" s="16"/>
      <c r="N2" s="16"/>
      <c r="O2" s="16"/>
    </row>
    <row r="3" spans="1:16" x14ac:dyDescent="0.25">
      <c r="A3" t="s">
        <v>148</v>
      </c>
      <c r="K3" t="s">
        <v>452</v>
      </c>
      <c r="M3" s="16"/>
      <c r="N3" s="16"/>
      <c r="O3" s="16"/>
    </row>
    <row r="4" spans="1:16" x14ac:dyDescent="0.25">
      <c r="A4" t="s">
        <v>383</v>
      </c>
      <c r="K4" t="str">
        <f>Sch9p1!K4</f>
        <v>Revised 3/29/16</v>
      </c>
      <c r="M4" s="16"/>
      <c r="N4" s="16"/>
      <c r="O4" s="16"/>
    </row>
    <row r="5" spans="1:16" x14ac:dyDescent="0.25">
      <c r="A5" t="s">
        <v>384</v>
      </c>
      <c r="M5" s="16"/>
      <c r="N5" s="16"/>
      <c r="O5" s="16"/>
    </row>
    <row r="6" spans="1:16" x14ac:dyDescent="0.25">
      <c r="A6" s="16"/>
      <c r="B6" s="16"/>
      <c r="C6" s="16"/>
      <c r="D6" s="16"/>
      <c r="E6" s="16"/>
      <c r="F6" s="16"/>
      <c r="G6" s="16"/>
      <c r="H6" s="16"/>
      <c r="I6" s="16"/>
      <c r="J6" s="16"/>
      <c r="K6" s="16"/>
      <c r="L6" s="16"/>
      <c r="M6" s="16"/>
      <c r="N6" s="16"/>
      <c r="O6" s="16"/>
    </row>
    <row r="7" spans="1:16" x14ac:dyDescent="0.25">
      <c r="A7" s="16"/>
      <c r="B7" s="16"/>
      <c r="C7" s="16"/>
      <c r="D7" s="16"/>
      <c r="E7" s="16"/>
      <c r="F7" s="16"/>
      <c r="G7" s="16"/>
      <c r="H7" s="16"/>
      <c r="I7" s="16"/>
      <c r="J7" s="16"/>
      <c r="K7" s="16"/>
      <c r="L7" s="16"/>
      <c r="M7" s="16"/>
      <c r="N7" s="16"/>
      <c r="O7" s="209" t="s">
        <v>478</v>
      </c>
    </row>
    <row r="8" spans="1:16" x14ac:dyDescent="0.25">
      <c r="G8" s="1"/>
      <c r="H8" s="1"/>
      <c r="I8" s="1" t="s">
        <v>4</v>
      </c>
      <c r="J8" s="1"/>
      <c r="K8" s="1"/>
      <c r="L8" s="1"/>
      <c r="M8" s="1"/>
      <c r="N8" s="1"/>
      <c r="O8" s="1" t="s">
        <v>145</v>
      </c>
    </row>
    <row r="9" spans="1:16" x14ac:dyDescent="0.25">
      <c r="A9" s="4"/>
      <c r="C9" s="2" t="s">
        <v>1</v>
      </c>
      <c r="D9" s="4"/>
      <c r="E9" s="14"/>
      <c r="G9" s="10" t="s">
        <v>10</v>
      </c>
      <c r="H9" s="1"/>
      <c r="I9" s="10" t="s">
        <v>6</v>
      </c>
      <c r="J9" s="1"/>
      <c r="K9" s="10" t="s">
        <v>7</v>
      </c>
      <c r="L9" s="1"/>
      <c r="M9" s="11" t="s">
        <v>9</v>
      </c>
      <c r="N9" s="1"/>
      <c r="O9" s="10" t="s">
        <v>8</v>
      </c>
    </row>
    <row r="11" spans="1:16" x14ac:dyDescent="0.25">
      <c r="C11" s="3" t="s">
        <v>11</v>
      </c>
    </row>
    <row r="12" spans="1:16" ht="16.5" thickBot="1" x14ac:dyDescent="0.3">
      <c r="A12" s="8">
        <v>1</v>
      </c>
      <c r="B12" s="4"/>
      <c r="C12" s="4" t="s">
        <v>336</v>
      </c>
      <c r="D12" s="39"/>
      <c r="E12" s="40"/>
      <c r="F12" s="39"/>
      <c r="G12" s="141" t="s">
        <v>205</v>
      </c>
      <c r="H12" s="39"/>
      <c r="I12" s="140">
        <f>I25</f>
        <v>-291561.685409247</v>
      </c>
      <c r="J12" s="40"/>
      <c r="K12" s="70" t="s">
        <v>77</v>
      </c>
      <c r="L12" s="39"/>
      <c r="M12" s="87" t="s">
        <v>77</v>
      </c>
      <c r="N12" s="4"/>
      <c r="O12" s="210">
        <f>Sch11p2!F85</f>
        <v>-18280.558651400002</v>
      </c>
    </row>
    <row r="13" spans="1:16" ht="16.5" thickTop="1" x14ac:dyDescent="0.25">
      <c r="A13" s="8"/>
      <c r="B13" s="4"/>
      <c r="C13" s="4"/>
      <c r="D13" s="4"/>
      <c r="E13" s="4"/>
      <c r="F13" s="4"/>
      <c r="G13" s="4"/>
      <c r="H13" s="4"/>
      <c r="I13" s="4"/>
      <c r="J13" s="4"/>
      <c r="K13" s="4"/>
      <c r="L13" s="4"/>
      <c r="M13" s="4"/>
      <c r="N13" s="4"/>
      <c r="O13" s="4"/>
    </row>
    <row r="14" spans="1:16" x14ac:dyDescent="0.25">
      <c r="A14" s="8"/>
      <c r="B14" s="4"/>
      <c r="C14" s="18"/>
      <c r="D14" s="4"/>
      <c r="E14" s="4"/>
      <c r="F14" s="4"/>
      <c r="G14" s="12"/>
      <c r="H14" s="4"/>
      <c r="I14" s="4"/>
      <c r="J14" s="4"/>
      <c r="K14" s="4"/>
      <c r="L14" s="4"/>
      <c r="M14" s="12"/>
      <c r="N14" s="4"/>
      <c r="O14" s="4"/>
      <c r="P14" s="4"/>
    </row>
    <row r="15" spans="1:16" x14ac:dyDescent="0.25">
      <c r="A15" s="8"/>
      <c r="B15" s="4"/>
      <c r="C15" s="4"/>
      <c r="D15" s="4"/>
      <c r="E15" s="4"/>
      <c r="F15" s="4"/>
      <c r="G15" s="4"/>
      <c r="H15" s="4"/>
      <c r="I15" s="4"/>
      <c r="J15" s="4"/>
      <c r="K15" s="4"/>
      <c r="L15" s="4"/>
      <c r="M15" s="4"/>
      <c r="N15" s="4"/>
      <c r="O15" s="4"/>
    </row>
    <row r="16" spans="1:16" x14ac:dyDescent="0.25">
      <c r="A16" s="1"/>
    </row>
    <row r="17" spans="1:13" x14ac:dyDescent="0.25">
      <c r="A17" s="1"/>
    </row>
    <row r="18" spans="1:13" x14ac:dyDescent="0.25">
      <c r="A18" s="8"/>
      <c r="B18" s="4"/>
      <c r="C18" s="36" t="s">
        <v>337</v>
      </c>
      <c r="D18" s="4"/>
      <c r="E18" s="4"/>
      <c r="F18" s="4"/>
      <c r="G18" s="4"/>
      <c r="H18" s="4"/>
      <c r="I18" s="10" t="s">
        <v>2</v>
      </c>
      <c r="J18" s="4"/>
      <c r="K18" s="36" t="s">
        <v>464</v>
      </c>
      <c r="L18" s="4"/>
      <c r="M18" s="4"/>
    </row>
    <row r="19" spans="1:13" x14ac:dyDescent="0.25">
      <c r="A19" s="8"/>
      <c r="B19" s="4"/>
      <c r="C19" s="4" t="s">
        <v>332</v>
      </c>
      <c r="D19" s="4"/>
      <c r="E19" s="4"/>
      <c r="F19" s="4"/>
      <c r="G19" s="4"/>
      <c r="H19" s="4"/>
      <c r="I19" s="44">
        <v>1437813</v>
      </c>
      <c r="J19" s="4"/>
      <c r="K19" s="202" t="s">
        <v>196</v>
      </c>
      <c r="L19" s="4"/>
      <c r="M19" s="4"/>
    </row>
    <row r="20" spans="1:13" x14ac:dyDescent="0.25">
      <c r="A20" s="8"/>
      <c r="B20" s="4"/>
      <c r="C20" s="88" t="s">
        <v>333</v>
      </c>
      <c r="D20" s="4"/>
      <c r="E20" s="4"/>
      <c r="F20" s="4"/>
      <c r="G20" s="4"/>
      <c r="H20" s="4"/>
      <c r="I20" s="43">
        <v>1191391</v>
      </c>
      <c r="J20" s="4"/>
      <c r="K20" s="202" t="s">
        <v>196</v>
      </c>
      <c r="L20" s="4"/>
      <c r="M20" s="4"/>
    </row>
    <row r="21" spans="1:13" x14ac:dyDescent="0.25">
      <c r="A21" s="8"/>
      <c r="B21" s="4"/>
      <c r="C21" s="4" t="s">
        <v>334</v>
      </c>
      <c r="D21" s="4"/>
      <c r="E21" s="4"/>
      <c r="F21" s="4"/>
      <c r="G21" s="41"/>
      <c r="H21" s="4"/>
      <c r="I21" s="44">
        <f>AVERAGE(I19:I20)</f>
        <v>1314602</v>
      </c>
      <c r="J21" s="4"/>
      <c r="K21" s="4"/>
      <c r="L21" s="4"/>
      <c r="M21" s="4"/>
    </row>
    <row r="22" spans="1:13" x14ac:dyDescent="0.25">
      <c r="A22" s="8"/>
      <c r="B22" s="4"/>
      <c r="C22" s="18" t="s">
        <v>335</v>
      </c>
      <c r="D22" s="4"/>
      <c r="E22" s="4"/>
      <c r="F22" s="4"/>
      <c r="G22" s="41"/>
      <c r="H22" s="4"/>
      <c r="I22" s="43">
        <v>1742747</v>
      </c>
      <c r="J22" s="4"/>
      <c r="K22" s="202" t="s">
        <v>197</v>
      </c>
      <c r="L22" s="4"/>
      <c r="M22" s="4"/>
    </row>
    <row r="23" spans="1:13" x14ac:dyDescent="0.25">
      <c r="A23" s="8"/>
      <c r="B23" s="4"/>
      <c r="C23" s="18" t="s">
        <v>338</v>
      </c>
      <c r="D23" s="4"/>
      <c r="E23" s="4"/>
      <c r="F23" s="4"/>
      <c r="G23" s="12"/>
      <c r="H23" s="4"/>
      <c r="I23" s="44">
        <f>I21-I22</f>
        <v>-428145</v>
      </c>
      <c r="J23" s="4"/>
      <c r="K23" s="4"/>
      <c r="L23" s="4"/>
      <c r="M23" s="4"/>
    </row>
    <row r="24" spans="1:13" x14ac:dyDescent="0.25">
      <c r="C24" s="18" t="s">
        <v>123</v>
      </c>
      <c r="D24" s="4"/>
      <c r="E24" s="4"/>
      <c r="F24" s="4"/>
      <c r="G24" s="4"/>
      <c r="H24" s="4"/>
      <c r="I24" s="71">
        <f>Sch11p2!C85</f>
        <v>0.68098818252986026</v>
      </c>
    </row>
    <row r="25" spans="1:13" x14ac:dyDescent="0.25">
      <c r="C25" s="18" t="s">
        <v>185</v>
      </c>
      <c r="D25" s="4"/>
      <c r="E25" s="4"/>
      <c r="F25" s="4"/>
      <c r="G25" s="4"/>
      <c r="H25" s="4"/>
      <c r="I25" s="72">
        <f>I23*I24</f>
        <v>-291561.685409247</v>
      </c>
    </row>
    <row r="27" spans="1:13" x14ac:dyDescent="0.25">
      <c r="C27" t="s">
        <v>387</v>
      </c>
    </row>
    <row r="28" spans="1:13" x14ac:dyDescent="0.25">
      <c r="C28" s="13" t="s">
        <v>468</v>
      </c>
    </row>
    <row r="29" spans="1:13" x14ac:dyDescent="0.25">
      <c r="C29" s="13" t="s">
        <v>469</v>
      </c>
    </row>
  </sheetData>
  <pageMargins left="0.7" right="0.7" top="0.75" bottom="0.75" header="0.3" footer="0.3"/>
  <pageSetup scale="8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89"/>
  <sheetViews>
    <sheetView tabSelected="1" workbookViewId="0">
      <selection activeCell="F9" sqref="F9"/>
    </sheetView>
  </sheetViews>
  <sheetFormatPr defaultRowHeight="15.75" x14ac:dyDescent="0.25"/>
  <cols>
    <col min="1" max="1" width="17.625" customWidth="1"/>
    <col min="2" max="2" width="14.75" customWidth="1"/>
    <col min="3" max="3" width="9.625" customWidth="1"/>
    <col min="4" max="4" width="12" customWidth="1"/>
    <col min="5" max="5" width="10.875" customWidth="1"/>
    <col min="6" max="6" width="12.125" customWidth="1"/>
  </cols>
  <sheetData>
    <row r="1" spans="1:6" x14ac:dyDescent="0.25">
      <c r="A1" s="74" t="s">
        <v>382</v>
      </c>
      <c r="E1" t="s">
        <v>386</v>
      </c>
      <c r="F1" s="74"/>
    </row>
    <row r="2" spans="1:6" x14ac:dyDescent="0.25">
      <c r="A2" t="s">
        <v>147</v>
      </c>
      <c r="E2" t="s">
        <v>261</v>
      </c>
      <c r="F2" s="74"/>
    </row>
    <row r="3" spans="1:6" x14ac:dyDescent="0.25">
      <c r="A3" t="s">
        <v>148</v>
      </c>
      <c r="E3" t="s">
        <v>453</v>
      </c>
      <c r="F3" s="74"/>
    </row>
    <row r="4" spans="1:6" x14ac:dyDescent="0.25">
      <c r="A4" t="s">
        <v>383</v>
      </c>
      <c r="E4" t="str">
        <f>Sch9p1!K4</f>
        <v>Revised 3/29/16</v>
      </c>
      <c r="F4" s="74"/>
    </row>
    <row r="5" spans="1:6" x14ac:dyDescent="0.25">
      <c r="A5" t="s">
        <v>384</v>
      </c>
      <c r="E5" s="206" t="s">
        <v>478</v>
      </c>
      <c r="F5" s="206" t="s">
        <v>478</v>
      </c>
    </row>
    <row r="6" spans="1:6" x14ac:dyDescent="0.25">
      <c r="A6" s="112"/>
      <c r="B6" s="113" t="s">
        <v>64</v>
      </c>
      <c r="C6" s="114"/>
      <c r="D6" s="29" t="s">
        <v>169</v>
      </c>
      <c r="E6" s="206" t="s">
        <v>8</v>
      </c>
      <c r="F6" s="206" t="s">
        <v>145</v>
      </c>
    </row>
    <row r="7" spans="1:6" x14ac:dyDescent="0.25">
      <c r="A7" s="115" t="s">
        <v>74</v>
      </c>
      <c r="B7" s="116" t="s">
        <v>385</v>
      </c>
      <c r="C7" s="117" t="s">
        <v>8</v>
      </c>
      <c r="D7" s="118" t="s">
        <v>75</v>
      </c>
      <c r="E7" s="207" t="s">
        <v>72</v>
      </c>
      <c r="F7" s="207" t="s">
        <v>2</v>
      </c>
    </row>
    <row r="8" spans="1:6" x14ac:dyDescent="0.25">
      <c r="A8" s="86" t="s">
        <v>154</v>
      </c>
      <c r="B8" s="122">
        <v>67884043.425930023</v>
      </c>
      <c r="C8" s="123">
        <f t="shared" ref="C8:C39" si="0">B8/$B$89</f>
        <v>9.7688313701874058E-2</v>
      </c>
      <c r="D8" s="120">
        <f t="shared" ref="D8:D39" si="1">C8*$D$89</f>
        <v>-41824.763069888868</v>
      </c>
      <c r="E8" s="237">
        <v>0</v>
      </c>
      <c r="F8" s="120">
        <f>D8*E8</f>
        <v>0</v>
      </c>
    </row>
    <row r="9" spans="1:6" x14ac:dyDescent="0.25">
      <c r="A9" s="86" t="s">
        <v>155</v>
      </c>
      <c r="B9" s="122">
        <v>7473965.8163556829</v>
      </c>
      <c r="C9" s="123">
        <f t="shared" si="0"/>
        <v>1.075538639742178E-2</v>
      </c>
      <c r="D9" s="120">
        <f t="shared" si="1"/>
        <v>-4604.8649091241477</v>
      </c>
      <c r="E9" s="237">
        <v>0.22437004168265501</v>
      </c>
      <c r="F9" s="120">
        <f t="shared" ref="F9:F72" si="2">D9*E9</f>
        <v>-1033.1937316031804</v>
      </c>
    </row>
    <row r="10" spans="1:6" x14ac:dyDescent="0.25">
      <c r="A10" s="86" t="s">
        <v>66</v>
      </c>
      <c r="B10" s="122">
        <v>5688.354078993184</v>
      </c>
      <c r="C10" s="123">
        <f t="shared" si="0"/>
        <v>8.1858075870560602E-6</v>
      </c>
      <c r="D10" s="120">
        <f t="shared" si="1"/>
        <v>-3.5047125893601168</v>
      </c>
      <c r="E10" s="237">
        <v>8.2285226967736394E-2</v>
      </c>
      <c r="F10" s="120">
        <f t="shared" si="2"/>
        <v>-0.28838607087218032</v>
      </c>
    </row>
    <row r="11" spans="1:6" x14ac:dyDescent="0.25">
      <c r="A11" s="86" t="s">
        <v>156</v>
      </c>
      <c r="B11" s="124">
        <v>1840130.5347571312</v>
      </c>
      <c r="C11" s="123">
        <f t="shared" si="0"/>
        <v>2.6480339098818076E-3</v>
      </c>
      <c r="D11" s="120">
        <f t="shared" si="1"/>
        <v>-1133.7424783463466</v>
      </c>
      <c r="E11" s="237">
        <v>0</v>
      </c>
      <c r="F11" s="120">
        <f t="shared" si="2"/>
        <v>0</v>
      </c>
    </row>
    <row r="12" spans="1:6" x14ac:dyDescent="0.25">
      <c r="A12" s="173" t="s">
        <v>157</v>
      </c>
      <c r="B12" s="122">
        <v>651466.40833665896</v>
      </c>
      <c r="C12" s="123">
        <f t="shared" si="0"/>
        <v>9.3749063332187381E-4</v>
      </c>
      <c r="D12" s="120">
        <f t="shared" si="1"/>
        <v>-401.38192720359365</v>
      </c>
      <c r="E12" s="237">
        <v>0.22730931045735822</v>
      </c>
      <c r="F12" s="120">
        <f t="shared" si="2"/>
        <v>-91.237849102694426</v>
      </c>
    </row>
    <row r="13" spans="1:6" x14ac:dyDescent="0.25">
      <c r="A13" s="86" t="s">
        <v>67</v>
      </c>
      <c r="B13" s="122">
        <v>325823.58490444999</v>
      </c>
      <c r="C13" s="123">
        <f t="shared" si="0"/>
        <v>4.6887537876768779E-4</v>
      </c>
      <c r="D13" s="120">
        <f t="shared" si="1"/>
        <v>-200.7466490424917</v>
      </c>
      <c r="E13" s="237">
        <v>7.6800559158639092E-2</v>
      </c>
      <c r="F13" s="120">
        <f t="shared" si="2"/>
        <v>-15.417454895686443</v>
      </c>
    </row>
    <row r="14" spans="1:6" x14ac:dyDescent="0.25">
      <c r="A14" s="86" t="s">
        <v>277</v>
      </c>
      <c r="B14" s="122">
        <v>119826.97067672609</v>
      </c>
      <c r="C14" s="123">
        <f t="shared" si="0"/>
        <v>1.7243661559709033E-4</v>
      </c>
      <c r="D14" s="120">
        <f t="shared" si="1"/>
        <v>-73.827874784816231</v>
      </c>
      <c r="E14" s="237">
        <v>0</v>
      </c>
      <c r="F14" s="120">
        <f t="shared" si="2"/>
        <v>0</v>
      </c>
    </row>
    <row r="15" spans="1:6" x14ac:dyDescent="0.25">
      <c r="A15" s="86" t="s">
        <v>158</v>
      </c>
      <c r="B15" s="122">
        <v>2139.63</v>
      </c>
      <c r="C15" s="123">
        <f t="shared" si="0"/>
        <v>3.0790276491706669E-6</v>
      </c>
      <c r="D15" s="120">
        <f t="shared" si="1"/>
        <v>-1.3182702928541752</v>
      </c>
      <c r="E15" s="237">
        <v>0.22565052397253504</v>
      </c>
      <c r="F15" s="120">
        <f t="shared" si="2"/>
        <v>-0.29746838231997186</v>
      </c>
    </row>
    <row r="16" spans="1:6" x14ac:dyDescent="0.25">
      <c r="A16" s="86" t="s">
        <v>278</v>
      </c>
      <c r="B16" s="122">
        <v>32126887.385325186</v>
      </c>
      <c r="C16" s="123">
        <f t="shared" si="0"/>
        <v>4.6232093652270982E-2</v>
      </c>
      <c r="D16" s="120">
        <f t="shared" si="1"/>
        <v>-19794.039736751558</v>
      </c>
      <c r="E16" s="237">
        <v>0</v>
      </c>
      <c r="F16" s="120">
        <f t="shared" si="2"/>
        <v>0</v>
      </c>
    </row>
    <row r="17" spans="1:6" x14ac:dyDescent="0.25">
      <c r="A17" s="86" t="s">
        <v>279</v>
      </c>
      <c r="B17" s="122">
        <v>18043997.810790766</v>
      </c>
      <c r="C17" s="123">
        <f t="shared" si="0"/>
        <v>2.5966156840668598E-2</v>
      </c>
      <c r="D17" s="120">
        <f t="shared" si="1"/>
        <v>-11117.280220548057</v>
      </c>
      <c r="E17" s="237">
        <v>0.22437004168265501</v>
      </c>
      <c r="F17" s="120">
        <f t="shared" si="2"/>
        <v>-2494.3846264821236</v>
      </c>
    </row>
    <row r="18" spans="1:6" x14ac:dyDescent="0.25">
      <c r="A18" s="86" t="s">
        <v>280</v>
      </c>
      <c r="B18" s="122">
        <v>-82229.878538628589</v>
      </c>
      <c r="C18" s="123">
        <f t="shared" si="0"/>
        <v>-1.1833264144192363E-4</v>
      </c>
      <c r="D18" s="120">
        <f t="shared" si="1"/>
        <v>50.663528770152389</v>
      </c>
      <c r="E18" s="237">
        <v>0.22565052397253504</v>
      </c>
      <c r="F18" s="120">
        <f t="shared" si="2"/>
        <v>11.432251813282491</v>
      </c>
    </row>
    <row r="19" spans="1:6" x14ac:dyDescent="0.25">
      <c r="A19" s="86" t="s">
        <v>159</v>
      </c>
      <c r="B19" s="122">
        <v>7468677.1259951256</v>
      </c>
      <c r="C19" s="123">
        <f t="shared" si="0"/>
        <v>1.0747775724619445E-2</v>
      </c>
      <c r="D19" s="120">
        <f t="shared" si="1"/>
        <v>-4601.6064376171926</v>
      </c>
      <c r="E19" s="237">
        <v>0</v>
      </c>
      <c r="F19" s="120">
        <f t="shared" si="2"/>
        <v>0</v>
      </c>
    </row>
    <row r="20" spans="1:6" x14ac:dyDescent="0.25">
      <c r="A20" s="86" t="s">
        <v>160</v>
      </c>
      <c r="B20" s="122">
        <v>7865931.746117129</v>
      </c>
      <c r="C20" s="123">
        <f t="shared" si="0"/>
        <v>1.1319443704184341E-2</v>
      </c>
      <c r="D20" s="120">
        <f t="shared" si="1"/>
        <v>-4846.3632247280048</v>
      </c>
      <c r="E20" s="237">
        <v>0.22565052397253504</v>
      </c>
      <c r="F20" s="120">
        <f t="shared" si="2"/>
        <v>-1093.584401021099</v>
      </c>
    </row>
    <row r="21" spans="1:6" x14ac:dyDescent="0.25">
      <c r="A21" s="86" t="s">
        <v>281</v>
      </c>
      <c r="B21" s="122">
        <v>990352.84525628691</v>
      </c>
      <c r="C21" s="123">
        <f t="shared" si="0"/>
        <v>1.4251640671419574E-3</v>
      </c>
      <c r="D21" s="120">
        <f t="shared" si="1"/>
        <v>-610.17686952649331</v>
      </c>
      <c r="E21" s="237">
        <v>0</v>
      </c>
      <c r="F21" s="120">
        <f t="shared" si="2"/>
        <v>0</v>
      </c>
    </row>
    <row r="22" spans="1:6" x14ac:dyDescent="0.25">
      <c r="A22" s="86" t="s">
        <v>282</v>
      </c>
      <c r="B22" s="122">
        <v>2788048.901278784</v>
      </c>
      <c r="C22" s="123">
        <f t="shared" si="0"/>
        <v>4.0121327772919971E-3</v>
      </c>
      <c r="D22" s="120">
        <f t="shared" si="1"/>
        <v>-1717.7745879336821</v>
      </c>
      <c r="E22" s="237">
        <v>0.22565052397253504</v>
      </c>
      <c r="F22" s="120">
        <f t="shared" si="2"/>
        <v>-387.61673583394082</v>
      </c>
    </row>
    <row r="23" spans="1:6" x14ac:dyDescent="0.25">
      <c r="A23" s="86" t="s">
        <v>283</v>
      </c>
      <c r="B23" s="122">
        <v>54802.150907052463</v>
      </c>
      <c r="C23" s="123">
        <f t="shared" si="0"/>
        <v>7.8862858474052931E-5</v>
      </c>
      <c r="D23" s="120">
        <f t="shared" si="1"/>
        <v>-33.76473854137339</v>
      </c>
      <c r="E23" s="237">
        <v>0</v>
      </c>
      <c r="F23" s="120">
        <f t="shared" si="2"/>
        <v>0</v>
      </c>
    </row>
    <row r="24" spans="1:6" x14ac:dyDescent="0.25">
      <c r="A24" s="86" t="s">
        <v>284</v>
      </c>
      <c r="B24" s="122">
        <v>17719.469690664984</v>
      </c>
      <c r="C24" s="123">
        <f t="shared" si="0"/>
        <v>2.5499145696311553E-5</v>
      </c>
      <c r="D24" s="120">
        <f t="shared" si="1"/>
        <v>-10.917331734147311</v>
      </c>
      <c r="E24" s="237">
        <v>0.22565052397253504</v>
      </c>
      <c r="F24" s="120">
        <f t="shared" si="2"/>
        <v>-2.4635016261923255</v>
      </c>
    </row>
    <row r="25" spans="1:6" x14ac:dyDescent="0.25">
      <c r="A25" s="86" t="s">
        <v>285</v>
      </c>
      <c r="B25" s="122">
        <v>4986210.316771457</v>
      </c>
      <c r="C25" s="123">
        <f t="shared" si="0"/>
        <v>7.1753898711082497E-3</v>
      </c>
      <c r="D25" s="120">
        <f t="shared" si="1"/>
        <v>-3072.1072963656416</v>
      </c>
      <c r="E25" s="237">
        <v>0</v>
      </c>
      <c r="F25" s="120">
        <f t="shared" si="2"/>
        <v>0</v>
      </c>
    </row>
    <row r="26" spans="1:6" x14ac:dyDescent="0.25">
      <c r="A26" s="86" t="s">
        <v>286</v>
      </c>
      <c r="B26" s="122">
        <v>1718632.846716661</v>
      </c>
      <c r="C26" s="123">
        <f t="shared" si="0"/>
        <v>2.4731930538520641E-3</v>
      </c>
      <c r="D26" s="120">
        <f t="shared" si="1"/>
        <v>-1058.8852400414919</v>
      </c>
      <c r="E26" s="237">
        <v>0.22565052397253504</v>
      </c>
      <c r="F26" s="120">
        <f t="shared" si="2"/>
        <v>-238.93800924214619</v>
      </c>
    </row>
    <row r="27" spans="1:6" x14ac:dyDescent="0.25">
      <c r="A27" s="86" t="s">
        <v>287</v>
      </c>
      <c r="B27" s="122">
        <v>505.11772648143074</v>
      </c>
      <c r="C27" s="123">
        <f t="shared" si="0"/>
        <v>7.2688803481094933E-7</v>
      </c>
      <c r="D27" s="120">
        <f t="shared" si="1"/>
        <v>-0.31121347766413388</v>
      </c>
      <c r="E27" s="237">
        <v>0</v>
      </c>
      <c r="F27" s="120">
        <f t="shared" si="2"/>
        <v>0</v>
      </c>
    </row>
    <row r="28" spans="1:6" x14ac:dyDescent="0.25">
      <c r="A28" s="86" t="s">
        <v>288</v>
      </c>
      <c r="B28" s="122">
        <v>1872310.5679591252</v>
      </c>
      <c r="C28" s="123">
        <f t="shared" si="0"/>
        <v>2.6943424828501103E-3</v>
      </c>
      <c r="D28" s="120">
        <f t="shared" si="1"/>
        <v>-1153.5692623198604</v>
      </c>
      <c r="E28" s="237">
        <v>8.2285226967736394E-2</v>
      </c>
      <c r="F28" s="120">
        <f t="shared" si="2"/>
        <v>-94.92170857299395</v>
      </c>
    </row>
    <row r="29" spans="1:6" x14ac:dyDescent="0.25">
      <c r="A29" s="86" t="s">
        <v>289</v>
      </c>
      <c r="B29" s="122">
        <v>1978477.6022114239</v>
      </c>
      <c r="C29" s="123">
        <f t="shared" si="0"/>
        <v>2.8471218110018358E-3</v>
      </c>
      <c r="D29" s="120">
        <f t="shared" si="1"/>
        <v>-1218.9809677713811</v>
      </c>
      <c r="E29" s="237">
        <v>0</v>
      </c>
      <c r="F29" s="120">
        <f t="shared" si="2"/>
        <v>0</v>
      </c>
    </row>
    <row r="30" spans="1:6" x14ac:dyDescent="0.25">
      <c r="A30" s="86" t="s">
        <v>290</v>
      </c>
      <c r="B30" s="122">
        <v>899293.5980669097</v>
      </c>
      <c r="C30" s="123">
        <f t="shared" si="0"/>
        <v>1.2941255512262343E-3</v>
      </c>
      <c r="D30" s="120">
        <f t="shared" si="1"/>
        <v>-554.07338412975605</v>
      </c>
      <c r="E30" s="237">
        <v>0.22565052397253504</v>
      </c>
      <c r="F30" s="120">
        <f t="shared" si="2"/>
        <v>-125.02694944811513</v>
      </c>
    </row>
    <row r="31" spans="1:6" x14ac:dyDescent="0.25">
      <c r="A31" s="86" t="s">
        <v>68</v>
      </c>
      <c r="B31" s="122">
        <v>26766065.187209137</v>
      </c>
      <c r="C31" s="123">
        <f t="shared" si="0"/>
        <v>3.851761976179123E-2</v>
      </c>
      <c r="D31" s="120">
        <f t="shared" si="1"/>
        <v>-16491.126312912107</v>
      </c>
      <c r="E31" s="237">
        <v>8.2285226967736394E-2</v>
      </c>
      <c r="F31" s="120">
        <f t="shared" si="2"/>
        <v>-1356.9760716115825</v>
      </c>
    </row>
    <row r="32" spans="1:6" x14ac:dyDescent="0.25">
      <c r="A32" s="86" t="s">
        <v>161</v>
      </c>
      <c r="B32" s="122">
        <v>9704036.161406856</v>
      </c>
      <c r="C32" s="123">
        <f t="shared" si="0"/>
        <v>1.3964561933382731E-2</v>
      </c>
      <c r="D32" s="120">
        <f t="shared" si="1"/>
        <v>-5978.8573689681489</v>
      </c>
      <c r="E32" s="237">
        <v>0</v>
      </c>
      <c r="F32" s="120">
        <f t="shared" si="2"/>
        <v>0</v>
      </c>
    </row>
    <row r="33" spans="1:6" x14ac:dyDescent="0.25">
      <c r="A33" s="86" t="s">
        <v>162</v>
      </c>
      <c r="B33" s="122">
        <v>134529.60273698869</v>
      </c>
      <c r="C33" s="123">
        <f t="shared" si="0"/>
        <v>1.9359439083352448E-4</v>
      </c>
      <c r="D33" s="120">
        <f t="shared" si="1"/>
        <v>-82.886470463419343</v>
      </c>
      <c r="E33" s="237">
        <v>0.22565052397253504</v>
      </c>
      <c r="F33" s="120">
        <f t="shared" si="2"/>
        <v>-18.703375490304623</v>
      </c>
    </row>
    <row r="34" spans="1:6" x14ac:dyDescent="0.25">
      <c r="A34" s="86" t="s">
        <v>163</v>
      </c>
      <c r="B34" s="122">
        <v>1640286.7030886197</v>
      </c>
      <c r="C34" s="123">
        <f t="shared" si="0"/>
        <v>2.3604492886045046E-3</v>
      </c>
      <c r="D34" s="120">
        <f t="shared" si="1"/>
        <v>-1010.6145606695757</v>
      </c>
      <c r="E34" s="237">
        <v>0.22437004168265501</v>
      </c>
      <c r="F34" s="120">
        <f t="shared" si="2"/>
        <v>-226.75163110253078</v>
      </c>
    </row>
    <row r="35" spans="1:6" x14ac:dyDescent="0.25">
      <c r="A35" s="86" t="s">
        <v>164</v>
      </c>
      <c r="B35" s="122">
        <v>3902219.1207062858</v>
      </c>
      <c r="C35" s="123">
        <f t="shared" si="0"/>
        <v>5.6154758373069651E-3</v>
      </c>
      <c r="D35" s="120">
        <f t="shared" si="1"/>
        <v>-2404.2379023637905</v>
      </c>
      <c r="E35" s="237">
        <v>0</v>
      </c>
      <c r="F35" s="120">
        <f t="shared" si="2"/>
        <v>0</v>
      </c>
    </row>
    <row r="36" spans="1:6" x14ac:dyDescent="0.25">
      <c r="A36" s="86" t="s">
        <v>165</v>
      </c>
      <c r="B36" s="122">
        <v>204315.4936260535</v>
      </c>
      <c r="C36" s="123">
        <f t="shared" si="0"/>
        <v>2.940195519919668E-4</v>
      </c>
      <c r="D36" s="120">
        <f t="shared" si="1"/>
        <v>-125.88300108760063</v>
      </c>
      <c r="E36" s="237">
        <v>0.22565052397253504</v>
      </c>
      <c r="F36" s="120">
        <f t="shared" si="2"/>
        <v>-28.405565154652283</v>
      </c>
    </row>
    <row r="37" spans="1:6" x14ac:dyDescent="0.25">
      <c r="A37" s="86" t="s">
        <v>69</v>
      </c>
      <c r="B37" s="122">
        <v>15257490.955798399</v>
      </c>
      <c r="C37" s="123">
        <f t="shared" si="0"/>
        <v>2.195624314011051E-2</v>
      </c>
      <c r="D37" s="120">
        <f t="shared" si="1"/>
        <v>-9400.4557192226148</v>
      </c>
      <c r="E37" s="237">
        <v>8.2285226967736394E-2</v>
      </c>
      <c r="F37" s="120">
        <f t="shared" si="2"/>
        <v>-773.51863245638856</v>
      </c>
    </row>
    <row r="38" spans="1:6" x14ac:dyDescent="0.25">
      <c r="A38" s="86" t="s">
        <v>166</v>
      </c>
      <c r="B38" s="122">
        <v>23950.698454310346</v>
      </c>
      <c r="C38" s="123">
        <f t="shared" si="0"/>
        <v>3.4466175347032296E-5</v>
      </c>
      <c r="D38" s="120">
        <f t="shared" si="1"/>
        <v>-14.756520643955142</v>
      </c>
      <c r="E38" s="237">
        <v>0.22437004168265501</v>
      </c>
      <c r="F38" s="120">
        <f t="shared" si="2"/>
        <v>-3.3109211519751742</v>
      </c>
    </row>
    <row r="39" spans="1:6" x14ac:dyDescent="0.25">
      <c r="A39" s="86" t="s">
        <v>291</v>
      </c>
      <c r="B39" s="122">
        <v>-2077143.3667929284</v>
      </c>
      <c r="C39" s="123">
        <f t="shared" si="0"/>
        <v>-2.9891064612324911E-3</v>
      </c>
      <c r="D39" s="120">
        <f t="shared" si="1"/>
        <v>1279.770985844385</v>
      </c>
      <c r="E39" s="237">
        <v>0</v>
      </c>
      <c r="F39" s="120">
        <f t="shared" si="2"/>
        <v>0</v>
      </c>
    </row>
    <row r="40" spans="1:6" x14ac:dyDescent="0.25">
      <c r="A40" s="86" t="s">
        <v>292</v>
      </c>
      <c r="B40" s="122">
        <v>50701.957012414874</v>
      </c>
      <c r="C40" s="123">
        <f t="shared" ref="C40:C71" si="3">B40/$B$89</f>
        <v>7.296248767697592E-5</v>
      </c>
      <c r="D40" s="120">
        <f t="shared" ref="D40:D71" si="4">C40*$D$89</f>
        <v>-31.238524286458855</v>
      </c>
      <c r="E40" s="237">
        <v>0.22565052397253504</v>
      </c>
      <c r="F40" s="120">
        <f t="shared" si="2"/>
        <v>-7.0489893733682019</v>
      </c>
    </row>
    <row r="41" spans="1:6" x14ac:dyDescent="0.25">
      <c r="A41" s="86" t="s">
        <v>293</v>
      </c>
      <c r="B41" s="122">
        <v>3602262.440574009</v>
      </c>
      <c r="C41" s="123">
        <f t="shared" si="3"/>
        <v>5.183824144406453E-3</v>
      </c>
      <c r="D41" s="120">
        <f t="shared" si="4"/>
        <v>-2219.4283883069006</v>
      </c>
      <c r="E41" s="237">
        <v>8.2285226967736394E-2</v>
      </c>
      <c r="F41" s="120">
        <f t="shared" si="2"/>
        <v>-182.62616867047069</v>
      </c>
    </row>
    <row r="42" spans="1:6" x14ac:dyDescent="0.25">
      <c r="A42" s="86" t="s">
        <v>294</v>
      </c>
      <c r="B42" s="122">
        <v>79030.443447199534</v>
      </c>
      <c r="C42" s="123">
        <f t="shared" si="3"/>
        <v>1.1372850469480523E-4</v>
      </c>
      <c r="D42" s="120">
        <f t="shared" si="4"/>
        <v>-48.692290642557381</v>
      </c>
      <c r="E42" s="237">
        <v>0.22437004168265501</v>
      </c>
      <c r="F42" s="120">
        <f t="shared" si="2"/>
        <v>-10.925091281094552</v>
      </c>
    </row>
    <row r="43" spans="1:6" x14ac:dyDescent="0.25">
      <c r="A43" s="86" t="s">
        <v>115</v>
      </c>
      <c r="B43" s="122">
        <v>769363.03456823027</v>
      </c>
      <c r="C43" s="123">
        <f t="shared" si="3"/>
        <v>1.1071493929723497E-3</v>
      </c>
      <c r="D43" s="120">
        <f t="shared" si="4"/>
        <v>-474.02047685414669</v>
      </c>
      <c r="E43" s="237">
        <v>0</v>
      </c>
      <c r="F43" s="120">
        <f t="shared" si="2"/>
        <v>0</v>
      </c>
    </row>
    <row r="44" spans="1:6" x14ac:dyDescent="0.25">
      <c r="A44" s="86" t="s">
        <v>295</v>
      </c>
      <c r="B44" s="122">
        <v>1171533.2413468305</v>
      </c>
      <c r="C44" s="123">
        <f t="shared" si="3"/>
        <v>1.6858911316580078E-3</v>
      </c>
      <c r="D44" s="120">
        <f t="shared" si="4"/>
        <v>-721.80585856371772</v>
      </c>
      <c r="E44" s="237">
        <v>0</v>
      </c>
      <c r="F44" s="120">
        <f t="shared" si="2"/>
        <v>0</v>
      </c>
    </row>
    <row r="45" spans="1:6" x14ac:dyDescent="0.25">
      <c r="A45" s="86" t="s">
        <v>116</v>
      </c>
      <c r="B45" s="122">
        <v>7611604.7200949928</v>
      </c>
      <c r="C45" s="123">
        <f t="shared" si="3"/>
        <v>1.095345521783226E-2</v>
      </c>
      <c r="D45" s="120">
        <f t="shared" si="4"/>
        <v>-4689.667084238793</v>
      </c>
      <c r="E45" s="237">
        <v>0</v>
      </c>
      <c r="F45" s="120">
        <f t="shared" si="2"/>
        <v>0</v>
      </c>
    </row>
    <row r="46" spans="1:6" x14ac:dyDescent="0.25">
      <c r="A46" s="86" t="s">
        <v>70</v>
      </c>
      <c r="B46" s="122">
        <v>22783021.431030944</v>
      </c>
      <c r="C46" s="123">
        <f t="shared" si="3"/>
        <v>3.2785833493544268E-2</v>
      </c>
      <c r="D46" s="120">
        <f t="shared" si="4"/>
        <v>-14037.09068109351</v>
      </c>
      <c r="E46" s="237">
        <v>6.3308872574412173E-2</v>
      </c>
      <c r="F46" s="120">
        <f t="shared" si="2"/>
        <v>-888.67238524481763</v>
      </c>
    </row>
    <row r="47" spans="1:6" x14ac:dyDescent="0.25">
      <c r="A47" s="86" t="s">
        <v>127</v>
      </c>
      <c r="B47" s="122">
        <v>8978274.9582358953</v>
      </c>
      <c r="C47" s="123">
        <f t="shared" si="3"/>
        <v>1.2920157615225499E-2</v>
      </c>
      <c r="D47" s="120">
        <f t="shared" si="4"/>
        <v>-5531.7008821707213</v>
      </c>
      <c r="E47" s="237">
        <v>0</v>
      </c>
      <c r="F47" s="120">
        <f t="shared" si="2"/>
        <v>0</v>
      </c>
    </row>
    <row r="48" spans="1:6" x14ac:dyDescent="0.25">
      <c r="A48" s="86" t="s">
        <v>117</v>
      </c>
      <c r="B48" s="122">
        <v>1595821.2432592155</v>
      </c>
      <c r="C48" s="123">
        <f t="shared" si="3"/>
        <v>2.2964614120801414E-3</v>
      </c>
      <c r="D48" s="120">
        <f t="shared" si="4"/>
        <v>-983.21847127505214</v>
      </c>
      <c r="E48" s="237">
        <v>1</v>
      </c>
      <c r="F48" s="120">
        <f t="shared" si="2"/>
        <v>-983.21847127505214</v>
      </c>
    </row>
    <row r="49" spans="1:6" x14ac:dyDescent="0.25">
      <c r="A49" s="86" t="s">
        <v>128</v>
      </c>
      <c r="B49" s="122">
        <v>2099728.7106250674</v>
      </c>
      <c r="C49" s="123">
        <f t="shared" si="3"/>
        <v>3.0216078274150466E-3</v>
      </c>
      <c r="D49" s="120">
        <f t="shared" si="4"/>
        <v>-1293.6862832686152</v>
      </c>
      <c r="E49" s="237">
        <v>0</v>
      </c>
      <c r="F49" s="120">
        <f t="shared" si="2"/>
        <v>0</v>
      </c>
    </row>
    <row r="50" spans="1:6" x14ac:dyDescent="0.25">
      <c r="A50" s="86" t="s">
        <v>129</v>
      </c>
      <c r="B50" s="122">
        <v>210694.69676372391</v>
      </c>
      <c r="C50" s="123">
        <f t="shared" si="3"/>
        <v>3.0319952368827101E-4</v>
      </c>
      <c r="D50" s="120">
        <f t="shared" si="4"/>
        <v>-129.8133600695148</v>
      </c>
      <c r="E50" s="237">
        <v>0</v>
      </c>
      <c r="F50" s="120">
        <f t="shared" si="2"/>
        <v>0</v>
      </c>
    </row>
    <row r="51" spans="1:6" x14ac:dyDescent="0.25">
      <c r="A51" s="86" t="s">
        <v>296</v>
      </c>
      <c r="B51" s="122">
        <v>2388140.3720043534</v>
      </c>
      <c r="C51" s="123">
        <f t="shared" si="3"/>
        <v>3.4366456983226661E-3</v>
      </c>
      <c r="D51" s="120">
        <f t="shared" si="4"/>
        <v>-1471.3826725083579</v>
      </c>
      <c r="E51" s="237">
        <v>0</v>
      </c>
      <c r="F51" s="120">
        <f t="shared" si="2"/>
        <v>0</v>
      </c>
    </row>
    <row r="52" spans="1:6" x14ac:dyDescent="0.25">
      <c r="A52" s="86" t="s">
        <v>297</v>
      </c>
      <c r="B52" s="122">
        <v>2338721.3480784995</v>
      </c>
      <c r="C52" s="123">
        <f t="shared" si="3"/>
        <v>3.3655294113652339E-3</v>
      </c>
      <c r="D52" s="120">
        <f t="shared" si="4"/>
        <v>-1440.934589828968</v>
      </c>
      <c r="E52" s="237">
        <v>0</v>
      </c>
      <c r="F52" s="120">
        <f t="shared" si="2"/>
        <v>0</v>
      </c>
    </row>
    <row r="53" spans="1:6" x14ac:dyDescent="0.25">
      <c r="A53" s="86" t="s">
        <v>298</v>
      </c>
      <c r="B53" s="122">
        <v>11729860.600978389</v>
      </c>
      <c r="C53" s="123">
        <f t="shared" si="3"/>
        <v>1.6879818057949327E-2</v>
      </c>
      <c r="D53" s="120">
        <f t="shared" si="4"/>
        <v>-7227.0097024207143</v>
      </c>
      <c r="E53" s="237">
        <v>0</v>
      </c>
      <c r="F53" s="120">
        <f t="shared" si="2"/>
        <v>0</v>
      </c>
    </row>
    <row r="54" spans="1:6" x14ac:dyDescent="0.25">
      <c r="A54" s="86" t="s">
        <v>299</v>
      </c>
      <c r="B54" s="122">
        <v>8556255.8106250465</v>
      </c>
      <c r="C54" s="123">
        <f t="shared" si="3"/>
        <v>1.2312852322266792E-2</v>
      </c>
      <c r="D54" s="120">
        <f t="shared" si="4"/>
        <v>-5271.686157516916</v>
      </c>
      <c r="E54" s="237">
        <v>6.3308872574412173E-2</v>
      </c>
      <c r="F54" s="120">
        <f t="shared" si="2"/>
        <v>-333.74450719853098</v>
      </c>
    </row>
    <row r="55" spans="1:6" x14ac:dyDescent="0.25">
      <c r="A55" s="86" t="s">
        <v>300</v>
      </c>
      <c r="B55" s="122">
        <v>15203315.496409655</v>
      </c>
      <c r="C55" s="123">
        <f t="shared" si="3"/>
        <v>2.1878282120044206E-2</v>
      </c>
      <c r="D55" s="120">
        <f t="shared" si="4"/>
        <v>-9367.0770982863269</v>
      </c>
      <c r="E55" s="237">
        <v>0</v>
      </c>
      <c r="F55" s="120">
        <f t="shared" si="2"/>
        <v>0</v>
      </c>
    </row>
    <row r="56" spans="1:6" x14ac:dyDescent="0.25">
      <c r="A56" s="86" t="s">
        <v>301</v>
      </c>
      <c r="B56" s="122">
        <v>1776047.9294476043</v>
      </c>
      <c r="C56" s="123">
        <f t="shared" si="3"/>
        <v>2.5558160434381119E-3</v>
      </c>
      <c r="D56" s="120">
        <f t="shared" si="4"/>
        <v>-1094.2598599178104</v>
      </c>
      <c r="E56" s="237">
        <v>1</v>
      </c>
      <c r="F56" s="120">
        <f t="shared" si="2"/>
        <v>-1094.2598599178104</v>
      </c>
    </row>
    <row r="57" spans="1:6" x14ac:dyDescent="0.25">
      <c r="A57" s="86" t="s">
        <v>302</v>
      </c>
      <c r="B57" s="122">
        <v>2589172.4950823546</v>
      </c>
      <c r="C57" s="123">
        <f t="shared" si="3"/>
        <v>3.7259403265194322E-3</v>
      </c>
      <c r="D57" s="120">
        <f t="shared" si="4"/>
        <v>-1595.2427210976623</v>
      </c>
      <c r="E57" s="237">
        <v>0</v>
      </c>
      <c r="F57" s="120">
        <f t="shared" si="2"/>
        <v>0</v>
      </c>
    </row>
    <row r="58" spans="1:6" x14ac:dyDescent="0.25">
      <c r="A58" s="86" t="s">
        <v>303</v>
      </c>
      <c r="B58" s="122">
        <v>423247.94893862976</v>
      </c>
      <c r="C58" s="123">
        <f t="shared" si="3"/>
        <v>6.0907359554540532E-4</v>
      </c>
      <c r="D58" s="120">
        <f t="shared" si="4"/>
        <v>-260.77181456478758</v>
      </c>
      <c r="E58" s="237">
        <v>0</v>
      </c>
      <c r="F58" s="120">
        <f t="shared" si="2"/>
        <v>0</v>
      </c>
    </row>
    <row r="59" spans="1:6" x14ac:dyDescent="0.25">
      <c r="A59" s="86" t="s">
        <v>304</v>
      </c>
      <c r="B59" s="122">
        <v>33641169.054122895</v>
      </c>
      <c r="C59" s="123">
        <f t="shared" si="3"/>
        <v>4.8411215802764501E-2</v>
      </c>
      <c r="D59" s="120">
        <f t="shared" si="4"/>
        <v>-20727.019989874607</v>
      </c>
      <c r="E59" s="237">
        <v>6.8836744172887168E-2</v>
      </c>
      <c r="F59" s="120">
        <f t="shared" si="2"/>
        <v>-1426.7805725093167</v>
      </c>
    </row>
    <row r="60" spans="1:6" x14ac:dyDescent="0.25">
      <c r="A60" s="86" t="s">
        <v>305</v>
      </c>
      <c r="B60" s="122">
        <v>1161282.7833100678</v>
      </c>
      <c r="C60" s="123">
        <f t="shared" si="3"/>
        <v>1.6711402430876212E-3</v>
      </c>
      <c r="D60" s="120">
        <f t="shared" si="4"/>
        <v>-715.4903393767496</v>
      </c>
      <c r="E60" s="237">
        <v>0</v>
      </c>
      <c r="F60" s="120">
        <f t="shared" si="2"/>
        <v>0</v>
      </c>
    </row>
    <row r="61" spans="1:6" x14ac:dyDescent="0.25">
      <c r="A61" s="86" t="s">
        <v>306</v>
      </c>
      <c r="B61" s="122">
        <v>1040862.3686785746</v>
      </c>
      <c r="C61" s="123">
        <f t="shared" si="3"/>
        <v>1.497849633881841E-3</v>
      </c>
      <c r="D61" s="120">
        <f t="shared" si="4"/>
        <v>-641.29683149834079</v>
      </c>
      <c r="E61" s="237">
        <v>0</v>
      </c>
      <c r="F61" s="120">
        <f t="shared" si="2"/>
        <v>0</v>
      </c>
    </row>
    <row r="62" spans="1:6" x14ac:dyDescent="0.25">
      <c r="A62" s="86" t="s">
        <v>307</v>
      </c>
      <c r="B62" s="122">
        <v>1565974.6592413117</v>
      </c>
      <c r="C62" s="123">
        <f t="shared" si="3"/>
        <v>2.2535107816326243E-3</v>
      </c>
      <c r="D62" s="120">
        <f t="shared" si="4"/>
        <v>-964.82937360209996</v>
      </c>
      <c r="E62" s="237">
        <v>0</v>
      </c>
      <c r="F62" s="120">
        <f t="shared" si="2"/>
        <v>0</v>
      </c>
    </row>
    <row r="63" spans="1:6" x14ac:dyDescent="0.25">
      <c r="A63" s="86" t="s">
        <v>308</v>
      </c>
      <c r="B63" s="122">
        <v>8659755.6641642787</v>
      </c>
      <c r="C63" s="123">
        <f t="shared" si="3"/>
        <v>1.2461793452617559E-2</v>
      </c>
      <c r="D63" s="120">
        <f t="shared" si="4"/>
        <v>-5335.454557770945</v>
      </c>
      <c r="E63" s="237">
        <v>0</v>
      </c>
      <c r="F63" s="120">
        <f t="shared" si="2"/>
        <v>0</v>
      </c>
    </row>
    <row r="64" spans="1:6" x14ac:dyDescent="0.25">
      <c r="A64" s="86" t="s">
        <v>309</v>
      </c>
      <c r="B64" s="122">
        <v>5063531.091486901</v>
      </c>
      <c r="C64" s="123">
        <f t="shared" si="3"/>
        <v>7.2866580825299201E-3</v>
      </c>
      <c r="D64" s="120">
        <f t="shared" si="4"/>
        <v>-3119.7462247447725</v>
      </c>
      <c r="E64" s="237">
        <v>0</v>
      </c>
      <c r="F64" s="120">
        <f t="shared" si="2"/>
        <v>0</v>
      </c>
    </row>
    <row r="65" spans="1:6" x14ac:dyDescent="0.25">
      <c r="A65" s="86" t="s">
        <v>310</v>
      </c>
      <c r="B65" s="122">
        <v>1052182.428081865</v>
      </c>
      <c r="C65" s="123">
        <f t="shared" si="3"/>
        <v>1.5141397288482535E-3</v>
      </c>
      <c r="D65" s="120">
        <f t="shared" si="4"/>
        <v>-648.2713542077355</v>
      </c>
      <c r="E65" s="237">
        <v>1</v>
      </c>
      <c r="F65" s="120">
        <f t="shared" si="2"/>
        <v>-648.2713542077355</v>
      </c>
    </row>
    <row r="66" spans="1:6" x14ac:dyDescent="0.25">
      <c r="A66" s="86" t="s">
        <v>311</v>
      </c>
      <c r="B66" s="122">
        <v>207320.58451035304</v>
      </c>
      <c r="C66" s="123">
        <f t="shared" si="3"/>
        <v>2.9834401833475925E-4</v>
      </c>
      <c r="D66" s="120">
        <f t="shared" si="4"/>
        <v>-127.73449972993549</v>
      </c>
      <c r="E66" s="237">
        <v>0</v>
      </c>
      <c r="F66" s="120">
        <f t="shared" si="2"/>
        <v>0</v>
      </c>
    </row>
    <row r="67" spans="1:6" x14ac:dyDescent="0.25">
      <c r="A67" s="86" t="s">
        <v>312</v>
      </c>
      <c r="B67" s="122">
        <v>2574115.8889564965</v>
      </c>
      <c r="C67" s="123">
        <f t="shared" si="3"/>
        <v>3.7042731660458035E-3</v>
      </c>
      <c r="D67" s="120">
        <f t="shared" si="4"/>
        <v>-1585.9660346766805</v>
      </c>
      <c r="E67" s="237">
        <v>6.8836744172887168E-2</v>
      </c>
      <c r="F67" s="120">
        <f t="shared" si="2"/>
        <v>-109.17273819592695</v>
      </c>
    </row>
    <row r="68" spans="1:6" x14ac:dyDescent="0.25">
      <c r="A68" s="86" t="s">
        <v>313</v>
      </c>
      <c r="B68" s="124">
        <v>1679460.0689229874</v>
      </c>
      <c r="C68" s="123">
        <f t="shared" si="3"/>
        <v>2.4168215943373163E-3</v>
      </c>
      <c r="D68" s="120">
        <f t="shared" si="4"/>
        <v>-1034.7500815075502</v>
      </c>
      <c r="E68" s="237">
        <v>0</v>
      </c>
      <c r="F68" s="120">
        <f t="shared" si="2"/>
        <v>0</v>
      </c>
    </row>
    <row r="69" spans="1:6" x14ac:dyDescent="0.25">
      <c r="A69" s="86" t="s">
        <v>314</v>
      </c>
      <c r="B69" s="124">
        <v>52704.45648905819</v>
      </c>
      <c r="C69" s="123">
        <f t="shared" si="3"/>
        <v>7.5844178088885707E-5</v>
      </c>
      <c r="D69" s="120">
        <f t="shared" si="4"/>
        <v>-32.472305627865971</v>
      </c>
      <c r="E69" s="237">
        <v>0</v>
      </c>
      <c r="F69" s="120">
        <f t="shared" si="2"/>
        <v>0</v>
      </c>
    </row>
    <row r="70" spans="1:6" x14ac:dyDescent="0.25">
      <c r="A70" s="86" t="s">
        <v>315</v>
      </c>
      <c r="B70" s="124">
        <v>355365.0965460015</v>
      </c>
      <c r="C70" s="123">
        <f t="shared" si="3"/>
        <v>5.1138699579616196E-4</v>
      </c>
      <c r="D70" s="120">
        <f t="shared" si="4"/>
        <v>-218.94778531514777</v>
      </c>
      <c r="E70" s="237">
        <v>0</v>
      </c>
      <c r="F70" s="120">
        <f t="shared" si="2"/>
        <v>0</v>
      </c>
    </row>
    <row r="71" spans="1:6" x14ac:dyDescent="0.25">
      <c r="A71" s="86" t="s">
        <v>316</v>
      </c>
      <c r="B71" s="124">
        <v>54425.557778113303</v>
      </c>
      <c r="C71" s="123">
        <f t="shared" si="3"/>
        <v>7.8320923346721872E-5</v>
      </c>
      <c r="D71" s="120">
        <f t="shared" si="4"/>
        <v>-33.532711726282237</v>
      </c>
      <c r="E71" s="237">
        <v>0</v>
      </c>
      <c r="F71" s="120">
        <f t="shared" si="2"/>
        <v>0</v>
      </c>
    </row>
    <row r="72" spans="1:6" x14ac:dyDescent="0.25">
      <c r="A72" s="86" t="s">
        <v>317</v>
      </c>
      <c r="B72" s="122">
        <v>2385041.6751109622</v>
      </c>
      <c r="C72" s="123">
        <f t="shared" ref="C72:C82" si="5">B72/$B$89</f>
        <v>3.4321865285544583E-3</v>
      </c>
      <c r="D72" s="120">
        <f t="shared" ref="D72:D82" si="6">C72*$D$89</f>
        <v>-1469.4735012679484</v>
      </c>
      <c r="E72" s="237">
        <v>0</v>
      </c>
      <c r="F72" s="120">
        <f t="shared" si="2"/>
        <v>0</v>
      </c>
    </row>
    <row r="73" spans="1:6" x14ac:dyDescent="0.25">
      <c r="A73" s="86" t="s">
        <v>318</v>
      </c>
      <c r="B73" s="124">
        <v>351194.63940799743</v>
      </c>
      <c r="C73" s="123">
        <f t="shared" si="5"/>
        <v>5.0538551290538376E-4</v>
      </c>
      <c r="D73" s="120">
        <f t="shared" si="6"/>
        <v>-216.37828042287552</v>
      </c>
      <c r="E73" s="237">
        <v>1</v>
      </c>
      <c r="F73" s="120">
        <f t="shared" ref="F73:F82" si="7">D73*E73</f>
        <v>-216.37828042287552</v>
      </c>
    </row>
    <row r="74" spans="1:6" x14ac:dyDescent="0.25">
      <c r="A74" s="86" t="s">
        <v>319</v>
      </c>
      <c r="B74" s="122">
        <v>1191314.8376383614</v>
      </c>
      <c r="C74" s="123">
        <f t="shared" si="5"/>
        <v>1.7143577739869877E-3</v>
      </c>
      <c r="D74" s="120">
        <f t="shared" si="6"/>
        <v>-733.99370914365886</v>
      </c>
      <c r="E74" s="237">
        <v>0</v>
      </c>
      <c r="F74" s="120">
        <f t="shared" si="7"/>
        <v>0</v>
      </c>
    </row>
    <row r="75" spans="1:6" x14ac:dyDescent="0.25">
      <c r="A75" s="86" t="s">
        <v>118</v>
      </c>
      <c r="B75" s="122">
        <v>32109.090801921579</v>
      </c>
      <c r="C75" s="123">
        <f t="shared" si="5"/>
        <v>4.6206483536334824E-5</v>
      </c>
      <c r="D75" s="120">
        <f t="shared" si="6"/>
        <v>-19.783074893664072</v>
      </c>
      <c r="E75" s="237">
        <v>0</v>
      </c>
      <c r="F75" s="120">
        <f t="shared" si="7"/>
        <v>0</v>
      </c>
    </row>
    <row r="76" spans="1:6" x14ac:dyDescent="0.25">
      <c r="A76" s="86" t="s">
        <v>119</v>
      </c>
      <c r="B76" s="122">
        <v>484962.67595560307</v>
      </c>
      <c r="C76" s="123">
        <f t="shared" si="5"/>
        <v>6.9788397437084751E-4</v>
      </c>
      <c r="D76" s="120">
        <f t="shared" si="6"/>
        <v>-298.79553420700648</v>
      </c>
      <c r="E76" s="237">
        <v>0</v>
      </c>
      <c r="F76" s="120">
        <f t="shared" si="7"/>
        <v>0</v>
      </c>
    </row>
    <row r="77" spans="1:6" x14ac:dyDescent="0.25">
      <c r="A77" s="86" t="s">
        <v>71</v>
      </c>
      <c r="B77" s="122">
        <v>101222865.95621783</v>
      </c>
      <c r="C77" s="123">
        <f t="shared" si="5"/>
        <v>0.14566443871486701</v>
      </c>
      <c r="D77" s="120">
        <f t="shared" si="6"/>
        <v>-62365.501113576734</v>
      </c>
      <c r="E77" s="237">
        <v>6.6548046661184135E-2</v>
      </c>
      <c r="F77" s="120">
        <f t="shared" si="7"/>
        <v>-4150.302278154436</v>
      </c>
    </row>
    <row r="78" spans="1:6" x14ac:dyDescent="0.25">
      <c r="A78" s="86" t="s">
        <v>120</v>
      </c>
      <c r="B78" s="122">
        <v>507733.63108115114</v>
      </c>
      <c r="C78" s="123">
        <f t="shared" si="5"/>
        <v>7.3065244388641182E-4</v>
      </c>
      <c r="D78" s="120">
        <f t="shared" si="6"/>
        <v>-312.82519058774778</v>
      </c>
      <c r="E78" s="237">
        <v>0</v>
      </c>
      <c r="F78" s="120">
        <f t="shared" si="7"/>
        <v>0</v>
      </c>
    </row>
    <row r="79" spans="1:6" x14ac:dyDescent="0.25">
      <c r="A79" s="86" t="s">
        <v>121</v>
      </c>
      <c r="B79" s="172">
        <v>414777.8111685231</v>
      </c>
      <c r="C79" s="123">
        <f t="shared" si="5"/>
        <v>5.968846711115344E-4</v>
      </c>
      <c r="D79" s="120">
        <f t="shared" si="6"/>
        <v>-255.5531875130479</v>
      </c>
      <c r="E79" s="237">
        <v>1</v>
      </c>
      <c r="F79" s="120">
        <f t="shared" si="7"/>
        <v>-255.5531875130479</v>
      </c>
    </row>
    <row r="80" spans="1:6" x14ac:dyDescent="0.25">
      <c r="A80" s="86" t="s">
        <v>320</v>
      </c>
      <c r="B80" s="172">
        <v>61606.268722206303</v>
      </c>
      <c r="C80" s="123">
        <f t="shared" si="5"/>
        <v>8.8654302266238212E-5</v>
      </c>
      <c r="D80" s="120">
        <f t="shared" si="6"/>
        <v>-37.956896243778559</v>
      </c>
      <c r="E80" s="237">
        <v>0</v>
      </c>
      <c r="F80" s="120">
        <f t="shared" si="7"/>
        <v>0</v>
      </c>
    </row>
    <row r="81" spans="1:6" x14ac:dyDescent="0.25">
      <c r="A81" s="86" t="s">
        <v>167</v>
      </c>
      <c r="B81" s="172">
        <v>920416.90510690771</v>
      </c>
      <c r="C81" s="123">
        <f t="shared" si="5"/>
        <v>1.3245229780795105E-3</v>
      </c>
      <c r="D81" s="120">
        <f t="shared" si="6"/>
        <v>-567.08789044985201</v>
      </c>
      <c r="E81" s="237">
        <v>0</v>
      </c>
      <c r="F81" s="120">
        <f t="shared" si="7"/>
        <v>0</v>
      </c>
    </row>
    <row r="82" spans="1:6" x14ac:dyDescent="0.25">
      <c r="A82" s="86" t="s">
        <v>321</v>
      </c>
      <c r="B82" s="172">
        <v>-3709.8577847316133</v>
      </c>
      <c r="C82" s="123">
        <f t="shared" si="5"/>
        <v>-5.3386588773197592E-6</v>
      </c>
      <c r="D82" s="120">
        <f t="shared" si="6"/>
        <v>2.2857201050300682</v>
      </c>
      <c r="E82" s="237">
        <v>0</v>
      </c>
      <c r="F82" s="120">
        <f t="shared" si="7"/>
        <v>0</v>
      </c>
    </row>
    <row r="83" spans="1:6" x14ac:dyDescent="0.25">
      <c r="A83" s="121"/>
      <c r="B83" s="125"/>
      <c r="C83" s="126"/>
      <c r="D83" s="100"/>
      <c r="E83" s="119"/>
      <c r="F83" s="100"/>
    </row>
    <row r="84" spans="1:6" x14ac:dyDescent="0.25">
      <c r="A84" s="121"/>
      <c r="B84" s="127"/>
      <c r="C84" s="128"/>
      <c r="D84" s="100"/>
      <c r="E84" s="101"/>
      <c r="F84" s="100"/>
    </row>
    <row r="85" spans="1:6" x14ac:dyDescent="0.25">
      <c r="A85" s="129" t="s">
        <v>122</v>
      </c>
      <c r="B85" s="130">
        <f>SUM(B8:B82)</f>
        <v>473221715.10178638</v>
      </c>
      <c r="C85" s="131">
        <f>SUM(C8:C82)</f>
        <v>0.68098818252986026</v>
      </c>
      <c r="D85" s="130">
        <f>SUM(D8:D82)</f>
        <v>-291561.685409247</v>
      </c>
      <c r="E85" s="101"/>
      <c r="F85" s="130">
        <f>SUM(F8:F84)</f>
        <v>-18280.558651400002</v>
      </c>
    </row>
    <row r="86" spans="1:6" x14ac:dyDescent="0.25">
      <c r="A86" s="121"/>
      <c r="B86" s="127"/>
      <c r="C86" s="128"/>
      <c r="D86" s="100"/>
      <c r="E86" s="101"/>
      <c r="F86" s="100"/>
    </row>
    <row r="87" spans="1:6" x14ac:dyDescent="0.25">
      <c r="A87" s="121" t="s">
        <v>168</v>
      </c>
      <c r="B87" s="124">
        <v>221682730</v>
      </c>
      <c r="C87" s="126">
        <f>B87/B89</f>
        <v>0.31901181747014001</v>
      </c>
      <c r="D87" s="120">
        <f>C87*$D$89</f>
        <v>-136583.31459075309</v>
      </c>
      <c r="E87" s="101"/>
      <c r="F87" s="100"/>
    </row>
    <row r="88" spans="1:6" x14ac:dyDescent="0.25">
      <c r="A88" s="121"/>
      <c r="B88" s="127"/>
      <c r="C88" s="128"/>
      <c r="D88" s="100"/>
      <c r="E88" s="101"/>
      <c r="F88" s="100"/>
    </row>
    <row r="89" spans="1:6" x14ac:dyDescent="0.25">
      <c r="A89" s="132" t="s">
        <v>4</v>
      </c>
      <c r="B89" s="133">
        <f>B85+B87</f>
        <v>694904445.10178638</v>
      </c>
      <c r="C89" s="134">
        <f>C85+C87</f>
        <v>1.0000000000000002</v>
      </c>
      <c r="D89" s="133">
        <f>Sch11p1!I23</f>
        <v>-428145</v>
      </c>
      <c r="E89" s="101"/>
      <c r="F89" s="100"/>
    </row>
  </sheetData>
  <pageMargins left="0.7" right="0.7" top="0.75" bottom="0.75" header="0.3" footer="0.3"/>
  <pageSetup scale="50"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workbookViewId="0">
      <selection activeCell="E4" sqref="E4"/>
    </sheetView>
  </sheetViews>
  <sheetFormatPr defaultRowHeight="15.75" x14ac:dyDescent="0.25"/>
  <cols>
    <col min="1" max="1" width="5.125" customWidth="1"/>
    <col min="2" max="2" width="1.125" customWidth="1"/>
    <col min="3" max="3" width="41.125" customWidth="1"/>
    <col min="4" max="4" width="9.25" customWidth="1"/>
    <col min="5" max="5" width="13.25" bestFit="1" customWidth="1"/>
    <col min="6" max="6" width="1.375" customWidth="1"/>
    <col min="7" max="7" width="21.375" customWidth="1"/>
  </cols>
  <sheetData>
    <row r="1" spans="1:7" x14ac:dyDescent="0.25">
      <c r="A1" t="s">
        <v>418</v>
      </c>
      <c r="E1" t="s">
        <v>386</v>
      </c>
    </row>
    <row r="2" spans="1:7" x14ac:dyDescent="0.25">
      <c r="A2" t="s">
        <v>147</v>
      </c>
      <c r="E2" t="s">
        <v>261</v>
      </c>
    </row>
    <row r="3" spans="1:7" x14ac:dyDescent="0.25">
      <c r="A3" t="s">
        <v>148</v>
      </c>
      <c r="E3" t="s">
        <v>454</v>
      </c>
    </row>
    <row r="4" spans="1:7" x14ac:dyDescent="0.25">
      <c r="A4" t="s">
        <v>234</v>
      </c>
    </row>
    <row r="5" spans="1:7" x14ac:dyDescent="0.25">
      <c r="A5" t="s">
        <v>384</v>
      </c>
      <c r="B5" s="147"/>
      <c r="C5" s="147"/>
      <c r="D5" s="147"/>
      <c r="E5" s="148"/>
      <c r="F5" s="147"/>
      <c r="G5" s="147"/>
    </row>
    <row r="6" spans="1:7" x14ac:dyDescent="0.25">
      <c r="A6" s="147"/>
      <c r="B6" s="147"/>
      <c r="C6" s="147"/>
      <c r="D6" s="147"/>
      <c r="E6" s="148"/>
      <c r="F6" s="147"/>
      <c r="G6" s="147"/>
    </row>
    <row r="7" spans="1:7" x14ac:dyDescent="0.25">
      <c r="A7" s="15"/>
      <c r="B7" s="7"/>
      <c r="C7" s="7"/>
      <c r="D7" s="7"/>
      <c r="E7" s="149"/>
      <c r="F7" s="7"/>
      <c r="G7" s="7"/>
    </row>
    <row r="8" spans="1:7" x14ac:dyDescent="0.25">
      <c r="A8" s="15"/>
      <c r="B8" s="7"/>
      <c r="C8" s="7"/>
      <c r="D8" s="7"/>
      <c r="E8" s="149"/>
      <c r="F8" s="7"/>
      <c r="G8" s="7"/>
    </row>
    <row r="9" spans="1:7" x14ac:dyDescent="0.25">
      <c r="A9" s="15" t="s">
        <v>0</v>
      </c>
      <c r="B9" s="7"/>
      <c r="C9" s="7"/>
      <c r="D9" s="7"/>
      <c r="E9" s="149"/>
      <c r="F9" s="7"/>
      <c r="G9" s="7"/>
    </row>
    <row r="10" spans="1:7" x14ac:dyDescent="0.25">
      <c r="A10" s="150" t="s">
        <v>3</v>
      </c>
      <c r="B10" s="7"/>
      <c r="C10" s="151" t="s">
        <v>1</v>
      </c>
      <c r="D10" s="7"/>
      <c r="E10" s="152" t="s">
        <v>2</v>
      </c>
      <c r="F10" s="15"/>
      <c r="G10" s="150" t="s">
        <v>87</v>
      </c>
    </row>
    <row r="11" spans="1:7" x14ac:dyDescent="0.25">
      <c r="A11" s="15"/>
      <c r="B11" s="7"/>
      <c r="C11" s="7"/>
      <c r="D11" s="7"/>
      <c r="E11" s="149"/>
      <c r="F11" s="7"/>
      <c r="G11" s="7"/>
    </row>
    <row r="12" spans="1:7" x14ac:dyDescent="0.25">
      <c r="A12" s="15">
        <v>1</v>
      </c>
      <c r="B12" s="7"/>
      <c r="C12" s="74" t="s">
        <v>230</v>
      </c>
      <c r="D12" s="7"/>
      <c r="E12" s="149">
        <f>'Sch2'!M67</f>
        <v>829827675</v>
      </c>
      <c r="F12" s="7"/>
      <c r="G12" s="158" t="s">
        <v>150</v>
      </c>
    </row>
    <row r="13" spans="1:7" x14ac:dyDescent="0.25">
      <c r="A13" s="15"/>
      <c r="B13" s="7"/>
      <c r="C13" s="7"/>
      <c r="D13" s="7"/>
      <c r="E13" s="149"/>
      <c r="F13" s="7"/>
      <c r="G13" s="9"/>
    </row>
    <row r="14" spans="1:7" x14ac:dyDescent="0.25">
      <c r="A14" s="15">
        <v>2</v>
      </c>
      <c r="B14" s="7"/>
      <c r="C14" s="74" t="s">
        <v>422</v>
      </c>
      <c r="D14" s="17"/>
      <c r="E14" s="153">
        <f>'Sch13'!I14</f>
        <v>2.6355840000000002E-2</v>
      </c>
      <c r="F14" s="7"/>
      <c r="G14" s="158" t="s">
        <v>421</v>
      </c>
    </row>
    <row r="15" spans="1:7" x14ac:dyDescent="0.25">
      <c r="A15" s="15"/>
      <c r="B15" s="7"/>
      <c r="C15" s="7"/>
      <c r="D15" s="7"/>
      <c r="E15" s="149"/>
      <c r="F15" s="7"/>
      <c r="G15" s="9"/>
    </row>
    <row r="16" spans="1:7" x14ac:dyDescent="0.25">
      <c r="A16" s="15">
        <v>3</v>
      </c>
      <c r="B16" s="7"/>
      <c r="C16" s="7" t="s">
        <v>225</v>
      </c>
      <c r="D16" s="7"/>
      <c r="E16" s="149">
        <f>ROUND(E12*E14,0)</f>
        <v>21870805</v>
      </c>
      <c r="F16" s="7"/>
      <c r="G16" s="9" t="s">
        <v>226</v>
      </c>
    </row>
    <row r="17" spans="1:7" x14ac:dyDescent="0.25">
      <c r="A17" s="15"/>
      <c r="B17" s="7"/>
      <c r="C17" s="7"/>
      <c r="D17" s="7"/>
      <c r="E17" s="149"/>
      <c r="F17" s="7"/>
      <c r="G17" s="9"/>
    </row>
    <row r="18" spans="1:7" x14ac:dyDescent="0.25">
      <c r="A18" s="15">
        <v>4</v>
      </c>
      <c r="B18" s="7"/>
      <c r="C18" s="7" t="s">
        <v>227</v>
      </c>
      <c r="D18" s="7"/>
      <c r="E18" s="154">
        <v>21810944</v>
      </c>
      <c r="F18" s="7"/>
      <c r="G18" s="159" t="s">
        <v>402</v>
      </c>
    </row>
    <row r="19" spans="1:7" x14ac:dyDescent="0.25">
      <c r="A19" s="15"/>
      <c r="B19" s="7"/>
      <c r="C19" s="7"/>
      <c r="D19" s="7"/>
      <c r="E19" s="149"/>
      <c r="F19" s="7"/>
      <c r="G19" s="15"/>
    </row>
    <row r="20" spans="1:7" x14ac:dyDescent="0.25">
      <c r="A20" s="15">
        <v>5</v>
      </c>
      <c r="B20" s="7"/>
      <c r="C20" s="7" t="s">
        <v>228</v>
      </c>
      <c r="D20" s="7"/>
      <c r="E20" s="149">
        <f>E16-E18</f>
        <v>59861</v>
      </c>
      <c r="F20" s="7"/>
      <c r="G20" s="158" t="s">
        <v>232</v>
      </c>
    </row>
    <row r="21" spans="1:7" x14ac:dyDescent="0.25">
      <c r="A21" s="15"/>
      <c r="B21" s="7"/>
      <c r="C21" s="7"/>
      <c r="D21" s="7"/>
      <c r="E21" s="149"/>
      <c r="F21" s="7"/>
      <c r="G21" s="9"/>
    </row>
    <row r="22" spans="1:7" x14ac:dyDescent="0.25">
      <c r="A22" s="15">
        <v>6</v>
      </c>
      <c r="B22" s="7"/>
      <c r="C22" s="74" t="s">
        <v>231</v>
      </c>
      <c r="D22" s="7"/>
      <c r="E22" s="160">
        <v>0.35</v>
      </c>
      <c r="F22" s="7"/>
      <c r="G22" s="9"/>
    </row>
    <row r="23" spans="1:7" x14ac:dyDescent="0.25">
      <c r="A23" s="15"/>
      <c r="B23" s="7"/>
      <c r="C23" s="7"/>
      <c r="D23" s="7"/>
      <c r="E23" s="149"/>
      <c r="F23" s="7"/>
      <c r="G23" s="9"/>
    </row>
    <row r="24" spans="1:7" ht="16.5" thickBot="1" x14ac:dyDescent="0.3">
      <c r="A24" s="15">
        <v>7</v>
      </c>
      <c r="B24" s="7"/>
      <c r="C24" s="7" t="s">
        <v>229</v>
      </c>
      <c r="D24" s="7"/>
      <c r="E24" s="155">
        <f>ROUND(E20*E22,0)</f>
        <v>20951</v>
      </c>
      <c r="F24" s="7"/>
      <c r="G24" s="9"/>
    </row>
    <row r="25" spans="1:7" ht="16.5" thickTop="1" x14ac:dyDescent="0.25">
      <c r="A25" s="15"/>
      <c r="B25" s="7"/>
      <c r="C25" s="7"/>
      <c r="D25" s="7"/>
      <c r="E25" s="149"/>
      <c r="F25" s="7"/>
      <c r="G25" s="7"/>
    </row>
    <row r="26" spans="1:7" x14ac:dyDescent="0.25">
      <c r="A26" s="15"/>
      <c r="B26" s="7"/>
      <c r="C26" s="7"/>
      <c r="D26" s="7"/>
      <c r="E26" s="149"/>
      <c r="F26" s="7"/>
      <c r="G26" s="7"/>
    </row>
    <row r="27" spans="1:7" x14ac:dyDescent="0.25">
      <c r="A27" s="15"/>
      <c r="B27" s="7"/>
      <c r="C27" s="156"/>
      <c r="D27" s="35"/>
      <c r="E27" s="157"/>
      <c r="F27" s="35"/>
      <c r="G27" s="35"/>
    </row>
    <row r="30" spans="1:7" x14ac:dyDescent="0.25">
      <c r="C30" t="s">
        <v>235</v>
      </c>
    </row>
    <row r="32" spans="1:7" ht="52.5" customHeight="1" x14ac:dyDescent="0.25">
      <c r="C32" s="231" t="s">
        <v>389</v>
      </c>
      <c r="D32" s="232"/>
      <c r="E32" s="232"/>
      <c r="F32" s="232"/>
      <c r="G32" s="233"/>
    </row>
    <row r="33" spans="3:7" x14ac:dyDescent="0.25">
      <c r="C33" s="161"/>
      <c r="D33" s="161"/>
      <c r="E33" s="161"/>
      <c r="F33" s="161"/>
      <c r="G33" s="161"/>
    </row>
    <row r="34" spans="3:7" x14ac:dyDescent="0.25">
      <c r="C34" s="161"/>
      <c r="D34" s="161"/>
      <c r="E34" s="161"/>
      <c r="F34" s="161"/>
      <c r="G34" s="161"/>
    </row>
    <row r="35" spans="3:7" x14ac:dyDescent="0.25">
      <c r="C35" s="161"/>
      <c r="D35" s="161"/>
      <c r="E35" s="161"/>
      <c r="F35" s="161"/>
      <c r="G35" s="161"/>
    </row>
  </sheetData>
  <mergeCells count="1">
    <mergeCell ref="C32:G32"/>
  </mergeCells>
  <pageMargins left="0.7" right="0.7" top="0.75" bottom="0.75" header="0.3" footer="0.3"/>
  <pageSetup scale="91"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35"/>
  <sheetViews>
    <sheetView workbookViewId="0">
      <selection activeCell="L4" sqref="L4"/>
    </sheetView>
  </sheetViews>
  <sheetFormatPr defaultRowHeight="15.75" x14ac:dyDescent="0.25"/>
  <cols>
    <col min="1" max="1" width="3.625" customWidth="1"/>
    <col min="2" max="2" width="2.25" customWidth="1"/>
    <col min="3" max="3" width="31.5" customWidth="1"/>
    <col min="4" max="4" width="2" customWidth="1"/>
    <col min="5" max="5" width="0.75" customWidth="1"/>
    <col min="6" max="6" width="16.25" customWidth="1"/>
    <col min="7" max="7" width="1.25" customWidth="1"/>
    <col min="8" max="8" width="14.75" customWidth="1"/>
    <col min="9" max="9" width="0.625" customWidth="1"/>
    <col min="10" max="10" width="14.75" customWidth="1"/>
    <col min="11" max="11" width="2.125" customWidth="1"/>
    <col min="12" max="12" width="15" customWidth="1"/>
    <col min="13" max="13" width="1.25" customWidth="1"/>
    <col min="14" max="14" width="9.625" customWidth="1"/>
  </cols>
  <sheetData>
    <row r="1" spans="1:14" x14ac:dyDescent="0.25">
      <c r="A1" t="s">
        <v>149</v>
      </c>
      <c r="L1" t="s">
        <v>386</v>
      </c>
    </row>
    <row r="2" spans="1:14" x14ac:dyDescent="0.25">
      <c r="A2" t="s">
        <v>147</v>
      </c>
      <c r="L2" t="s">
        <v>261</v>
      </c>
    </row>
    <row r="3" spans="1:14" x14ac:dyDescent="0.25">
      <c r="A3" t="s">
        <v>148</v>
      </c>
      <c r="L3" t="s">
        <v>437</v>
      </c>
    </row>
    <row r="4" spans="1:14" x14ac:dyDescent="0.25">
      <c r="A4" t="s">
        <v>152</v>
      </c>
      <c r="L4" t="str">
        <f>'DMR-2'!G4</f>
        <v>Revised 3/29/16</v>
      </c>
    </row>
    <row r="5" spans="1:14" x14ac:dyDescent="0.25">
      <c r="A5" t="s">
        <v>384</v>
      </c>
      <c r="H5" s="1" t="s">
        <v>95</v>
      </c>
      <c r="J5" s="1" t="s">
        <v>95</v>
      </c>
    </row>
    <row r="6" spans="1:14" x14ac:dyDescent="0.25">
      <c r="A6" s="7"/>
      <c r="B6" s="7"/>
      <c r="C6" s="7"/>
      <c r="D6" s="7"/>
      <c r="E6" s="7"/>
      <c r="G6" s="7"/>
      <c r="H6" t="s">
        <v>396</v>
      </c>
      <c r="I6" s="1"/>
      <c r="J6" t="s">
        <v>398</v>
      </c>
      <c r="L6" s="75" t="s">
        <v>478</v>
      </c>
      <c r="M6" s="7"/>
      <c r="N6" s="7"/>
    </row>
    <row r="7" spans="1:14" x14ac:dyDescent="0.25">
      <c r="A7" s="15" t="s">
        <v>0</v>
      </c>
      <c r="B7" s="7"/>
      <c r="C7" s="7"/>
      <c r="D7" s="7"/>
      <c r="E7" s="7"/>
      <c r="F7" s="15" t="s">
        <v>95</v>
      </c>
      <c r="G7" s="15"/>
      <c r="H7" s="1" t="s">
        <v>397</v>
      </c>
      <c r="I7" s="1"/>
      <c r="J7" s="1" t="s">
        <v>399</v>
      </c>
      <c r="L7" s="75" t="s">
        <v>169</v>
      </c>
      <c r="M7" s="7"/>
      <c r="N7" s="7"/>
    </row>
    <row r="8" spans="1:14" x14ac:dyDescent="0.25">
      <c r="A8" s="33" t="s">
        <v>96</v>
      </c>
      <c r="B8" s="7"/>
      <c r="C8" s="52" t="s">
        <v>1</v>
      </c>
      <c r="D8" s="7"/>
      <c r="E8" s="7"/>
      <c r="F8" s="53" t="s">
        <v>2</v>
      </c>
      <c r="G8" s="34"/>
      <c r="H8" s="10" t="s">
        <v>264</v>
      </c>
      <c r="I8" s="8"/>
      <c r="J8" s="10" t="s">
        <v>400</v>
      </c>
      <c r="L8" s="53" t="s">
        <v>2</v>
      </c>
      <c r="M8" s="7"/>
      <c r="N8" s="3" t="s">
        <v>87</v>
      </c>
    </row>
    <row r="9" spans="1:14" x14ac:dyDescent="0.25">
      <c r="A9" s="7"/>
      <c r="B9" s="7"/>
      <c r="C9" s="7"/>
      <c r="D9" s="7"/>
      <c r="E9" s="7"/>
      <c r="F9" s="47" t="s">
        <v>109</v>
      </c>
      <c r="G9" s="1"/>
      <c r="H9" s="170" t="s">
        <v>110</v>
      </c>
      <c r="I9" s="170"/>
      <c r="J9" s="171" t="s">
        <v>244</v>
      </c>
      <c r="K9" s="1"/>
      <c r="L9" s="47" t="s">
        <v>245</v>
      </c>
      <c r="M9" s="7"/>
      <c r="N9" s="7"/>
    </row>
    <row r="10" spans="1:14" x14ac:dyDescent="0.25">
      <c r="A10" s="7">
        <v>1</v>
      </c>
      <c r="B10" s="7"/>
      <c r="C10" s="54" t="s">
        <v>97</v>
      </c>
      <c r="D10" s="7"/>
      <c r="E10" s="7"/>
      <c r="F10" s="6">
        <f>'Sch2'!E67</f>
        <v>838124164</v>
      </c>
      <c r="G10" s="6"/>
      <c r="H10" s="6">
        <f>'Sch2'!G67</f>
        <v>835682807</v>
      </c>
      <c r="I10" s="6"/>
      <c r="J10" s="6">
        <f>'Sch2'!I67</f>
        <v>828023254</v>
      </c>
      <c r="L10" s="55">
        <f>'Sch2'!M67</f>
        <v>829827675</v>
      </c>
      <c r="M10" s="7"/>
      <c r="N10" s="74" t="s">
        <v>150</v>
      </c>
    </row>
    <row r="11" spans="1:14" x14ac:dyDescent="0.25">
      <c r="A11" s="7"/>
      <c r="B11" s="7"/>
      <c r="C11" s="7"/>
      <c r="D11" s="7"/>
      <c r="E11" s="7"/>
      <c r="L11" s="56"/>
      <c r="M11" s="7"/>
      <c r="N11" s="7"/>
    </row>
    <row r="12" spans="1:14" x14ac:dyDescent="0.25">
      <c r="A12" s="7">
        <v>2</v>
      </c>
      <c r="B12" s="7"/>
      <c r="C12" s="54" t="s">
        <v>98</v>
      </c>
      <c r="D12" s="7"/>
      <c r="E12" s="7"/>
      <c r="F12" s="6">
        <f>'Sch2'!E41+1</f>
        <v>54518748</v>
      </c>
      <c r="G12" s="6"/>
      <c r="H12" s="6">
        <f>'Sch2'!G41+1</f>
        <v>54496241</v>
      </c>
      <c r="I12" s="6"/>
      <c r="J12" s="6">
        <f>'Sch2'!I41+1</f>
        <v>54792366</v>
      </c>
      <c r="L12" s="55">
        <f>'Sch2'!M41</f>
        <v>62683702.65137583</v>
      </c>
      <c r="M12" s="7"/>
      <c r="N12" s="74" t="s">
        <v>150</v>
      </c>
    </row>
    <row r="13" spans="1:14" x14ac:dyDescent="0.25">
      <c r="A13" s="7"/>
      <c r="B13" s="7"/>
      <c r="C13" s="7"/>
      <c r="D13" s="7"/>
      <c r="E13" s="7"/>
      <c r="L13" s="57"/>
      <c r="M13" s="7"/>
      <c r="N13" s="7"/>
    </row>
    <row r="14" spans="1:14" x14ac:dyDescent="0.25">
      <c r="A14" s="7">
        <v>3</v>
      </c>
      <c r="B14" s="7"/>
      <c r="C14" s="54" t="s">
        <v>99</v>
      </c>
      <c r="D14" s="7"/>
      <c r="E14" s="7"/>
      <c r="F14" s="58">
        <f>F12/F10</f>
        <v>6.5048533787411475E-2</v>
      </c>
      <c r="G14" s="58"/>
      <c r="H14" s="58">
        <f>H12/H10</f>
        <v>6.521163358096943E-2</v>
      </c>
      <c r="I14" s="58"/>
      <c r="J14" s="58">
        <f>J12/J10</f>
        <v>6.6172496648264426E-2</v>
      </c>
      <c r="L14" s="58">
        <f>L12/L10</f>
        <v>7.5538216595844226E-2</v>
      </c>
      <c r="M14" s="7"/>
      <c r="N14" s="7" t="s">
        <v>100</v>
      </c>
    </row>
    <row r="15" spans="1:14" x14ac:dyDescent="0.25">
      <c r="A15" s="7"/>
      <c r="B15" s="7"/>
      <c r="C15" s="7"/>
      <c r="D15" s="7"/>
      <c r="E15" s="7"/>
      <c r="L15" s="58"/>
      <c r="M15" s="7"/>
      <c r="N15" s="7"/>
    </row>
    <row r="16" spans="1:14" x14ac:dyDescent="0.25">
      <c r="A16" s="7">
        <v>4</v>
      </c>
      <c r="B16" s="7"/>
      <c r="C16" s="159" t="s">
        <v>420</v>
      </c>
      <c r="D16" s="7"/>
      <c r="E16" s="7"/>
      <c r="F16" s="93">
        <v>7.2999999999999995E-2</v>
      </c>
      <c r="G16" s="59"/>
      <c r="H16" s="93">
        <v>7.2999999999999995E-2</v>
      </c>
      <c r="I16" s="182"/>
      <c r="J16" s="93">
        <v>7.2999999999999995E-2</v>
      </c>
      <c r="L16" s="93">
        <f>ROUND('Sch13'!I17,3)</f>
        <v>7.2999999999999995E-2</v>
      </c>
      <c r="M16" s="7"/>
      <c r="N16" s="146" t="s">
        <v>421</v>
      </c>
    </row>
    <row r="17" spans="1:14" x14ac:dyDescent="0.25">
      <c r="A17" s="7"/>
      <c r="B17" s="7"/>
      <c r="C17" s="7"/>
      <c r="D17" s="7"/>
      <c r="E17" s="7"/>
      <c r="L17" s="7"/>
      <c r="M17" s="7"/>
      <c r="N17" s="7"/>
    </row>
    <row r="18" spans="1:14" x14ac:dyDescent="0.25">
      <c r="A18" s="7">
        <v>5</v>
      </c>
      <c r="B18" s="7"/>
      <c r="C18" s="54" t="s">
        <v>101</v>
      </c>
      <c r="D18" s="7"/>
      <c r="E18" s="7"/>
      <c r="F18" s="60">
        <f>F10*F16</f>
        <v>61183063.971999995</v>
      </c>
      <c r="G18" s="60"/>
      <c r="H18" s="60">
        <f>H10*H16</f>
        <v>61004844.910999998</v>
      </c>
      <c r="I18" s="60"/>
      <c r="J18" s="60">
        <f>J10*J16</f>
        <v>60445697.541999996</v>
      </c>
      <c r="L18" s="60">
        <f>ROUND(L10*L16,0)</f>
        <v>60577420</v>
      </c>
      <c r="M18" s="7"/>
      <c r="N18" s="7" t="s">
        <v>102</v>
      </c>
    </row>
    <row r="19" spans="1:14" x14ac:dyDescent="0.25">
      <c r="A19" s="7"/>
      <c r="B19" s="7"/>
      <c r="C19" s="7"/>
      <c r="D19" s="7"/>
      <c r="E19" s="7"/>
      <c r="L19" s="60"/>
      <c r="M19" s="7"/>
      <c r="N19" s="7"/>
    </row>
    <row r="20" spans="1:14" x14ac:dyDescent="0.25">
      <c r="A20" s="7">
        <v>6</v>
      </c>
      <c r="B20" s="7"/>
      <c r="C20" s="54" t="s">
        <v>103</v>
      </c>
      <c r="D20" s="7"/>
      <c r="E20" s="7"/>
      <c r="F20" s="60">
        <f>F12-F18</f>
        <v>-6664315.9719999954</v>
      </c>
      <c r="G20" s="60"/>
      <c r="H20" s="60">
        <f>H12-H18</f>
        <v>-6508603.9109999985</v>
      </c>
      <c r="I20" s="60"/>
      <c r="J20" s="60">
        <f>J12-J18</f>
        <v>-5653331.5419999957</v>
      </c>
      <c r="L20" s="60">
        <f>L12-L18</f>
        <v>2106282.6513758302</v>
      </c>
      <c r="M20" s="7"/>
      <c r="N20" s="7" t="s">
        <v>104</v>
      </c>
    </row>
    <row r="21" spans="1:14" x14ac:dyDescent="0.25">
      <c r="A21" s="7"/>
      <c r="B21" s="7"/>
      <c r="C21" s="7"/>
      <c r="D21" s="7"/>
      <c r="E21" s="7"/>
      <c r="F21" s="7"/>
      <c r="G21" s="7"/>
      <c r="H21" s="7"/>
      <c r="I21" s="7"/>
      <c r="J21" s="7"/>
      <c r="L21" s="7"/>
      <c r="M21" s="7"/>
      <c r="N21" s="7"/>
    </row>
    <row r="22" spans="1:14" x14ac:dyDescent="0.25">
      <c r="A22" s="7">
        <v>7</v>
      </c>
      <c r="B22" s="7"/>
      <c r="C22" s="54" t="s">
        <v>105</v>
      </c>
      <c r="D22" s="7"/>
      <c r="E22" s="7"/>
      <c r="F22" s="96">
        <f>1/0.62014</f>
        <v>1.6125391040732737</v>
      </c>
      <c r="G22" s="94"/>
      <c r="H22" s="96">
        <f>1/0.62014</f>
        <v>1.6125391040732737</v>
      </c>
      <c r="I22" s="183"/>
      <c r="J22" s="96">
        <f>1/0.62014</f>
        <v>1.6125391040732737</v>
      </c>
      <c r="L22" s="96">
        <f>1/0.62014</f>
        <v>1.6125391040732737</v>
      </c>
      <c r="M22" s="7"/>
      <c r="N22" s="9"/>
    </row>
    <row r="23" spans="1:14" x14ac:dyDescent="0.25">
      <c r="A23" s="7"/>
      <c r="B23" s="7"/>
      <c r="C23" s="7"/>
      <c r="D23" s="7"/>
      <c r="E23" s="7"/>
      <c r="F23" s="7"/>
      <c r="G23" s="7"/>
      <c r="H23" s="7"/>
      <c r="I23" s="7"/>
      <c r="J23" s="7"/>
      <c r="L23" s="7"/>
      <c r="M23" s="7"/>
      <c r="N23" s="7"/>
    </row>
    <row r="24" spans="1:14" ht="16.5" thickBot="1" x14ac:dyDescent="0.3">
      <c r="A24" s="7">
        <v>8</v>
      </c>
      <c r="B24" s="7"/>
      <c r="C24" s="54" t="s">
        <v>106</v>
      </c>
      <c r="D24" s="7"/>
      <c r="E24" s="7"/>
      <c r="F24" s="61">
        <f>F20*F22</f>
        <v>-10746470.10675008</v>
      </c>
      <c r="G24" s="62"/>
      <c r="H24" s="61">
        <f>H20*H22</f>
        <v>-10495378.319411743</v>
      </c>
      <c r="I24" s="62"/>
      <c r="J24" s="61">
        <f>J20*J22</f>
        <v>-9116218.1797658522</v>
      </c>
      <c r="L24" s="61">
        <f>ROUND(L20*L22,0)</f>
        <v>3396463</v>
      </c>
      <c r="M24" s="7"/>
      <c r="N24" s="7" t="s">
        <v>107</v>
      </c>
    </row>
    <row r="25" spans="1:14" ht="16.5" thickTop="1" x14ac:dyDescent="0.25">
      <c r="A25" s="7"/>
      <c r="B25" s="7"/>
      <c r="C25" s="7"/>
      <c r="D25" s="63"/>
      <c r="E25" s="7"/>
      <c r="F25" s="7"/>
      <c r="G25" s="7"/>
      <c r="L25" s="7"/>
      <c r="M25" s="7"/>
      <c r="N25" s="7"/>
    </row>
    <row r="26" spans="1:14" x14ac:dyDescent="0.25">
      <c r="A26" s="4"/>
      <c r="B26" s="4"/>
      <c r="C26" s="36" t="s">
        <v>427</v>
      </c>
      <c r="D26" s="4"/>
      <c r="E26" s="4"/>
      <c r="F26" s="4"/>
      <c r="G26" s="4"/>
      <c r="H26" s="4"/>
      <c r="I26" s="4"/>
      <c r="J26" s="4"/>
      <c r="K26" s="4"/>
      <c r="L26" s="167"/>
    </row>
    <row r="27" spans="1:14" x14ac:dyDescent="0.25">
      <c r="A27" s="4"/>
      <c r="B27" s="4"/>
      <c r="C27" s="4" t="s">
        <v>265</v>
      </c>
      <c r="D27" s="4"/>
      <c r="E27" s="4"/>
      <c r="F27" s="4"/>
      <c r="G27" s="4"/>
      <c r="H27" s="4"/>
      <c r="I27" s="4"/>
      <c r="J27" s="4"/>
      <c r="K27" s="4"/>
      <c r="L27" s="168"/>
    </row>
    <row r="28" spans="1:14" x14ac:dyDescent="0.25">
      <c r="A28" s="4"/>
      <c r="B28" s="4"/>
      <c r="C28" s="4" t="s">
        <v>425</v>
      </c>
      <c r="D28" s="4"/>
      <c r="E28" s="4"/>
      <c r="F28" s="4"/>
      <c r="G28" s="4"/>
      <c r="H28" s="4"/>
      <c r="I28" s="4"/>
      <c r="J28" s="4"/>
      <c r="K28" s="4"/>
      <c r="L28" s="4"/>
    </row>
    <row r="29" spans="1:14" x14ac:dyDescent="0.25">
      <c r="A29" s="4"/>
      <c r="B29" s="4"/>
      <c r="C29" s="18" t="s">
        <v>426</v>
      </c>
      <c r="D29" s="4"/>
      <c r="E29" s="4"/>
      <c r="F29" s="8"/>
      <c r="G29" s="8"/>
      <c r="H29" s="4"/>
      <c r="I29" s="4"/>
      <c r="J29" s="4"/>
      <c r="K29" s="4"/>
      <c r="L29" s="62"/>
    </row>
    <row r="30" spans="1:14" x14ac:dyDescent="0.25">
      <c r="C30" s="36"/>
      <c r="D30" s="4"/>
      <c r="E30" s="4"/>
      <c r="F30" s="14"/>
      <c r="G30" s="8"/>
      <c r="H30" s="14"/>
      <c r="I30" s="14"/>
      <c r="J30" s="14"/>
    </row>
    <row r="31" spans="1:14" x14ac:dyDescent="0.25">
      <c r="C31" s="4"/>
      <c r="D31" s="4"/>
      <c r="E31" s="4"/>
      <c r="F31" s="20"/>
      <c r="G31" s="20"/>
      <c r="H31" s="20"/>
      <c r="I31" s="20"/>
      <c r="J31" s="20"/>
    </row>
    <row r="32" spans="1:14" x14ac:dyDescent="0.25">
      <c r="C32" s="4"/>
      <c r="D32" s="4"/>
      <c r="E32" s="4"/>
      <c r="F32" s="20"/>
      <c r="G32" s="20"/>
      <c r="H32" s="20"/>
      <c r="I32" s="20"/>
      <c r="J32" s="20"/>
    </row>
    <row r="33" spans="3:10" x14ac:dyDescent="0.25">
      <c r="C33" s="4"/>
      <c r="D33" s="4"/>
      <c r="E33" s="4"/>
      <c r="F33" s="20"/>
      <c r="G33" s="20"/>
      <c r="H33" s="20"/>
      <c r="I33" s="20"/>
      <c r="J33" s="20"/>
    </row>
    <row r="34" spans="3:10" x14ac:dyDescent="0.25">
      <c r="C34" s="4"/>
      <c r="D34" s="4"/>
      <c r="E34" s="4"/>
      <c r="F34" s="20"/>
      <c r="G34" s="20"/>
      <c r="H34" s="20"/>
      <c r="I34" s="20"/>
      <c r="J34" s="20"/>
    </row>
    <row r="35" spans="3:10" x14ac:dyDescent="0.25">
      <c r="C35" s="4"/>
      <c r="D35" s="4"/>
      <c r="E35" s="4"/>
      <c r="F35" s="4"/>
      <c r="G35" s="4"/>
      <c r="H35" s="4"/>
      <c r="I35" s="4"/>
      <c r="J35" s="4"/>
    </row>
  </sheetData>
  <pageMargins left="0.7" right="0.7" top="0.75" bottom="0.75" header="0.3" footer="0.3"/>
  <pageSetup scale="6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workbookViewId="0">
      <selection activeCell="C5" sqref="C5"/>
    </sheetView>
  </sheetViews>
  <sheetFormatPr defaultRowHeight="15.75" x14ac:dyDescent="0.25"/>
  <cols>
    <col min="1" max="1" width="4.375" customWidth="1"/>
    <col min="2" max="2" width="1.75" customWidth="1"/>
    <col min="3" max="3" width="25.75" customWidth="1"/>
    <col min="4" max="4" width="5.5" customWidth="1"/>
    <col min="5" max="5" width="11.5" customWidth="1"/>
    <col min="6" max="6" width="1" customWidth="1"/>
    <col min="8" max="8" width="1.25" customWidth="1"/>
    <col min="9" max="9" width="10" bestFit="1" customWidth="1"/>
  </cols>
  <sheetData>
    <row r="1" spans="1:13" x14ac:dyDescent="0.25">
      <c r="A1" t="s">
        <v>421</v>
      </c>
      <c r="I1" t="s">
        <v>386</v>
      </c>
      <c r="L1" s="7"/>
      <c r="M1" s="7"/>
    </row>
    <row r="2" spans="1:13" x14ac:dyDescent="0.25">
      <c r="A2" t="s">
        <v>147</v>
      </c>
      <c r="I2" t="s">
        <v>261</v>
      </c>
      <c r="L2" s="7"/>
      <c r="M2" s="7"/>
    </row>
    <row r="3" spans="1:13" x14ac:dyDescent="0.25">
      <c r="A3" t="s">
        <v>148</v>
      </c>
      <c r="I3" t="s">
        <v>455</v>
      </c>
      <c r="L3" s="7"/>
      <c r="M3" s="7"/>
    </row>
    <row r="4" spans="1:13" x14ac:dyDescent="0.25">
      <c r="A4" t="s">
        <v>419</v>
      </c>
      <c r="L4" s="7"/>
      <c r="M4" s="7"/>
    </row>
    <row r="5" spans="1:13" x14ac:dyDescent="0.25">
      <c r="A5" t="s">
        <v>384</v>
      </c>
      <c r="B5" s="7"/>
      <c r="C5" s="7"/>
      <c r="D5" s="7"/>
      <c r="E5" s="7"/>
      <c r="F5" s="7"/>
      <c r="G5" s="7"/>
      <c r="H5" s="7"/>
      <c r="I5" s="7"/>
      <c r="J5" s="7"/>
      <c r="K5" s="7"/>
      <c r="L5" s="7"/>
      <c r="M5" s="7"/>
    </row>
    <row r="6" spans="1:13" x14ac:dyDescent="0.25">
      <c r="A6" s="7"/>
      <c r="B6" s="7"/>
      <c r="C6" s="7"/>
      <c r="D6" s="15"/>
      <c r="E6" s="7"/>
      <c r="F6" s="7"/>
      <c r="G6" s="7"/>
      <c r="H6" s="7"/>
      <c r="I6" s="7"/>
      <c r="J6" s="7"/>
      <c r="K6" s="7"/>
      <c r="L6" s="7"/>
      <c r="M6" s="21"/>
    </row>
    <row r="9" spans="1:13" x14ac:dyDescent="0.25">
      <c r="A9" t="s">
        <v>0</v>
      </c>
      <c r="E9" s="1" t="s">
        <v>216</v>
      </c>
      <c r="G9" s="1" t="s">
        <v>218</v>
      </c>
      <c r="H9" s="1"/>
      <c r="I9" s="1" t="s">
        <v>219</v>
      </c>
      <c r="J9" s="1"/>
      <c r="K9" s="1"/>
    </row>
    <row r="10" spans="1:13" x14ac:dyDescent="0.25">
      <c r="A10" s="2" t="s">
        <v>3</v>
      </c>
      <c r="C10" s="2" t="s">
        <v>1</v>
      </c>
      <c r="E10" s="10" t="s">
        <v>217</v>
      </c>
      <c r="G10" s="10" t="s">
        <v>193</v>
      </c>
      <c r="H10" s="1"/>
      <c r="I10" s="10" t="s">
        <v>220</v>
      </c>
      <c r="J10" s="1"/>
      <c r="K10" s="1"/>
    </row>
    <row r="12" spans="1:13" x14ac:dyDescent="0.25">
      <c r="A12">
        <v>1</v>
      </c>
      <c r="C12" t="s">
        <v>221</v>
      </c>
      <c r="E12" s="92">
        <v>0.49099999999999999</v>
      </c>
      <c r="F12" s="92"/>
      <c r="G12" s="92">
        <v>9.5000000000000001E-2</v>
      </c>
      <c r="H12" s="92"/>
      <c r="I12" s="92">
        <f>E12*G12</f>
        <v>4.6644999999999999E-2</v>
      </c>
    </row>
    <row r="13" spans="1:13" x14ac:dyDescent="0.25">
      <c r="A13">
        <v>2</v>
      </c>
      <c r="C13" t="s">
        <v>222</v>
      </c>
      <c r="E13" s="92">
        <v>2.0000000000000001E-4</v>
      </c>
      <c r="F13" s="92"/>
      <c r="G13" s="92">
        <v>6.7500000000000004E-2</v>
      </c>
      <c r="H13" s="92"/>
      <c r="I13" s="92">
        <f>E13*G13</f>
        <v>1.3500000000000001E-5</v>
      </c>
    </row>
    <row r="14" spans="1:13" x14ac:dyDescent="0.25">
      <c r="A14">
        <v>3</v>
      </c>
      <c r="C14" t="s">
        <v>223</v>
      </c>
      <c r="E14" s="92">
        <v>0.50880000000000003</v>
      </c>
      <c r="F14" s="92"/>
      <c r="G14" s="92">
        <v>5.1799999999999999E-2</v>
      </c>
      <c r="H14" s="92"/>
      <c r="I14" s="92">
        <f>E14*G14</f>
        <v>2.6355840000000002E-2</v>
      </c>
    </row>
    <row r="15" spans="1:13" x14ac:dyDescent="0.25">
      <c r="A15">
        <v>4</v>
      </c>
      <c r="C15" t="s">
        <v>224</v>
      </c>
      <c r="E15" s="143">
        <v>0</v>
      </c>
      <c r="F15" s="92"/>
      <c r="G15" s="92">
        <v>0</v>
      </c>
      <c r="H15" s="92"/>
      <c r="I15" s="143">
        <f>E15*G15</f>
        <v>0</v>
      </c>
    </row>
    <row r="16" spans="1:13" x14ac:dyDescent="0.25">
      <c r="E16" s="92"/>
      <c r="F16" s="92"/>
      <c r="G16" s="92"/>
      <c r="H16" s="92"/>
      <c r="I16" s="92"/>
    </row>
    <row r="17" spans="1:9" ht="16.5" thickBot="1" x14ac:dyDescent="0.3">
      <c r="A17">
        <v>5</v>
      </c>
      <c r="C17" t="s">
        <v>4</v>
      </c>
      <c r="E17" s="92">
        <f>SUM(E12:E16)</f>
        <v>1</v>
      </c>
      <c r="F17" s="92"/>
      <c r="G17" s="92"/>
      <c r="H17" s="92"/>
      <c r="I17" s="83">
        <f>SUM(I12:I16)</f>
        <v>7.3014339999999997E-2</v>
      </c>
    </row>
    <row r="18" spans="1:9" ht="16.5" thickTop="1" x14ac:dyDescent="0.25"/>
    <row r="20" spans="1:9" x14ac:dyDescent="0.25">
      <c r="C20" t="s">
        <v>423</v>
      </c>
    </row>
    <row r="21" spans="1:9" x14ac:dyDescent="0.25">
      <c r="C21" t="s">
        <v>424</v>
      </c>
    </row>
  </sheetData>
  <pageMargins left="0.7" right="0.7" top="0.75" bottom="0.75" header="0.3" footer="0.3"/>
  <pageSetup orientation="portrait"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workbookViewId="0">
      <selection activeCell="C21" sqref="C21"/>
    </sheetView>
  </sheetViews>
  <sheetFormatPr defaultRowHeight="15.75" x14ac:dyDescent="0.25"/>
  <cols>
    <col min="1" max="1" width="3.875" customWidth="1"/>
    <col min="2" max="2" width="1.5" customWidth="1"/>
    <col min="3" max="3" width="49.75" customWidth="1"/>
    <col min="4" max="4" width="2.125" customWidth="1"/>
    <col min="5" max="5" width="12.5" customWidth="1"/>
    <col min="6" max="6" width="1.125" customWidth="1"/>
    <col min="7" max="7" width="11.25" customWidth="1"/>
    <col min="8" max="8" width="1.75" customWidth="1"/>
    <col min="9" max="9" width="12" customWidth="1"/>
  </cols>
  <sheetData>
    <row r="1" spans="1:10" x14ac:dyDescent="0.25">
      <c r="A1" t="s">
        <v>147</v>
      </c>
      <c r="G1" t="s">
        <v>386</v>
      </c>
    </row>
    <row r="2" spans="1:10" x14ac:dyDescent="0.25">
      <c r="A2" t="s">
        <v>148</v>
      </c>
      <c r="G2" t="s">
        <v>391</v>
      </c>
    </row>
    <row r="3" spans="1:10" x14ac:dyDescent="0.25">
      <c r="A3" t="s">
        <v>390</v>
      </c>
      <c r="G3" t="s">
        <v>475</v>
      </c>
    </row>
    <row r="4" spans="1:10" x14ac:dyDescent="0.25">
      <c r="A4" t="s">
        <v>384</v>
      </c>
    </row>
    <row r="6" spans="1:10" x14ac:dyDescent="0.25">
      <c r="C6" s="179"/>
      <c r="G6" s="1" t="s">
        <v>206</v>
      </c>
      <c r="H6" s="1"/>
      <c r="I6" s="1" t="s">
        <v>209</v>
      </c>
    </row>
    <row r="7" spans="1:10" x14ac:dyDescent="0.25">
      <c r="E7" s="1"/>
      <c r="F7" s="1"/>
      <c r="G7" s="1" t="s">
        <v>212</v>
      </c>
      <c r="H7" s="1"/>
      <c r="I7" s="1" t="s">
        <v>210</v>
      </c>
    </row>
    <row r="8" spans="1:10" x14ac:dyDescent="0.25">
      <c r="A8" t="s">
        <v>0</v>
      </c>
      <c r="C8" s="2" t="s">
        <v>1</v>
      </c>
      <c r="E8" s="10" t="s">
        <v>73</v>
      </c>
      <c r="F8" s="1"/>
      <c r="G8" s="10" t="s">
        <v>208</v>
      </c>
      <c r="H8" s="1"/>
      <c r="I8" s="10" t="s">
        <v>211</v>
      </c>
    </row>
    <row r="10" spans="1:10" x14ac:dyDescent="0.25">
      <c r="A10">
        <v>1</v>
      </c>
      <c r="C10" t="s">
        <v>213</v>
      </c>
      <c r="E10" s="42">
        <v>36028776</v>
      </c>
      <c r="F10" s="42"/>
      <c r="G10" s="42">
        <f>-3912410</f>
        <v>-3912410</v>
      </c>
      <c r="H10" s="42"/>
      <c r="I10" s="42"/>
    </row>
    <row r="11" spans="1:10" x14ac:dyDescent="0.25">
      <c r="A11">
        <v>2</v>
      </c>
      <c r="C11" t="s">
        <v>414</v>
      </c>
      <c r="E11" s="42"/>
      <c r="F11" s="42"/>
      <c r="G11" s="42"/>
      <c r="H11" s="42"/>
      <c r="I11" s="42">
        <f>((E10*DMR3Sch1!F16)-G10)*DMR3Sch1!F22+40</f>
        <v>10550094.258715773</v>
      </c>
    </row>
    <row r="12" spans="1:10" x14ac:dyDescent="0.25">
      <c r="E12" s="42"/>
      <c r="F12" s="42"/>
      <c r="G12" s="42"/>
      <c r="H12" s="42"/>
      <c r="I12" s="42"/>
    </row>
    <row r="13" spans="1:10" x14ac:dyDescent="0.25">
      <c r="C13" s="2" t="s">
        <v>262</v>
      </c>
    </row>
    <row r="14" spans="1:10" x14ac:dyDescent="0.25">
      <c r="A14">
        <v>3</v>
      </c>
      <c r="C14" s="18" t="s">
        <v>266</v>
      </c>
      <c r="E14" s="6">
        <v>29168413</v>
      </c>
      <c r="G14" s="6">
        <f>-3975659</f>
        <v>-3975659</v>
      </c>
    </row>
    <row r="15" spans="1:10" x14ac:dyDescent="0.25">
      <c r="A15">
        <v>4</v>
      </c>
      <c r="C15" s="18" t="s">
        <v>415</v>
      </c>
      <c r="I15" s="42">
        <f>((E14*DMR3Sch1!H16)-G14)*DMR3Sch1!H22+37</f>
        <v>9844512.6812977716</v>
      </c>
    </row>
    <row r="16" spans="1:10" x14ac:dyDescent="0.25">
      <c r="C16" s="18"/>
      <c r="I16" s="42"/>
      <c r="J16" s="6"/>
    </row>
    <row r="17" spans="1:9" x14ac:dyDescent="0.25">
      <c r="C17" s="3" t="s">
        <v>214</v>
      </c>
      <c r="E17" s="42"/>
      <c r="F17" s="42"/>
      <c r="G17" s="42"/>
      <c r="H17" s="42"/>
      <c r="I17" s="42"/>
    </row>
    <row r="18" spans="1:9" x14ac:dyDescent="0.25">
      <c r="A18">
        <v>3</v>
      </c>
      <c r="C18" t="s">
        <v>392</v>
      </c>
      <c r="E18" s="185">
        <v>1283578</v>
      </c>
      <c r="F18" s="185"/>
      <c r="G18" s="185">
        <f>1384375*(1-0.35)</f>
        <v>899843.75</v>
      </c>
      <c r="H18" s="185"/>
      <c r="I18" s="186">
        <f>(E18*DMR3Sch1!$L$16*DMR3Sch1!$L$22)-(G18*DMR3Sch1!$L$22)</f>
        <v>-1299936.3950075791</v>
      </c>
    </row>
    <row r="19" spans="1:9" x14ac:dyDescent="0.25">
      <c r="A19">
        <v>4</v>
      </c>
      <c r="C19" t="s">
        <v>394</v>
      </c>
      <c r="E19" s="185">
        <f>-'Sch7'!G24*'Sch7'!K11</f>
        <v>-752219.72082000005</v>
      </c>
      <c r="F19" s="185"/>
      <c r="G19" s="185"/>
      <c r="H19" s="185"/>
      <c r="I19" s="186">
        <f>(E19*DMR3Sch1!$L$16*DMR3Sch1!$L$22)-(G19*DMR3Sch1!$L$22)</f>
        <v>-88547.811171445152</v>
      </c>
    </row>
    <row r="20" spans="1:9" x14ac:dyDescent="0.25">
      <c r="A20">
        <v>5</v>
      </c>
      <c r="C20" t="s">
        <v>236</v>
      </c>
      <c r="E20" s="42"/>
      <c r="F20" s="42"/>
      <c r="G20" s="42">
        <f>(E18+E19)*'Sch12'!E14*'Sch12'!E22</f>
        <v>4901.5378260601938</v>
      </c>
      <c r="H20" s="42"/>
      <c r="I20" s="145">
        <f>(E20*DMR3Sch1!$L$16*DMR3Sch1!$L$22)-(G20*DMR3Sch1!$L$22)</f>
        <v>-7903.9214146163667</v>
      </c>
    </row>
    <row r="21" spans="1:9" x14ac:dyDescent="0.25">
      <c r="E21" s="42"/>
      <c r="F21" s="42"/>
      <c r="G21" s="42"/>
      <c r="H21" s="42"/>
      <c r="I21" s="162"/>
    </row>
    <row r="22" spans="1:9" ht="16.5" thickBot="1" x14ac:dyDescent="0.3">
      <c r="A22">
        <v>6</v>
      </c>
      <c r="C22" t="s">
        <v>243</v>
      </c>
      <c r="E22" s="42"/>
      <c r="F22" s="42"/>
      <c r="G22" s="42"/>
      <c r="H22" s="42"/>
      <c r="I22" s="163">
        <f>SUM(I15:I20)</f>
        <v>8448124.5537041314</v>
      </c>
    </row>
    <row r="23" spans="1:9" ht="16.5" thickTop="1" x14ac:dyDescent="0.25"/>
    <row r="25" spans="1:9" x14ac:dyDescent="0.25">
      <c r="C25" s="13" t="s">
        <v>263</v>
      </c>
    </row>
    <row r="26" spans="1:9" x14ac:dyDescent="0.25">
      <c r="C26" t="s">
        <v>470</v>
      </c>
    </row>
    <row r="27" spans="1:9" x14ac:dyDescent="0.25">
      <c r="C27" t="s">
        <v>471</v>
      </c>
      <c r="I27" s="6"/>
    </row>
  </sheetData>
  <pageMargins left="0.7" right="0.7" top="0.75" bottom="0.75" header="0.3" footer="0.3"/>
  <pageSetup scale="88" orientation="portrait"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workbookViewId="0">
      <selection activeCell="C30" sqref="C30"/>
    </sheetView>
  </sheetViews>
  <sheetFormatPr defaultRowHeight="15.75" x14ac:dyDescent="0.25"/>
  <cols>
    <col min="1" max="1" width="4.625" customWidth="1"/>
    <col min="2" max="2" width="1.625" customWidth="1"/>
    <col min="3" max="3" width="28.625" customWidth="1"/>
    <col min="4" max="4" width="3.75" customWidth="1"/>
    <col min="5" max="5" width="8" customWidth="1"/>
    <col min="6" max="6" width="1" customWidth="1"/>
    <col min="7" max="7" width="15.125" customWidth="1"/>
    <col min="8" max="8" width="0.875" customWidth="1"/>
    <col min="9" max="9" width="7.5" customWidth="1"/>
    <col min="10" max="10" width="1" customWidth="1"/>
    <col min="11" max="11" width="9.125" customWidth="1"/>
    <col min="12" max="12" width="1" customWidth="1"/>
    <col min="13" max="13" width="12.5" customWidth="1"/>
  </cols>
  <sheetData>
    <row r="1" spans="1:13" x14ac:dyDescent="0.25">
      <c r="A1" t="s">
        <v>147</v>
      </c>
      <c r="K1" t="s">
        <v>386</v>
      </c>
      <c r="L1" s="86"/>
    </row>
    <row r="2" spans="1:13" x14ac:dyDescent="0.25">
      <c r="A2" t="s">
        <v>148</v>
      </c>
      <c r="K2" t="s">
        <v>391</v>
      </c>
      <c r="L2" s="86"/>
    </row>
    <row r="3" spans="1:13" x14ac:dyDescent="0.25">
      <c r="A3" t="s">
        <v>473</v>
      </c>
      <c r="K3" t="s">
        <v>472</v>
      </c>
      <c r="L3" s="86"/>
    </row>
    <row r="4" spans="1:13" x14ac:dyDescent="0.25">
      <c r="A4" t="s">
        <v>474</v>
      </c>
      <c r="L4" s="86"/>
    </row>
    <row r="5" spans="1:13" x14ac:dyDescent="0.25">
      <c r="A5" t="s">
        <v>384</v>
      </c>
    </row>
    <row r="6" spans="1:13" x14ac:dyDescent="0.25">
      <c r="E6" s="179"/>
      <c r="F6" s="179"/>
      <c r="G6" s="179"/>
      <c r="H6" s="179"/>
      <c r="I6" s="179"/>
      <c r="J6" s="179"/>
      <c r="K6" s="179"/>
      <c r="L6" s="179"/>
      <c r="M6" s="179"/>
    </row>
    <row r="7" spans="1:13" x14ac:dyDescent="0.25">
      <c r="E7" s="179"/>
      <c r="F7" s="179"/>
      <c r="G7" s="179"/>
      <c r="H7" s="179"/>
      <c r="I7" s="179"/>
      <c r="J7" s="179"/>
      <c r="K7" s="179"/>
      <c r="L7" s="179"/>
      <c r="M7" s="179"/>
    </row>
    <row r="8" spans="1:13" x14ac:dyDescent="0.25">
      <c r="A8" t="s">
        <v>0</v>
      </c>
      <c r="E8" s="191"/>
      <c r="F8" s="191"/>
      <c r="G8" s="191" t="s">
        <v>4</v>
      </c>
      <c r="H8" s="191"/>
      <c r="I8" s="191"/>
      <c r="J8" s="191"/>
      <c r="K8" s="191"/>
      <c r="L8" s="191"/>
      <c r="M8" s="191" t="s">
        <v>145</v>
      </c>
    </row>
    <row r="9" spans="1:13" x14ac:dyDescent="0.25">
      <c r="A9" s="2" t="s">
        <v>3</v>
      </c>
      <c r="C9" s="2" t="s">
        <v>1</v>
      </c>
      <c r="E9" s="196" t="s">
        <v>65</v>
      </c>
      <c r="F9" s="191"/>
      <c r="G9" s="196" t="s">
        <v>6</v>
      </c>
      <c r="H9" s="191"/>
      <c r="I9" s="196" t="s">
        <v>7</v>
      </c>
      <c r="J9" s="191"/>
      <c r="K9" s="197" t="s">
        <v>9</v>
      </c>
      <c r="L9" s="191"/>
      <c r="M9" s="196" t="s">
        <v>8</v>
      </c>
    </row>
    <row r="10" spans="1:13" x14ac:dyDescent="0.25">
      <c r="E10" s="179"/>
      <c r="F10" s="179"/>
      <c r="G10" s="179"/>
      <c r="H10" s="179"/>
      <c r="I10" s="179"/>
      <c r="J10" s="179"/>
      <c r="K10" s="179"/>
      <c r="L10" s="179"/>
      <c r="M10" s="179"/>
    </row>
    <row r="11" spans="1:13" x14ac:dyDescent="0.25">
      <c r="A11">
        <v>1</v>
      </c>
      <c r="C11" t="s">
        <v>372</v>
      </c>
      <c r="E11" s="191">
        <v>312</v>
      </c>
      <c r="F11" s="179"/>
      <c r="G11" s="190">
        <f>G25</f>
        <v>-6170055</v>
      </c>
      <c r="H11" s="179"/>
      <c r="I11" s="191" t="s">
        <v>191</v>
      </c>
      <c r="J11" s="179"/>
      <c r="K11" s="192">
        <v>0.22437000000000001</v>
      </c>
      <c r="L11" s="179"/>
      <c r="M11" s="190">
        <f>ROUND(G11*K11,0)</f>
        <v>-1384375</v>
      </c>
    </row>
    <row r="12" spans="1:13" x14ac:dyDescent="0.25">
      <c r="E12" s="191"/>
      <c r="F12" s="179"/>
      <c r="G12" s="179"/>
      <c r="H12" s="179"/>
      <c r="I12" s="179"/>
      <c r="J12" s="179"/>
      <c r="K12" s="179"/>
      <c r="L12" s="179"/>
      <c r="M12" s="179"/>
    </row>
    <row r="13" spans="1:13" x14ac:dyDescent="0.25">
      <c r="A13">
        <v>2</v>
      </c>
      <c r="C13" t="s">
        <v>378</v>
      </c>
      <c r="E13" s="191" t="s">
        <v>201</v>
      </c>
      <c r="F13" s="179"/>
      <c r="G13" s="190">
        <f>-G11*(2138165/2306071)</f>
        <v>5720810.6988358125</v>
      </c>
      <c r="H13" s="179"/>
      <c r="I13" s="191" t="s">
        <v>191</v>
      </c>
      <c r="J13" s="179"/>
      <c r="K13" s="192">
        <v>0.22437000000000001</v>
      </c>
      <c r="L13" s="179"/>
      <c r="M13" s="190">
        <f>ROUND(G13*K13,0)</f>
        <v>1283578</v>
      </c>
    </row>
    <row r="14" spans="1:13" x14ac:dyDescent="0.25">
      <c r="E14" s="191"/>
      <c r="F14" s="179"/>
      <c r="G14" s="179"/>
      <c r="H14" s="179"/>
      <c r="I14" s="179"/>
      <c r="J14" s="179"/>
      <c r="K14" s="179"/>
      <c r="L14" s="179"/>
      <c r="M14" s="179"/>
    </row>
    <row r="15" spans="1:13" x14ac:dyDescent="0.25">
      <c r="E15" s="179"/>
      <c r="F15" s="179"/>
      <c r="G15" s="179"/>
      <c r="H15" s="179"/>
      <c r="I15" s="179"/>
      <c r="J15" s="179"/>
      <c r="K15" s="179"/>
      <c r="L15" s="179"/>
      <c r="M15" s="179"/>
    </row>
    <row r="16" spans="1:13" x14ac:dyDescent="0.25">
      <c r="E16" s="179"/>
      <c r="F16" s="179"/>
      <c r="G16" s="179"/>
      <c r="H16" s="179"/>
      <c r="I16" s="179"/>
      <c r="J16" s="179"/>
      <c r="K16" s="179"/>
      <c r="L16" s="179"/>
      <c r="M16" s="179"/>
    </row>
    <row r="17" spans="1:13" x14ac:dyDescent="0.25">
      <c r="E17" s="179"/>
      <c r="F17" s="179"/>
      <c r="G17" s="179"/>
      <c r="H17" s="179"/>
      <c r="I17" s="179"/>
      <c r="J17" s="179"/>
      <c r="K17" s="179"/>
      <c r="L17" s="179"/>
      <c r="M17" s="193"/>
    </row>
    <row r="18" spans="1:13" x14ac:dyDescent="0.25">
      <c r="E18" s="179"/>
      <c r="F18" s="179"/>
      <c r="G18" s="179"/>
      <c r="H18" s="179"/>
      <c r="I18" s="179"/>
      <c r="J18" s="179"/>
      <c r="K18" s="179"/>
      <c r="L18" s="179"/>
      <c r="M18" s="193"/>
    </row>
    <row r="19" spans="1:13" x14ac:dyDescent="0.25">
      <c r="A19" t="s">
        <v>80</v>
      </c>
      <c r="C19" t="s">
        <v>393</v>
      </c>
      <c r="E19" s="179"/>
      <c r="F19" s="179"/>
      <c r="G19" s="186">
        <v>143656688</v>
      </c>
      <c r="H19" s="179"/>
      <c r="I19" s="204" t="s">
        <v>196</v>
      </c>
      <c r="J19" s="179"/>
      <c r="K19" s="179"/>
      <c r="L19" s="179"/>
      <c r="M19" s="193"/>
    </row>
    <row r="20" spans="1:13" x14ac:dyDescent="0.25">
      <c r="A20" t="s">
        <v>81</v>
      </c>
      <c r="C20" t="s">
        <v>368</v>
      </c>
      <c r="E20" s="179"/>
      <c r="F20" s="179"/>
      <c r="G20" s="198">
        <v>7.1550000000000002E-2</v>
      </c>
      <c r="H20" s="179"/>
      <c r="I20" s="179"/>
      <c r="J20" s="179"/>
      <c r="K20" s="179"/>
      <c r="L20" s="179"/>
      <c r="M20" s="179"/>
    </row>
    <row r="21" spans="1:13" x14ac:dyDescent="0.25">
      <c r="A21" t="s">
        <v>82</v>
      </c>
      <c r="C21" t="s">
        <v>369</v>
      </c>
      <c r="E21" s="179"/>
      <c r="F21" s="179"/>
      <c r="G21" s="186">
        <f>ROUND(G19*G20,0)</f>
        <v>10278636</v>
      </c>
      <c r="H21" s="179"/>
      <c r="I21" s="179" t="s">
        <v>374</v>
      </c>
      <c r="J21" s="179"/>
      <c r="K21" s="179"/>
      <c r="L21" s="179"/>
      <c r="M21" s="179"/>
    </row>
    <row r="22" spans="1:13" x14ac:dyDescent="0.25">
      <c r="E22" s="179"/>
      <c r="F22" s="179"/>
      <c r="G22" s="179"/>
      <c r="H22" s="179"/>
      <c r="I22" s="179"/>
      <c r="J22" s="179"/>
      <c r="K22" s="179"/>
      <c r="L22" s="179"/>
      <c r="M22" s="179"/>
    </row>
    <row r="23" spans="1:13" x14ac:dyDescent="0.25">
      <c r="A23" t="s">
        <v>83</v>
      </c>
      <c r="C23" t="s">
        <v>370</v>
      </c>
      <c r="E23" s="179"/>
      <c r="F23" s="179"/>
      <c r="G23" s="198">
        <v>2.86E-2</v>
      </c>
      <c r="H23" s="179"/>
      <c r="I23" s="179"/>
      <c r="J23" s="179"/>
      <c r="K23" s="179"/>
      <c r="L23" s="179"/>
      <c r="M23" s="179"/>
    </row>
    <row r="24" spans="1:13" x14ac:dyDescent="0.25">
      <c r="A24" t="s">
        <v>84</v>
      </c>
      <c r="C24" t="s">
        <v>371</v>
      </c>
      <c r="E24" s="179"/>
      <c r="F24" s="179"/>
      <c r="G24" s="203">
        <f>ROUND(G19*G23,0)</f>
        <v>4108581</v>
      </c>
      <c r="H24" s="179"/>
      <c r="I24" s="179" t="s">
        <v>375</v>
      </c>
      <c r="J24" s="179"/>
      <c r="K24" s="179"/>
      <c r="L24" s="179"/>
      <c r="M24" s="179"/>
    </row>
    <row r="25" spans="1:13" x14ac:dyDescent="0.25">
      <c r="A25" t="s">
        <v>373</v>
      </c>
      <c r="C25" t="s">
        <v>372</v>
      </c>
      <c r="E25" s="179"/>
      <c r="F25" s="179"/>
      <c r="G25" s="193">
        <f>G24-G21</f>
        <v>-6170055</v>
      </c>
      <c r="H25" s="179"/>
      <c r="I25" s="179" t="s">
        <v>376</v>
      </c>
      <c r="J25" s="179"/>
      <c r="K25" s="179"/>
      <c r="L25" s="179"/>
      <c r="M25" s="179"/>
    </row>
    <row r="26" spans="1:13" x14ac:dyDescent="0.25">
      <c r="E26" s="179"/>
      <c r="F26" s="179"/>
      <c r="G26" s="179"/>
      <c r="H26" s="179"/>
      <c r="I26" s="179"/>
      <c r="J26" s="179"/>
      <c r="K26" s="179"/>
      <c r="L26" s="179"/>
      <c r="M26" s="179"/>
    </row>
    <row r="27" spans="1:13" x14ac:dyDescent="0.25">
      <c r="E27" s="179"/>
      <c r="F27" s="179"/>
      <c r="G27" s="179"/>
      <c r="H27" s="179"/>
      <c r="I27" s="179"/>
      <c r="J27" s="179"/>
      <c r="K27" s="179"/>
      <c r="L27" s="179"/>
      <c r="M27" s="179"/>
    </row>
    <row r="28" spans="1:13" x14ac:dyDescent="0.25">
      <c r="C28" s="13" t="s">
        <v>476</v>
      </c>
      <c r="E28" s="179"/>
      <c r="F28" s="179"/>
      <c r="G28" s="179"/>
      <c r="H28" s="179"/>
      <c r="I28" s="179"/>
      <c r="J28" s="179"/>
      <c r="K28" s="179"/>
      <c r="L28" s="179"/>
      <c r="M28" s="179"/>
    </row>
    <row r="29" spans="1:13" x14ac:dyDescent="0.25">
      <c r="E29" s="179"/>
      <c r="F29" s="179"/>
      <c r="G29" s="179"/>
      <c r="H29" s="179"/>
      <c r="I29" s="179"/>
      <c r="J29" s="179"/>
      <c r="K29" s="179"/>
      <c r="L29" s="179"/>
      <c r="M29" s="179"/>
    </row>
    <row r="30" spans="1:13" x14ac:dyDescent="0.25">
      <c r="E30" s="179"/>
      <c r="F30" s="179"/>
      <c r="G30" s="179"/>
      <c r="H30" s="179"/>
      <c r="I30" s="179"/>
      <c r="J30" s="179"/>
      <c r="K30" s="179"/>
      <c r="L30" s="179"/>
      <c r="M30" s="179"/>
    </row>
  </sheetData>
  <pageMargins left="0.7" right="0.7" top="0.75" bottom="0.75" header="0.3" footer="0.3"/>
  <pageSetup scale="8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72"/>
  <sheetViews>
    <sheetView workbookViewId="0">
      <selection activeCell="K5" sqref="K5"/>
    </sheetView>
  </sheetViews>
  <sheetFormatPr defaultRowHeight="15.75" x14ac:dyDescent="0.25"/>
  <cols>
    <col min="1" max="1" width="4.25" customWidth="1"/>
    <col min="2" max="2" width="1.375" customWidth="1"/>
    <col min="3" max="3" width="29.125" customWidth="1"/>
    <col min="4" max="4" width="1.875" customWidth="1"/>
    <col min="5" max="5" width="15" customWidth="1"/>
    <col min="6" max="6" width="1.125" customWidth="1"/>
    <col min="7" max="7" width="14.375" customWidth="1"/>
    <col min="8" max="8" width="0.625" customWidth="1"/>
    <col min="9" max="9" width="14.375" customWidth="1"/>
    <col min="10" max="10" width="0.875" customWidth="1"/>
    <col min="11" max="11" width="12.75" customWidth="1"/>
    <col min="12" max="12" width="1.375" customWidth="1"/>
    <col min="13" max="13" width="14" customWidth="1"/>
  </cols>
  <sheetData>
    <row r="1" spans="1:13" x14ac:dyDescent="0.25">
      <c r="A1" t="s">
        <v>150</v>
      </c>
      <c r="K1" t="s">
        <v>386</v>
      </c>
    </row>
    <row r="2" spans="1:13" x14ac:dyDescent="0.25">
      <c r="A2" t="s">
        <v>147</v>
      </c>
      <c r="K2" t="s">
        <v>261</v>
      </c>
    </row>
    <row r="3" spans="1:13" x14ac:dyDescent="0.25">
      <c r="A3" t="s">
        <v>148</v>
      </c>
      <c r="K3" t="s">
        <v>438</v>
      </c>
    </row>
    <row r="4" spans="1:13" x14ac:dyDescent="0.25">
      <c r="A4" t="s">
        <v>153</v>
      </c>
      <c r="K4" t="str">
        <f>'DMR-2'!G4</f>
        <v>Revised 3/29/16</v>
      </c>
    </row>
    <row r="5" spans="1:13" x14ac:dyDescent="0.25">
      <c r="A5" t="s">
        <v>384</v>
      </c>
    </row>
    <row r="6" spans="1:13" x14ac:dyDescent="0.25">
      <c r="G6" s="1" t="s">
        <v>95</v>
      </c>
      <c r="I6" s="1" t="s">
        <v>95</v>
      </c>
    </row>
    <row r="7" spans="1:13" x14ac:dyDescent="0.25">
      <c r="A7" s="7"/>
      <c r="B7" s="7"/>
      <c r="C7" s="7"/>
      <c r="D7" s="7"/>
      <c r="E7" s="75" t="s">
        <v>95</v>
      </c>
      <c r="F7" s="15"/>
      <c r="G7" t="s">
        <v>396</v>
      </c>
      <c r="H7" s="1"/>
      <c r="I7" t="s">
        <v>398</v>
      </c>
      <c r="K7" s="48" t="s">
        <v>478</v>
      </c>
      <c r="L7" s="28"/>
      <c r="M7" s="91" t="s">
        <v>146</v>
      </c>
    </row>
    <row r="8" spans="1:13" x14ac:dyDescent="0.25">
      <c r="A8" s="22"/>
      <c r="B8" s="22"/>
      <c r="C8" s="22"/>
      <c r="D8" s="22"/>
      <c r="E8" s="48" t="s">
        <v>145</v>
      </c>
      <c r="F8" s="26"/>
      <c r="G8" s="1" t="s">
        <v>397</v>
      </c>
      <c r="H8" s="1"/>
      <c r="I8" s="1" t="s">
        <v>399</v>
      </c>
      <c r="K8" s="48" t="s">
        <v>146</v>
      </c>
      <c r="L8" s="28"/>
      <c r="M8" s="91" t="s">
        <v>145</v>
      </c>
    </row>
    <row r="9" spans="1:13" ht="18" x14ac:dyDescent="0.4">
      <c r="A9" s="164" t="s">
        <v>0</v>
      </c>
      <c r="B9" s="22"/>
      <c r="C9" s="22"/>
      <c r="D9" s="22"/>
      <c r="E9" s="65" t="s">
        <v>108</v>
      </c>
      <c r="F9" s="64"/>
      <c r="G9" s="10" t="s">
        <v>264</v>
      </c>
      <c r="H9" s="8"/>
      <c r="I9" s="10" t="s">
        <v>400</v>
      </c>
      <c r="K9" s="65" t="s">
        <v>14</v>
      </c>
      <c r="L9" s="28"/>
      <c r="M9" s="65" t="s">
        <v>108</v>
      </c>
    </row>
    <row r="10" spans="1:13" x14ac:dyDescent="0.25">
      <c r="A10" s="22"/>
      <c r="B10" s="22"/>
      <c r="C10" s="22"/>
      <c r="D10" s="22"/>
      <c r="E10" s="66" t="s">
        <v>109</v>
      </c>
      <c r="F10" s="64"/>
      <c r="G10" s="67" t="s">
        <v>110</v>
      </c>
      <c r="H10" s="67"/>
      <c r="I10" s="67" t="s">
        <v>111</v>
      </c>
      <c r="K10" s="169" t="s">
        <v>245</v>
      </c>
      <c r="M10" s="169" t="s">
        <v>401</v>
      </c>
    </row>
    <row r="11" spans="1:13" x14ac:dyDescent="0.25">
      <c r="A11" s="22">
        <v>1</v>
      </c>
      <c r="B11" s="7"/>
      <c r="C11" s="17" t="s">
        <v>15</v>
      </c>
      <c r="D11" s="22"/>
      <c r="E11" s="22"/>
      <c r="F11" s="22"/>
      <c r="K11" s="22"/>
      <c r="L11" s="22"/>
      <c r="M11" s="22"/>
    </row>
    <row r="12" spans="1:13" x14ac:dyDescent="0.25">
      <c r="A12" s="22">
        <v>2</v>
      </c>
      <c r="B12" s="22"/>
      <c r="C12" s="7" t="s">
        <v>16</v>
      </c>
      <c r="D12" s="22"/>
      <c r="E12" s="22">
        <v>205927969</v>
      </c>
      <c r="F12" s="30"/>
      <c r="G12" s="22">
        <v>205927969</v>
      </c>
      <c r="H12" s="22"/>
      <c r="I12" s="22">
        <v>205927969</v>
      </c>
      <c r="K12" s="22">
        <f>'Sch3'!E9</f>
        <v>0</v>
      </c>
      <c r="L12" s="22"/>
      <c r="M12" s="22">
        <f>SUM(I12:K12)</f>
        <v>205927969</v>
      </c>
    </row>
    <row r="13" spans="1:13" x14ac:dyDescent="0.25">
      <c r="A13" s="22">
        <v>3</v>
      </c>
      <c r="B13" s="22"/>
      <c r="C13" s="7" t="s">
        <v>17</v>
      </c>
      <c r="D13" s="22"/>
      <c r="E13" s="22">
        <v>0</v>
      </c>
      <c r="F13" s="30"/>
      <c r="G13" s="22">
        <v>0</v>
      </c>
      <c r="H13" s="22"/>
      <c r="I13" s="22">
        <v>0</v>
      </c>
      <c r="K13" s="22">
        <f>'Sch3'!E10</f>
        <v>0</v>
      </c>
      <c r="L13" s="22"/>
      <c r="M13" s="22">
        <f>SUM(I13:K13)</f>
        <v>0</v>
      </c>
    </row>
    <row r="14" spans="1:13" x14ac:dyDescent="0.25">
      <c r="A14" s="22">
        <v>4</v>
      </c>
      <c r="B14" s="22"/>
      <c r="C14" s="7" t="s">
        <v>18</v>
      </c>
      <c r="D14" s="22"/>
      <c r="E14" s="22">
        <v>0</v>
      </c>
      <c r="F14" s="30"/>
      <c r="G14" s="22">
        <v>0</v>
      </c>
      <c r="H14" s="22"/>
      <c r="I14" s="22">
        <v>0</v>
      </c>
      <c r="K14" s="22">
        <f>'Sch3'!E11</f>
        <v>0</v>
      </c>
      <c r="L14" s="22"/>
      <c r="M14" s="22">
        <f>SUM(I14:K14)</f>
        <v>0</v>
      </c>
    </row>
    <row r="15" spans="1:13" x14ac:dyDescent="0.25">
      <c r="A15" s="22">
        <v>5</v>
      </c>
      <c r="B15" s="22"/>
      <c r="C15" s="7" t="s">
        <v>19</v>
      </c>
      <c r="D15" s="22"/>
      <c r="E15" s="31">
        <v>9320426</v>
      </c>
      <c r="F15" s="30"/>
      <c r="G15" s="31">
        <v>9320426</v>
      </c>
      <c r="H15" s="30"/>
      <c r="I15" s="31">
        <v>9320426</v>
      </c>
      <c r="K15" s="22">
        <f>'Sch3'!E12</f>
        <v>0</v>
      </c>
      <c r="L15" s="31"/>
      <c r="M15" s="22">
        <f>SUM(I15:K15)</f>
        <v>9320426</v>
      </c>
    </row>
    <row r="16" spans="1:13" x14ac:dyDescent="0.25">
      <c r="A16" s="22">
        <v>6</v>
      </c>
      <c r="B16" s="22"/>
      <c r="C16" s="7" t="s">
        <v>20</v>
      </c>
      <c r="D16" s="22"/>
      <c r="E16" s="68">
        <f>SUM(E12:E15)</f>
        <v>215248395</v>
      </c>
      <c r="F16" s="30"/>
      <c r="G16" s="68">
        <f>SUM(G12:G15)</f>
        <v>215248395</v>
      </c>
      <c r="H16" s="30"/>
      <c r="I16" s="68">
        <f>SUM(I12:I15)</f>
        <v>215248395</v>
      </c>
      <c r="K16" s="68">
        <f>SUM(K12:K15)</f>
        <v>0</v>
      </c>
      <c r="L16" s="68"/>
      <c r="M16" s="68">
        <f>SUM(M12:M15)</f>
        <v>215248395</v>
      </c>
    </row>
    <row r="17" spans="1:13" x14ac:dyDescent="0.25">
      <c r="A17" s="22">
        <v>7</v>
      </c>
      <c r="B17" s="22"/>
      <c r="C17" s="7"/>
      <c r="D17" s="22"/>
      <c r="E17" s="22"/>
      <c r="F17" s="30"/>
      <c r="G17" s="22"/>
      <c r="H17" s="22"/>
      <c r="I17" s="22"/>
      <c r="K17" s="22"/>
      <c r="L17" s="22"/>
      <c r="M17" s="22"/>
    </row>
    <row r="18" spans="1:13" x14ac:dyDescent="0.25">
      <c r="A18" s="22">
        <v>8</v>
      </c>
      <c r="B18" s="22"/>
      <c r="C18" s="17" t="s">
        <v>21</v>
      </c>
      <c r="D18" s="22"/>
      <c r="E18" s="22"/>
      <c r="F18" s="30"/>
      <c r="G18" s="22"/>
      <c r="H18" s="22"/>
      <c r="I18" s="22"/>
      <c r="K18" s="22"/>
      <c r="L18" s="22"/>
      <c r="M18" s="22"/>
    </row>
    <row r="19" spans="1:13" x14ac:dyDescent="0.25">
      <c r="A19" s="22">
        <v>9</v>
      </c>
      <c r="B19" s="22"/>
      <c r="C19" s="7" t="s">
        <v>22</v>
      </c>
      <c r="D19" s="22"/>
      <c r="E19" s="22">
        <v>14047910</v>
      </c>
      <c r="F19" s="30"/>
      <c r="G19" s="22">
        <v>14047910</v>
      </c>
      <c r="H19" s="22"/>
      <c r="I19" s="22">
        <v>14047910</v>
      </c>
      <c r="K19" s="22">
        <f>'Sch3'!E15</f>
        <v>-184527.9096617898</v>
      </c>
      <c r="L19" s="22"/>
      <c r="M19" s="22">
        <f t="shared" ref="M19:M28" si="0">SUM(I19:K19)</f>
        <v>13863382.09033821</v>
      </c>
    </row>
    <row r="20" spans="1:13" x14ac:dyDescent="0.25">
      <c r="A20" s="22">
        <v>10</v>
      </c>
      <c r="B20" s="22"/>
      <c r="C20" s="7" t="s">
        <v>23</v>
      </c>
      <c r="D20" s="22"/>
      <c r="E20" s="22">
        <v>0</v>
      </c>
      <c r="F20" s="30"/>
      <c r="G20" s="22">
        <v>0</v>
      </c>
      <c r="H20" s="22"/>
      <c r="I20" s="22">
        <v>0</v>
      </c>
      <c r="K20" s="22">
        <f>'Sch3'!E16</f>
        <v>0</v>
      </c>
      <c r="L20" s="22"/>
      <c r="M20" s="22">
        <f t="shared" si="0"/>
        <v>0</v>
      </c>
    </row>
    <row r="21" spans="1:13" x14ac:dyDescent="0.25">
      <c r="A21" s="22">
        <v>11</v>
      </c>
      <c r="B21" s="22"/>
      <c r="C21" s="7" t="s">
        <v>24</v>
      </c>
      <c r="D21" s="22"/>
      <c r="E21" s="22">
        <v>6649311</v>
      </c>
      <c r="F21" s="30"/>
      <c r="G21" s="22">
        <v>6649311</v>
      </c>
      <c r="H21" s="22"/>
      <c r="I21" s="22">
        <v>6649311</v>
      </c>
      <c r="K21" s="22">
        <f>'Sch3'!E17</f>
        <v>-75432.993937339241</v>
      </c>
      <c r="L21" s="22"/>
      <c r="M21" s="22">
        <f t="shared" si="0"/>
        <v>6573878.0060626604</v>
      </c>
    </row>
    <row r="22" spans="1:13" x14ac:dyDescent="0.25">
      <c r="A22" s="22">
        <v>12</v>
      </c>
      <c r="B22" s="22"/>
      <c r="C22" s="7" t="s">
        <v>25</v>
      </c>
      <c r="D22" s="22"/>
      <c r="E22" s="22">
        <v>9720488</v>
      </c>
      <c r="F22" s="30"/>
      <c r="G22" s="22">
        <v>9720488</v>
      </c>
      <c r="H22" s="22"/>
      <c r="I22" s="22">
        <v>9720488</v>
      </c>
      <c r="K22" s="22">
        <f>'Sch3'!E18</f>
        <v>-105101.99757918602</v>
      </c>
      <c r="L22" s="22"/>
      <c r="M22" s="22">
        <f t="shared" si="0"/>
        <v>9615386.0024208147</v>
      </c>
    </row>
    <row r="23" spans="1:13" x14ac:dyDescent="0.25">
      <c r="A23" s="22">
        <v>13</v>
      </c>
      <c r="B23" s="22"/>
      <c r="C23" s="7" t="s">
        <v>26</v>
      </c>
      <c r="D23" s="22"/>
      <c r="E23" s="22">
        <v>5578176</v>
      </c>
      <c r="F23" s="30"/>
      <c r="G23" s="22">
        <v>5578176</v>
      </c>
      <c r="H23" s="22"/>
      <c r="I23" s="22">
        <v>5578176</v>
      </c>
      <c r="K23" s="22">
        <f>'Sch3'!E19</f>
        <v>-51224.085193478444</v>
      </c>
      <c r="L23" s="22"/>
      <c r="M23" s="22">
        <f t="shared" si="0"/>
        <v>5526951.9148065215</v>
      </c>
    </row>
    <row r="24" spans="1:13" x14ac:dyDescent="0.25">
      <c r="A24" s="22">
        <v>14</v>
      </c>
      <c r="B24" s="22"/>
      <c r="C24" s="7" t="s">
        <v>27</v>
      </c>
      <c r="D24" s="22"/>
      <c r="E24" s="22">
        <v>11115084</v>
      </c>
      <c r="F24" s="30"/>
      <c r="G24" s="22">
        <v>11115084</v>
      </c>
      <c r="H24" s="22"/>
      <c r="I24" s="22">
        <v>11115084</v>
      </c>
      <c r="K24" s="22">
        <f>'Sch3'!E20</f>
        <v>-168053.46026598825</v>
      </c>
      <c r="L24" s="22"/>
      <c r="M24" s="22">
        <f t="shared" si="0"/>
        <v>10947030.539734012</v>
      </c>
    </row>
    <row r="25" spans="1:13" x14ac:dyDescent="0.25">
      <c r="A25" s="22">
        <v>15</v>
      </c>
      <c r="B25" s="22"/>
      <c r="C25" s="7" t="s">
        <v>28</v>
      </c>
      <c r="D25" s="22"/>
      <c r="E25" s="22">
        <v>6342566</v>
      </c>
      <c r="F25" s="30"/>
      <c r="G25" s="22">
        <v>6342566</v>
      </c>
      <c r="H25" s="22"/>
      <c r="I25" s="22">
        <v>6342566</v>
      </c>
      <c r="K25" s="22">
        <f>'Sch3'!E21</f>
        <v>-105675.97844277803</v>
      </c>
      <c r="L25" s="22"/>
      <c r="M25" s="22">
        <f t="shared" si="0"/>
        <v>6236890.0215572221</v>
      </c>
    </row>
    <row r="26" spans="1:13" x14ac:dyDescent="0.25">
      <c r="A26" s="22">
        <v>16</v>
      </c>
      <c r="B26" s="22"/>
      <c r="C26" s="7" t="s">
        <v>29</v>
      </c>
      <c r="D26" s="22"/>
      <c r="E26" s="22">
        <v>761220</v>
      </c>
      <c r="F26" s="30"/>
      <c r="G26" s="22">
        <v>761220</v>
      </c>
      <c r="H26" s="22"/>
      <c r="I26" s="22">
        <v>761220</v>
      </c>
      <c r="K26" s="22">
        <f>'Sch3'!E22</f>
        <v>-16579.306754994803</v>
      </c>
      <c r="L26" s="22"/>
      <c r="M26" s="22">
        <f t="shared" si="0"/>
        <v>744640.69324500521</v>
      </c>
    </row>
    <row r="27" spans="1:13" x14ac:dyDescent="0.25">
      <c r="A27" s="22">
        <v>17</v>
      </c>
      <c r="B27" s="22"/>
      <c r="C27" s="7" t="s">
        <v>30</v>
      </c>
      <c r="D27" s="22"/>
      <c r="E27" s="22">
        <v>0</v>
      </c>
      <c r="F27" s="30"/>
      <c r="G27" s="22">
        <v>0</v>
      </c>
      <c r="H27" s="22"/>
      <c r="I27" s="22">
        <v>0</v>
      </c>
      <c r="K27" s="22">
        <f>'Sch3'!E23</f>
        <v>0</v>
      </c>
      <c r="L27" s="22"/>
      <c r="M27" s="22">
        <f t="shared" si="0"/>
        <v>0</v>
      </c>
    </row>
    <row r="28" spans="1:13" x14ac:dyDescent="0.25">
      <c r="A28" s="22">
        <v>18</v>
      </c>
      <c r="B28" s="22"/>
      <c r="C28" s="7" t="s">
        <v>31</v>
      </c>
      <c r="D28" s="22"/>
      <c r="E28" s="31">
        <v>10155481</v>
      </c>
      <c r="F28" s="30"/>
      <c r="G28" s="31">
        <v>10155481</v>
      </c>
      <c r="H28" s="30"/>
      <c r="I28" s="31">
        <v>10155481</v>
      </c>
      <c r="K28" s="31">
        <f>'Sch3'!E24</f>
        <v>-224376.59569728913</v>
      </c>
      <c r="L28" s="31"/>
      <c r="M28" s="31">
        <f t="shared" si="0"/>
        <v>9931104.4043027107</v>
      </c>
    </row>
    <row r="29" spans="1:13" x14ac:dyDescent="0.25">
      <c r="A29" s="22">
        <v>19</v>
      </c>
      <c r="B29" s="22"/>
      <c r="C29" s="7" t="s">
        <v>32</v>
      </c>
      <c r="D29" s="22"/>
      <c r="E29" s="22">
        <f>SUM(E19:E28)</f>
        <v>64370236</v>
      </c>
      <c r="F29" s="30"/>
      <c r="G29" s="22">
        <f>SUM(G19:G28)</f>
        <v>64370236</v>
      </c>
      <c r="H29" s="22"/>
      <c r="I29" s="22">
        <f>SUM(I19:I28)</f>
        <v>64370236</v>
      </c>
      <c r="K29" s="22">
        <f>SUM(K19:K28)</f>
        <v>-930972.32753284369</v>
      </c>
      <c r="L29" s="22"/>
      <c r="M29" s="22">
        <f>SUM(M19:M28)</f>
        <v>63439263.672467157</v>
      </c>
    </row>
    <row r="30" spans="1:13" x14ac:dyDescent="0.25">
      <c r="A30" s="22">
        <v>20</v>
      </c>
      <c r="B30" s="22"/>
      <c r="C30" s="7"/>
      <c r="D30" s="22"/>
      <c r="E30" s="22"/>
      <c r="F30" s="30"/>
      <c r="G30" s="22"/>
      <c r="H30" s="22"/>
      <c r="I30" s="22"/>
      <c r="K30" s="22"/>
      <c r="L30" s="22"/>
      <c r="M30" s="22"/>
    </row>
    <row r="31" spans="1:13" x14ac:dyDescent="0.25">
      <c r="A31" s="22">
        <v>21</v>
      </c>
      <c r="B31" s="22"/>
      <c r="C31" s="7" t="s">
        <v>33</v>
      </c>
      <c r="D31" s="22"/>
      <c r="E31" s="22">
        <v>56225842</v>
      </c>
      <c r="F31" s="30"/>
      <c r="G31" s="22">
        <v>56225842</v>
      </c>
      <c r="H31" s="22"/>
      <c r="I31" s="22">
        <v>55705295</v>
      </c>
      <c r="K31" s="22">
        <f>'Sch3'!E26</f>
        <v>-11641342.828430001</v>
      </c>
      <c r="L31" s="22"/>
      <c r="M31" s="22">
        <f t="shared" ref="M31:M38" si="1">SUM(I31:K31)</f>
        <v>44063952.171570003</v>
      </c>
    </row>
    <row r="32" spans="1:13" x14ac:dyDescent="0.25">
      <c r="A32" s="22">
        <v>22</v>
      </c>
      <c r="B32" s="22"/>
      <c r="C32" s="7" t="s">
        <v>34</v>
      </c>
      <c r="D32" s="22"/>
      <c r="E32" s="22">
        <v>4757954</v>
      </c>
      <c r="F32" s="30"/>
      <c r="G32" s="22">
        <v>4757954</v>
      </c>
      <c r="H32" s="22"/>
      <c r="I32" s="22">
        <v>4714285</v>
      </c>
      <c r="K32" s="22">
        <f>'Sch3'!E27</f>
        <v>0</v>
      </c>
      <c r="L32" s="22"/>
      <c r="M32" s="22">
        <f t="shared" si="1"/>
        <v>4714285</v>
      </c>
    </row>
    <row r="33" spans="1:13" x14ac:dyDescent="0.25">
      <c r="A33" s="22">
        <v>23</v>
      </c>
      <c r="B33" s="22"/>
      <c r="C33" s="7" t="s">
        <v>35</v>
      </c>
      <c r="D33" s="22"/>
      <c r="E33" s="22">
        <v>21662321</v>
      </c>
      <c r="F33" s="30"/>
      <c r="G33" s="22">
        <v>21662321</v>
      </c>
      <c r="H33" s="22"/>
      <c r="I33" s="22">
        <v>21662321</v>
      </c>
      <c r="K33" s="22">
        <f>'Sch3'!E28</f>
        <v>0</v>
      </c>
      <c r="L33" s="22"/>
      <c r="M33" s="22">
        <f t="shared" si="1"/>
        <v>21662321</v>
      </c>
    </row>
    <row r="34" spans="1:13" x14ac:dyDescent="0.25">
      <c r="A34" s="22">
        <v>24</v>
      </c>
      <c r="B34" s="22"/>
      <c r="C34" s="7" t="s">
        <v>36</v>
      </c>
      <c r="D34" s="22"/>
      <c r="E34" s="22">
        <v>12782160</v>
      </c>
      <c r="F34" s="30"/>
      <c r="G34" s="22">
        <v>13081297</v>
      </c>
      <c r="H34" s="22"/>
      <c r="I34" s="22">
        <v>13151913</v>
      </c>
      <c r="K34" s="22">
        <f>'Sch3'!E29</f>
        <v>802052.50458699535</v>
      </c>
      <c r="L34" s="22"/>
      <c r="M34" s="22">
        <f t="shared" si="1"/>
        <v>13953965.504586995</v>
      </c>
    </row>
    <row r="35" spans="1:13" x14ac:dyDescent="0.25">
      <c r="A35" s="22">
        <v>25</v>
      </c>
      <c r="B35" s="22"/>
      <c r="C35" s="7" t="s">
        <v>37</v>
      </c>
      <c r="D35" s="22"/>
      <c r="E35" s="22">
        <v>0</v>
      </c>
      <c r="F35" s="30"/>
      <c r="G35" s="22">
        <v>0</v>
      </c>
      <c r="H35" s="22"/>
      <c r="I35" s="22"/>
      <c r="K35" s="22">
        <f>'Sch3'!E30</f>
        <v>0</v>
      </c>
      <c r="L35" s="22"/>
      <c r="M35" s="22">
        <f t="shared" si="1"/>
        <v>0</v>
      </c>
    </row>
    <row r="36" spans="1:13" x14ac:dyDescent="0.25">
      <c r="A36" s="22">
        <v>26</v>
      </c>
      <c r="B36" s="22"/>
      <c r="C36" s="7" t="s">
        <v>38</v>
      </c>
      <c r="D36" s="22"/>
      <c r="E36" s="22">
        <v>923866</v>
      </c>
      <c r="F36" s="30"/>
      <c r="G36" s="22">
        <v>647236</v>
      </c>
      <c r="H36" s="22"/>
      <c r="I36" s="22">
        <v>844711</v>
      </c>
      <c r="K36" s="22">
        <f>'Sch3'!E31</f>
        <v>3878925</v>
      </c>
      <c r="L36" s="22"/>
      <c r="M36" s="22">
        <f t="shared" si="1"/>
        <v>4723636</v>
      </c>
    </row>
    <row r="37" spans="1:13" x14ac:dyDescent="0.25">
      <c r="A37" s="22">
        <v>27</v>
      </c>
      <c r="B37" s="22"/>
      <c r="C37" s="7" t="s">
        <v>39</v>
      </c>
      <c r="D37" s="22"/>
      <c r="E37" s="22">
        <v>0</v>
      </c>
      <c r="F37" s="30"/>
      <c r="G37" s="22">
        <v>0</v>
      </c>
      <c r="H37" s="22"/>
      <c r="I37" s="22"/>
      <c r="K37" s="22">
        <f>'Sch3'!E32</f>
        <v>0</v>
      </c>
      <c r="L37" s="22"/>
      <c r="M37" s="22">
        <f t="shared" si="1"/>
        <v>0</v>
      </c>
    </row>
    <row r="38" spans="1:13" x14ac:dyDescent="0.25">
      <c r="A38" s="22">
        <v>28</v>
      </c>
      <c r="B38" s="22"/>
      <c r="C38" s="7" t="s">
        <v>40</v>
      </c>
      <c r="D38" s="22"/>
      <c r="E38" s="31">
        <v>7269</v>
      </c>
      <c r="F38" s="30"/>
      <c r="G38" s="31">
        <v>7269</v>
      </c>
      <c r="H38" s="30"/>
      <c r="I38" s="31">
        <v>7269</v>
      </c>
      <c r="K38" s="31">
        <f>'Sch3'!E33</f>
        <v>0</v>
      </c>
      <c r="L38" s="31"/>
      <c r="M38" s="31">
        <f t="shared" si="1"/>
        <v>7269</v>
      </c>
    </row>
    <row r="39" spans="1:13" x14ac:dyDescent="0.25">
      <c r="A39" s="22">
        <v>29</v>
      </c>
      <c r="B39" s="22"/>
      <c r="C39" s="7" t="s">
        <v>41</v>
      </c>
      <c r="D39" s="22"/>
      <c r="E39" s="31">
        <f>SUM(E29:E38)</f>
        <v>160729648</v>
      </c>
      <c r="F39" s="30"/>
      <c r="G39" s="31">
        <f>SUM(G29:G38)</f>
        <v>160752155</v>
      </c>
      <c r="H39" s="30"/>
      <c r="I39" s="31">
        <f>SUM(I29:I38)</f>
        <v>160456030</v>
      </c>
      <c r="K39" s="31">
        <f>SUM(K29:K38)</f>
        <v>-7891337.6513758488</v>
      </c>
      <c r="L39" s="31"/>
      <c r="M39" s="31">
        <f>SUM(M29:M38)</f>
        <v>152564692.34862417</v>
      </c>
    </row>
    <row r="40" spans="1:13" x14ac:dyDescent="0.25">
      <c r="A40" s="22">
        <v>30</v>
      </c>
      <c r="B40" s="22"/>
      <c r="C40" s="7"/>
      <c r="D40" s="22"/>
      <c r="E40" s="22"/>
      <c r="F40" s="30"/>
      <c r="G40" s="22"/>
      <c r="H40" s="22"/>
      <c r="I40" s="22"/>
      <c r="K40" s="22"/>
      <c r="L40" s="22"/>
      <c r="M40" s="22"/>
    </row>
    <row r="41" spans="1:13" ht="16.5" thickBot="1" x14ac:dyDescent="0.3">
      <c r="A41" s="22">
        <v>31</v>
      </c>
      <c r="B41" s="22"/>
      <c r="C41" s="17" t="s">
        <v>42</v>
      </c>
      <c r="D41" s="22"/>
      <c r="E41" s="32">
        <f>E16-E39</f>
        <v>54518747</v>
      </c>
      <c r="F41" s="30"/>
      <c r="G41" s="32">
        <f>G16-G39</f>
        <v>54496240</v>
      </c>
      <c r="H41" s="30"/>
      <c r="I41" s="32">
        <f>I16-I39</f>
        <v>54792365</v>
      </c>
      <c r="K41" s="32">
        <f>K16-K39</f>
        <v>7891337.6513758488</v>
      </c>
      <c r="L41" s="32"/>
      <c r="M41" s="32">
        <f>M16-M39</f>
        <v>62683702.65137583</v>
      </c>
    </row>
    <row r="42" spans="1:13" ht="16.5" thickTop="1" x14ac:dyDescent="0.25">
      <c r="A42" s="22">
        <v>32</v>
      </c>
      <c r="B42" s="22"/>
      <c r="C42" s="7"/>
      <c r="D42" s="22"/>
      <c r="E42" s="22"/>
      <c r="F42" s="30"/>
      <c r="G42" s="22"/>
      <c r="H42" s="22"/>
      <c r="I42" s="22"/>
      <c r="K42" s="22"/>
      <c r="L42" s="22"/>
      <c r="M42" s="22"/>
    </row>
    <row r="43" spans="1:13" x14ac:dyDescent="0.25">
      <c r="A43" s="22">
        <v>33</v>
      </c>
      <c r="B43" s="22"/>
      <c r="C43" s="17" t="s">
        <v>43</v>
      </c>
      <c r="D43" s="22"/>
      <c r="E43" s="22"/>
      <c r="F43" s="30"/>
      <c r="G43" s="22"/>
      <c r="H43" s="22"/>
      <c r="I43" s="22"/>
      <c r="K43" s="22"/>
      <c r="L43" s="22"/>
      <c r="M43" s="22"/>
    </row>
    <row r="44" spans="1:13" x14ac:dyDescent="0.25">
      <c r="A44" s="22">
        <v>34</v>
      </c>
      <c r="B44" s="22"/>
      <c r="C44" s="7" t="s">
        <v>44</v>
      </c>
      <c r="D44" s="22"/>
      <c r="E44" s="22">
        <v>1812053781</v>
      </c>
      <c r="F44" s="30"/>
      <c r="G44" s="22">
        <v>1812053781</v>
      </c>
      <c r="H44" s="22"/>
      <c r="I44" s="22">
        <v>1783992361</v>
      </c>
      <c r="K44" s="22">
        <f>'Sch3'!E37</f>
        <v>-2313559</v>
      </c>
      <c r="L44" s="22"/>
      <c r="M44" s="22">
        <f t="shared" ref="M44:M54" si="2">SUM(I44:K44)</f>
        <v>1781678802</v>
      </c>
    </row>
    <row r="45" spans="1:13" x14ac:dyDescent="0.25">
      <c r="A45" s="22">
        <v>35</v>
      </c>
      <c r="B45" s="22"/>
      <c r="C45" s="7" t="s">
        <v>45</v>
      </c>
      <c r="D45" s="22"/>
      <c r="E45" s="22">
        <v>424723</v>
      </c>
      <c r="F45" s="30"/>
      <c r="G45" s="22">
        <v>424723</v>
      </c>
      <c r="H45" s="22"/>
      <c r="I45" s="22">
        <v>424723</v>
      </c>
      <c r="K45" s="22">
        <f>'Sch3'!E38</f>
        <v>0</v>
      </c>
      <c r="L45" s="22"/>
      <c r="M45" s="22">
        <f t="shared" si="2"/>
        <v>424723</v>
      </c>
    </row>
    <row r="46" spans="1:13" x14ac:dyDescent="0.25">
      <c r="A46" s="22">
        <v>36</v>
      </c>
      <c r="B46" s="22"/>
      <c r="C46" s="74" t="s">
        <v>416</v>
      </c>
      <c r="D46" s="22"/>
      <c r="E46" s="22">
        <v>397121</v>
      </c>
      <c r="F46" s="30"/>
      <c r="G46" s="22">
        <v>397121</v>
      </c>
      <c r="H46" s="22"/>
      <c r="I46" s="22">
        <v>487681</v>
      </c>
      <c r="K46" s="22">
        <f>'Sch3'!E39</f>
        <v>0</v>
      </c>
      <c r="L46" s="22"/>
      <c r="M46" s="22">
        <f t="shared" si="2"/>
        <v>487681</v>
      </c>
    </row>
    <row r="47" spans="1:13" x14ac:dyDescent="0.25">
      <c r="A47" s="22">
        <v>37</v>
      </c>
      <c r="B47" s="22"/>
      <c r="C47" s="7" t="s">
        <v>47</v>
      </c>
      <c r="D47" s="22"/>
      <c r="E47" s="22">
        <v>0</v>
      </c>
      <c r="F47" s="30"/>
      <c r="G47" s="22">
        <v>0</v>
      </c>
      <c r="H47" s="22"/>
      <c r="I47" s="22">
        <v>0</v>
      </c>
      <c r="K47" s="22">
        <f>'Sch3'!E40</f>
        <v>0</v>
      </c>
      <c r="L47" s="22"/>
      <c r="M47" s="22">
        <f t="shared" si="2"/>
        <v>0</v>
      </c>
    </row>
    <row r="48" spans="1:13" x14ac:dyDescent="0.25">
      <c r="A48" s="22">
        <v>38</v>
      </c>
      <c r="B48" s="22"/>
      <c r="C48" s="7" t="s">
        <v>48</v>
      </c>
      <c r="D48" s="22"/>
      <c r="E48" s="22">
        <v>0</v>
      </c>
      <c r="F48" s="30"/>
      <c r="G48" s="22">
        <v>0</v>
      </c>
      <c r="H48" s="22"/>
      <c r="I48" s="22">
        <v>0</v>
      </c>
      <c r="K48" s="22">
        <f>'Sch3'!E41</f>
        <v>0</v>
      </c>
      <c r="L48" s="22"/>
      <c r="M48" s="22">
        <f t="shared" si="2"/>
        <v>0</v>
      </c>
    </row>
    <row r="49" spans="1:13" x14ac:dyDescent="0.25">
      <c r="A49" s="22">
        <v>39</v>
      </c>
      <c r="B49" s="22"/>
      <c r="C49" s="7" t="s">
        <v>49</v>
      </c>
      <c r="D49" s="22"/>
      <c r="E49" s="22">
        <v>-1</v>
      </c>
      <c r="F49" s="30"/>
      <c r="G49" s="22">
        <v>-1</v>
      </c>
      <c r="H49" s="22"/>
      <c r="I49" s="22">
        <v>-1</v>
      </c>
      <c r="K49" s="22">
        <f>'Sch3'!E42</f>
        <v>0</v>
      </c>
      <c r="L49" s="22"/>
      <c r="M49" s="22">
        <f t="shared" si="2"/>
        <v>-1</v>
      </c>
    </row>
    <row r="50" spans="1:13" x14ac:dyDescent="0.25">
      <c r="A50" s="22">
        <v>40</v>
      </c>
      <c r="B50" s="22"/>
      <c r="C50" s="7" t="s">
        <v>50</v>
      </c>
      <c r="D50" s="22"/>
      <c r="E50" s="22">
        <v>0</v>
      </c>
      <c r="F50" s="30"/>
      <c r="G50" s="22">
        <v>0</v>
      </c>
      <c r="H50" s="22"/>
      <c r="I50" s="22">
        <v>0</v>
      </c>
      <c r="K50" s="22">
        <f>'Sch3'!E43</f>
        <v>0</v>
      </c>
      <c r="L50" s="22"/>
      <c r="M50" s="22">
        <f t="shared" si="2"/>
        <v>0</v>
      </c>
    </row>
    <row r="51" spans="1:13" x14ac:dyDescent="0.25">
      <c r="A51" s="22">
        <v>41</v>
      </c>
      <c r="B51" s="22"/>
      <c r="C51" s="7" t="s">
        <v>51</v>
      </c>
      <c r="D51" s="22"/>
      <c r="E51" s="22">
        <v>0</v>
      </c>
      <c r="F51" s="30"/>
      <c r="G51" s="22">
        <v>0</v>
      </c>
      <c r="H51" s="22"/>
      <c r="I51" s="22">
        <v>0</v>
      </c>
      <c r="K51" s="22">
        <f>'Sch3'!E44</f>
        <v>0</v>
      </c>
      <c r="L51" s="22"/>
      <c r="M51" s="22">
        <f t="shared" si="2"/>
        <v>0</v>
      </c>
    </row>
    <row r="52" spans="1:13" x14ac:dyDescent="0.25">
      <c r="A52" s="22">
        <v>42</v>
      </c>
      <c r="B52" s="22"/>
      <c r="C52" s="7" t="s">
        <v>52</v>
      </c>
      <c r="D52" s="22"/>
      <c r="E52" s="22">
        <v>23962203</v>
      </c>
      <c r="F52" s="30"/>
      <c r="G52" s="22">
        <v>23962203</v>
      </c>
      <c r="H52" s="22"/>
      <c r="I52" s="22">
        <v>23962203</v>
      </c>
      <c r="K52" s="22">
        <f>'Sch3'!E45</f>
        <v>0</v>
      </c>
      <c r="L52" s="22"/>
      <c r="M52" s="22">
        <f t="shared" si="2"/>
        <v>23962203</v>
      </c>
    </row>
    <row r="53" spans="1:13" x14ac:dyDescent="0.25">
      <c r="A53" s="22">
        <v>43</v>
      </c>
      <c r="B53" s="22"/>
      <c r="C53" s="7" t="s">
        <v>53</v>
      </c>
      <c r="D53" s="22"/>
      <c r="E53" s="22">
        <v>1840890</v>
      </c>
      <c r="F53" s="30"/>
      <c r="G53" s="22">
        <v>1840890</v>
      </c>
      <c r="H53" s="22"/>
      <c r="I53" s="22">
        <v>1840890</v>
      </c>
      <c r="K53" s="22">
        <f>'Sch3'!E46</f>
        <v>0</v>
      </c>
      <c r="L53" s="22"/>
      <c r="M53" s="22">
        <f t="shared" si="2"/>
        <v>1840890</v>
      </c>
    </row>
    <row r="54" spans="1:13" x14ac:dyDescent="0.25">
      <c r="A54" s="22">
        <v>44</v>
      </c>
      <c r="B54" s="22"/>
      <c r="C54" s="7" t="s">
        <v>54</v>
      </c>
      <c r="D54" s="22"/>
      <c r="E54" s="31">
        <v>0</v>
      </c>
      <c r="F54" s="30"/>
      <c r="G54" s="31">
        <v>0</v>
      </c>
      <c r="H54" s="30"/>
      <c r="I54" s="31">
        <v>0</v>
      </c>
      <c r="K54" s="22">
        <f>'Sch3'!E47</f>
        <v>0</v>
      </c>
      <c r="L54" s="31"/>
      <c r="M54" s="22">
        <f t="shared" si="2"/>
        <v>0</v>
      </c>
    </row>
    <row r="55" spans="1:13" x14ac:dyDescent="0.25">
      <c r="A55" s="22">
        <v>45</v>
      </c>
      <c r="B55" s="22"/>
      <c r="C55" s="7" t="s">
        <v>55</v>
      </c>
      <c r="D55" s="22"/>
      <c r="E55" s="68">
        <f>SUM(E44:E54)</f>
        <v>1838678717</v>
      </c>
      <c r="F55" s="30"/>
      <c r="G55" s="68">
        <f>SUM(G44:G54)</f>
        <v>1838678717</v>
      </c>
      <c r="H55" s="30"/>
      <c r="I55" s="68">
        <f>SUM(I44:I54)</f>
        <v>1810707857</v>
      </c>
      <c r="K55" s="68">
        <f>SUM(K44:K54)</f>
        <v>-2313559</v>
      </c>
      <c r="L55" s="68"/>
      <c r="M55" s="68">
        <f>SUM(M44:M54)</f>
        <v>1808394298</v>
      </c>
    </row>
    <row r="56" spans="1:13" x14ac:dyDescent="0.25">
      <c r="A56" s="22">
        <v>46</v>
      </c>
      <c r="B56" s="22"/>
      <c r="C56" s="7"/>
      <c r="D56" s="22"/>
      <c r="E56" s="22"/>
      <c r="F56" s="30"/>
      <c r="G56" s="22"/>
      <c r="H56" s="22"/>
      <c r="I56" s="22"/>
      <c r="K56" s="22"/>
      <c r="L56" s="22"/>
      <c r="M56" s="22"/>
    </row>
    <row r="57" spans="1:13" x14ac:dyDescent="0.25">
      <c r="A57" s="22">
        <v>47</v>
      </c>
      <c r="B57" s="22"/>
      <c r="C57" s="17" t="s">
        <v>56</v>
      </c>
      <c r="D57" s="22"/>
      <c r="E57" s="22"/>
      <c r="F57" s="30"/>
      <c r="G57" s="22"/>
      <c r="H57" s="22"/>
      <c r="I57" s="22"/>
      <c r="K57" s="22"/>
      <c r="L57" s="22"/>
      <c r="M57" s="22"/>
    </row>
    <row r="58" spans="1:13" x14ac:dyDescent="0.25">
      <c r="A58" s="22">
        <v>48</v>
      </c>
      <c r="B58" s="22"/>
      <c r="C58" s="7" t="s">
        <v>57</v>
      </c>
      <c r="D58" s="22"/>
      <c r="E58" s="22">
        <v>-695354089</v>
      </c>
      <c r="F58" s="30"/>
      <c r="G58" s="22">
        <v>-695354089</v>
      </c>
      <c r="H58" s="22"/>
      <c r="I58" s="22">
        <v>-680422054</v>
      </c>
      <c r="K58" s="22">
        <f>'Sch3'!E50</f>
        <v>6014456</v>
      </c>
      <c r="L58" s="22"/>
      <c r="M58" s="22">
        <f t="shared" ref="M58:M64" si="3">SUM(I58:K58)</f>
        <v>-674407598</v>
      </c>
    </row>
    <row r="59" spans="1:13" x14ac:dyDescent="0.25">
      <c r="A59" s="22">
        <v>49</v>
      </c>
      <c r="B59" s="22"/>
      <c r="C59" s="7" t="s">
        <v>58</v>
      </c>
      <c r="D59" s="22"/>
      <c r="E59" s="22">
        <v>-52956681</v>
      </c>
      <c r="F59" s="30"/>
      <c r="G59" s="22">
        <v>-52956681</v>
      </c>
      <c r="H59" s="22"/>
      <c r="I59" s="22">
        <v>-51041927</v>
      </c>
      <c r="K59" s="22">
        <f>'Sch3'!E51</f>
        <v>0</v>
      </c>
      <c r="L59" s="22"/>
      <c r="M59" s="22">
        <f t="shared" si="3"/>
        <v>-51041927</v>
      </c>
    </row>
    <row r="60" spans="1:13" x14ac:dyDescent="0.25">
      <c r="A60" s="22">
        <v>50</v>
      </c>
      <c r="B60" s="22"/>
      <c r="C60" s="7" t="s">
        <v>59</v>
      </c>
      <c r="D60" s="22"/>
      <c r="E60" s="22">
        <v>-244540095</v>
      </c>
      <c r="F60" s="30"/>
      <c r="G60" s="22">
        <v>-246981452</v>
      </c>
      <c r="H60" s="22"/>
      <c r="I60" s="22">
        <v>-243517345</v>
      </c>
      <c r="K60" s="22">
        <f>'Sch3'!E52</f>
        <v>-1896476</v>
      </c>
      <c r="L60" s="22"/>
      <c r="M60" s="22">
        <f t="shared" si="3"/>
        <v>-245413821</v>
      </c>
    </row>
    <row r="61" spans="1:13" x14ac:dyDescent="0.25">
      <c r="A61" s="22">
        <v>51</v>
      </c>
      <c r="B61" s="22"/>
      <c r="C61" s="7" t="s">
        <v>60</v>
      </c>
      <c r="D61" s="22"/>
      <c r="E61" s="22">
        <v>-106780</v>
      </c>
      <c r="F61" s="30"/>
      <c r="G61" s="22">
        <v>-106780</v>
      </c>
      <c r="H61" s="22"/>
      <c r="I61" s="22">
        <v>-106369</v>
      </c>
      <c r="K61" s="22">
        <f>'Sch3'!E53</f>
        <v>0</v>
      </c>
      <c r="L61" s="22"/>
      <c r="M61" s="22">
        <f t="shared" si="3"/>
        <v>-106369</v>
      </c>
    </row>
    <row r="62" spans="1:13" x14ac:dyDescent="0.25">
      <c r="A62" s="22">
        <v>52</v>
      </c>
      <c r="B62" s="22"/>
      <c r="C62" s="7" t="s">
        <v>61</v>
      </c>
      <c r="D62" s="22"/>
      <c r="E62" s="22">
        <v>-972510</v>
      </c>
      <c r="F62" s="30"/>
      <c r="G62" s="22">
        <v>-972510</v>
      </c>
      <c r="H62" s="22"/>
      <c r="I62" s="22">
        <v>-972510</v>
      </c>
      <c r="K62" s="22">
        <f>'Sch3'!E54</f>
        <v>0</v>
      </c>
      <c r="L62" s="22"/>
      <c r="M62" s="22">
        <f t="shared" si="3"/>
        <v>-972510</v>
      </c>
    </row>
    <row r="63" spans="1:13" x14ac:dyDescent="0.25">
      <c r="A63" s="22">
        <v>53</v>
      </c>
      <c r="B63" s="22"/>
      <c r="C63" s="7" t="s">
        <v>62</v>
      </c>
      <c r="D63" s="22"/>
      <c r="E63" s="22">
        <v>-3272583</v>
      </c>
      <c r="F63" s="30"/>
      <c r="G63" s="22">
        <v>-3272583</v>
      </c>
      <c r="H63" s="22"/>
      <c r="I63" s="22">
        <v>-3272583</v>
      </c>
      <c r="K63" s="22">
        <f>'Sch3'!E55</f>
        <v>0</v>
      </c>
      <c r="L63" s="22"/>
      <c r="M63" s="22">
        <f t="shared" si="3"/>
        <v>-3272583</v>
      </c>
    </row>
    <row r="64" spans="1:13" x14ac:dyDescent="0.25">
      <c r="A64" s="22">
        <v>54</v>
      </c>
      <c r="B64" s="22"/>
      <c r="C64" s="74" t="s">
        <v>94</v>
      </c>
      <c r="D64" s="22"/>
      <c r="E64" s="31">
        <v>-3351815</v>
      </c>
      <c r="F64" s="30"/>
      <c r="G64" s="31">
        <v>-3351815</v>
      </c>
      <c r="H64" s="30"/>
      <c r="I64" s="31">
        <v>-3351815</v>
      </c>
      <c r="K64" s="22">
        <f>'Sch3'!E56</f>
        <v>0</v>
      </c>
      <c r="L64" s="31"/>
      <c r="M64" s="22">
        <f t="shared" si="3"/>
        <v>-3351815</v>
      </c>
    </row>
    <row r="65" spans="1:13" x14ac:dyDescent="0.25">
      <c r="A65" s="22">
        <v>55</v>
      </c>
      <c r="B65" s="22"/>
      <c r="C65" s="7" t="s">
        <v>63</v>
      </c>
      <c r="D65" s="22"/>
      <c r="E65" s="68">
        <f>SUM(E58:E64)</f>
        <v>-1000554553</v>
      </c>
      <c r="F65" s="30"/>
      <c r="G65" s="68">
        <f>SUM(G58:G64)</f>
        <v>-1002995910</v>
      </c>
      <c r="H65" s="30"/>
      <c r="I65" s="68">
        <f>SUM(I58:I64)</f>
        <v>-982684603</v>
      </c>
      <c r="K65" s="68">
        <f>SUM(K58:K64)</f>
        <v>4117980</v>
      </c>
      <c r="L65" s="68"/>
      <c r="M65" s="68">
        <f>SUM(M58:M64)</f>
        <v>-978566623</v>
      </c>
    </row>
    <row r="66" spans="1:13" x14ac:dyDescent="0.25">
      <c r="A66" s="22">
        <v>56</v>
      </c>
      <c r="B66" s="22"/>
      <c r="C66" s="7"/>
      <c r="D66" s="22"/>
      <c r="E66" s="22"/>
      <c r="F66" s="30"/>
      <c r="G66" s="22"/>
      <c r="H66" s="22"/>
      <c r="I66" s="22"/>
      <c r="K66" s="22"/>
      <c r="L66" s="22"/>
      <c r="M66" s="22"/>
    </row>
    <row r="67" spans="1:13" ht="16.5" thickBot="1" x14ac:dyDescent="0.3">
      <c r="A67" s="22">
        <v>57</v>
      </c>
      <c r="B67" s="22"/>
      <c r="C67" s="17" t="s">
        <v>112</v>
      </c>
      <c r="D67" s="22"/>
      <c r="E67" s="32">
        <f>E55+E65</f>
        <v>838124164</v>
      </c>
      <c r="F67" s="30"/>
      <c r="G67" s="32">
        <f>G55+G65</f>
        <v>835682807</v>
      </c>
      <c r="H67" s="30"/>
      <c r="I67" s="32">
        <f>I55+I65</f>
        <v>828023254</v>
      </c>
      <c r="K67" s="32">
        <f>K55+K65</f>
        <v>1804421</v>
      </c>
      <c r="L67" s="32"/>
      <c r="M67" s="32">
        <f>M55+M65</f>
        <v>829827675</v>
      </c>
    </row>
    <row r="68" spans="1:13" ht="16.5" thickTop="1" x14ac:dyDescent="0.25">
      <c r="A68" s="22"/>
      <c r="B68" s="22"/>
      <c r="C68" s="7"/>
      <c r="D68" s="22"/>
      <c r="E68" s="22"/>
      <c r="F68" s="30"/>
      <c r="G68" s="22"/>
      <c r="H68" s="22"/>
      <c r="I68" s="22"/>
      <c r="J68" s="22"/>
      <c r="K68" s="22"/>
    </row>
    <row r="69" spans="1:13" x14ac:dyDescent="0.25">
      <c r="C69" s="4" t="s">
        <v>265</v>
      </c>
      <c r="F69" s="4"/>
    </row>
    <row r="70" spans="1:13" x14ac:dyDescent="0.25">
      <c r="C70" s="4" t="s">
        <v>428</v>
      </c>
    </row>
    <row r="71" spans="1:13" x14ac:dyDescent="0.25">
      <c r="C71" s="18" t="s">
        <v>429</v>
      </c>
    </row>
    <row r="72" spans="1:13" x14ac:dyDescent="0.25">
      <c r="C72" s="18" t="s">
        <v>403</v>
      </c>
    </row>
  </sheetData>
  <pageMargins left="0.7" right="0.7" top="0.75" bottom="0.75" header="0.3" footer="0.3"/>
  <pageSetup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75"/>
  <sheetViews>
    <sheetView topLeftCell="D1" zoomScaleNormal="100" workbookViewId="0">
      <selection activeCell="I19" sqref="I19"/>
    </sheetView>
  </sheetViews>
  <sheetFormatPr defaultRowHeight="15.75" x14ac:dyDescent="0.25"/>
  <cols>
    <col min="1" max="1" width="5.125" customWidth="1"/>
    <col min="2" max="2" width="1.375" customWidth="1"/>
    <col min="3" max="3" width="26.625" customWidth="1"/>
    <col min="4" max="4" width="3.25" customWidth="1"/>
    <col min="5" max="5" width="12.25" customWidth="1"/>
    <col min="6" max="6" width="1.125" customWidth="1"/>
    <col min="7" max="7" width="12.25" customWidth="1"/>
    <col min="8" max="9" width="12.625" customWidth="1"/>
    <col min="10" max="10" width="11.875" customWidth="1"/>
    <col min="11" max="11" width="10.625" customWidth="1"/>
    <col min="12" max="12" width="10.25" customWidth="1"/>
    <col min="13" max="13" width="11.375" customWidth="1"/>
    <col min="14" max="14" width="11" customWidth="1"/>
    <col min="15" max="15" width="10" customWidth="1"/>
    <col min="18" max="18" width="10.125" bestFit="1" customWidth="1"/>
  </cols>
  <sheetData>
    <row r="1" spans="1:15" x14ac:dyDescent="0.25">
      <c r="A1" t="s">
        <v>436</v>
      </c>
      <c r="M1" t="s">
        <v>386</v>
      </c>
    </row>
    <row r="2" spans="1:15" x14ac:dyDescent="0.25">
      <c r="A2" t="s">
        <v>147</v>
      </c>
      <c r="B2" s="7"/>
      <c r="C2" s="7"/>
      <c r="D2" s="7"/>
      <c r="E2" s="7"/>
      <c r="F2" s="7"/>
      <c r="G2" s="23"/>
      <c r="H2" s="24"/>
      <c r="M2" t="s">
        <v>261</v>
      </c>
      <c r="N2" s="23"/>
      <c r="O2" s="23"/>
    </row>
    <row r="3" spans="1:15" x14ac:dyDescent="0.25">
      <c r="A3" t="s">
        <v>148</v>
      </c>
      <c r="B3" s="7"/>
      <c r="C3" s="7"/>
      <c r="D3" s="7"/>
      <c r="E3" s="7"/>
      <c r="F3" s="7"/>
      <c r="I3" s="22"/>
      <c r="J3" s="22"/>
      <c r="K3" s="22"/>
      <c r="L3" s="22"/>
      <c r="M3" t="s">
        <v>439</v>
      </c>
      <c r="N3" s="22"/>
      <c r="O3" s="22"/>
    </row>
    <row r="4" spans="1:15" x14ac:dyDescent="0.25">
      <c r="A4" t="s">
        <v>207</v>
      </c>
      <c r="B4" s="7"/>
      <c r="C4" s="7"/>
      <c r="D4" s="7"/>
      <c r="F4" s="7"/>
      <c r="G4" s="23">
        <v>0.35</v>
      </c>
      <c r="H4" s="24" t="s">
        <v>13</v>
      </c>
      <c r="I4" s="26"/>
      <c r="J4" s="26"/>
      <c r="K4" s="26"/>
      <c r="L4" s="26"/>
      <c r="M4" s="48" t="str">
        <f>'DMR-2'!G4</f>
        <v>Revised 3/29/16</v>
      </c>
      <c r="N4" s="26"/>
      <c r="O4" s="26"/>
    </row>
    <row r="5" spans="1:15" x14ac:dyDescent="0.25">
      <c r="A5" t="s">
        <v>384</v>
      </c>
      <c r="B5" s="89"/>
      <c r="C5" s="89"/>
      <c r="D5" s="90"/>
      <c r="E5" s="48" t="s">
        <v>4</v>
      </c>
      <c r="F5" s="28"/>
      <c r="G5" s="29" t="s">
        <v>275</v>
      </c>
      <c r="H5" s="29" t="s">
        <v>365</v>
      </c>
      <c r="I5" s="29" t="s">
        <v>349</v>
      </c>
      <c r="J5" s="29" t="s">
        <v>435</v>
      </c>
      <c r="K5" s="29" t="s">
        <v>141</v>
      </c>
      <c r="L5" s="29" t="s">
        <v>143</v>
      </c>
      <c r="M5" s="27" t="s">
        <v>188</v>
      </c>
      <c r="N5" s="27" t="s">
        <v>339</v>
      </c>
      <c r="O5" s="27" t="s">
        <v>233</v>
      </c>
    </row>
    <row r="6" spans="1:15" x14ac:dyDescent="0.25">
      <c r="B6" s="22"/>
      <c r="C6" s="30"/>
      <c r="E6" s="48" t="s">
        <v>169</v>
      </c>
      <c r="F6" s="22"/>
      <c r="G6" s="27" t="s">
        <v>276</v>
      </c>
      <c r="H6" s="27" t="s">
        <v>202</v>
      </c>
      <c r="I6" s="27" t="s">
        <v>350</v>
      </c>
      <c r="J6" s="27" t="s">
        <v>434</v>
      </c>
      <c r="K6" s="27" t="s">
        <v>142</v>
      </c>
      <c r="L6" s="27" t="s">
        <v>113</v>
      </c>
      <c r="M6" s="27" t="s">
        <v>113</v>
      </c>
      <c r="N6" s="27" t="s">
        <v>340</v>
      </c>
      <c r="O6" s="27" t="s">
        <v>432</v>
      </c>
    </row>
    <row r="7" spans="1:15" x14ac:dyDescent="0.25">
      <c r="A7" s="22"/>
      <c r="B7" s="22"/>
      <c r="C7" s="22"/>
      <c r="D7" s="90"/>
      <c r="E7" s="48" t="s">
        <v>14</v>
      </c>
      <c r="F7" s="22"/>
      <c r="G7" s="27" t="s">
        <v>204</v>
      </c>
      <c r="H7" s="27" t="s">
        <v>431</v>
      </c>
      <c r="I7" s="27" t="s">
        <v>237</v>
      </c>
      <c r="J7" s="27" t="s">
        <v>430</v>
      </c>
      <c r="K7" s="27" t="s">
        <v>238</v>
      </c>
      <c r="L7" s="27" t="s">
        <v>239</v>
      </c>
      <c r="M7" s="27" t="s">
        <v>240</v>
      </c>
      <c r="N7" s="27" t="s">
        <v>241</v>
      </c>
      <c r="O7" s="27" t="s">
        <v>433</v>
      </c>
    </row>
    <row r="8" spans="1:15" x14ac:dyDescent="0.25">
      <c r="A8" s="22">
        <v>1</v>
      </c>
      <c r="B8" s="22"/>
      <c r="C8" s="45" t="s">
        <v>15</v>
      </c>
      <c r="D8" s="22"/>
      <c r="E8" s="22"/>
      <c r="F8" s="22"/>
      <c r="G8" s="22"/>
      <c r="H8" s="22"/>
      <c r="I8" s="48"/>
      <c r="J8" s="22"/>
      <c r="K8" s="22"/>
      <c r="L8" s="234" t="s">
        <v>478</v>
      </c>
      <c r="M8" s="234" t="s">
        <v>478</v>
      </c>
      <c r="N8" s="234" t="s">
        <v>478</v>
      </c>
      <c r="O8" s="22"/>
    </row>
    <row r="9" spans="1:15" x14ac:dyDescent="0.25">
      <c r="A9" s="22">
        <v>2</v>
      </c>
      <c r="B9" s="22"/>
      <c r="C9" s="22" t="s">
        <v>16</v>
      </c>
      <c r="D9" s="22"/>
      <c r="E9" s="22">
        <f>SUM(G9:O9)</f>
        <v>0</v>
      </c>
      <c r="F9" s="22"/>
      <c r="G9" s="22"/>
      <c r="H9" s="22"/>
      <c r="I9" s="22"/>
      <c r="J9" s="22"/>
      <c r="K9" s="22"/>
      <c r="L9" s="22"/>
      <c r="M9" s="22"/>
      <c r="N9" s="22"/>
      <c r="O9" s="22"/>
    </row>
    <row r="10" spans="1:15" x14ac:dyDescent="0.25">
      <c r="A10" s="22">
        <v>3</v>
      </c>
      <c r="B10" s="22"/>
      <c r="C10" s="22" t="s">
        <v>17</v>
      </c>
      <c r="D10" s="22"/>
      <c r="E10" s="22">
        <f>SUM(G10:O10)</f>
        <v>0</v>
      </c>
      <c r="F10" s="22"/>
      <c r="G10" s="22"/>
      <c r="H10" s="22"/>
      <c r="I10" s="22"/>
      <c r="J10" s="22"/>
      <c r="K10" s="22"/>
      <c r="L10" s="22"/>
      <c r="M10" s="22"/>
      <c r="N10" s="22"/>
      <c r="O10" s="22"/>
    </row>
    <row r="11" spans="1:15" x14ac:dyDescent="0.25">
      <c r="A11" s="22">
        <v>4</v>
      </c>
      <c r="B11" s="22"/>
      <c r="C11" s="22" t="s">
        <v>18</v>
      </c>
      <c r="D11" s="22"/>
      <c r="E11" s="22">
        <f>SUM(G11:O11)</f>
        <v>0</v>
      </c>
      <c r="F11" s="22"/>
      <c r="G11" s="22"/>
      <c r="H11" s="22"/>
      <c r="I11" s="22"/>
      <c r="J11" s="22"/>
      <c r="K11" s="22"/>
      <c r="L11" s="22"/>
      <c r="M11" s="22"/>
      <c r="N11" s="22"/>
      <c r="O11" s="22"/>
    </row>
    <row r="12" spans="1:15" x14ac:dyDescent="0.25">
      <c r="A12" s="22">
        <v>5</v>
      </c>
      <c r="B12" s="22"/>
      <c r="C12" s="22" t="s">
        <v>19</v>
      </c>
      <c r="D12" s="22"/>
      <c r="E12" s="31">
        <f>SUM(G12:O12)</f>
        <v>0</v>
      </c>
      <c r="F12" s="31"/>
      <c r="G12" s="31"/>
      <c r="H12" s="31"/>
      <c r="I12" s="31"/>
      <c r="J12" s="31"/>
      <c r="K12" s="31"/>
      <c r="L12" s="31"/>
      <c r="M12" s="31"/>
      <c r="N12" s="31"/>
      <c r="O12" s="31"/>
    </row>
    <row r="13" spans="1:15" x14ac:dyDescent="0.25">
      <c r="A13" s="22">
        <v>6</v>
      </c>
      <c r="B13" s="22"/>
      <c r="C13" s="22" t="s">
        <v>20</v>
      </c>
      <c r="D13" s="22"/>
      <c r="E13" s="31">
        <f>SUM(E9:E12)</f>
        <v>0</v>
      </c>
      <c r="F13" s="31"/>
      <c r="G13" s="31">
        <f t="shared" ref="G13:M13" si="0">SUM(G9:G12)</f>
        <v>0</v>
      </c>
      <c r="H13" s="31"/>
      <c r="I13" s="31">
        <f>SUM(I9:I12)</f>
        <v>0</v>
      </c>
      <c r="J13" s="31">
        <f t="shared" si="0"/>
        <v>0</v>
      </c>
      <c r="K13" s="31">
        <f t="shared" si="0"/>
        <v>0</v>
      </c>
      <c r="L13" s="31">
        <f>SUM(L9:L12)</f>
        <v>0</v>
      </c>
      <c r="M13" s="31">
        <f t="shared" si="0"/>
        <v>0</v>
      </c>
      <c r="N13" s="31">
        <f>SUM(N9:N12)</f>
        <v>0</v>
      </c>
      <c r="O13" s="31">
        <f>SUM(O9:O12)</f>
        <v>0</v>
      </c>
    </row>
    <row r="14" spans="1:15" x14ac:dyDescent="0.25">
      <c r="A14" s="22">
        <v>7</v>
      </c>
      <c r="B14" s="22"/>
      <c r="C14" s="45" t="s">
        <v>21</v>
      </c>
      <c r="D14" s="22"/>
      <c r="E14" s="22"/>
      <c r="F14" s="22"/>
      <c r="G14" s="22"/>
      <c r="H14" s="22"/>
      <c r="I14" s="22"/>
      <c r="J14" s="22"/>
      <c r="K14" s="22"/>
      <c r="L14" s="22"/>
      <c r="M14" s="22"/>
      <c r="N14" s="22"/>
      <c r="O14" s="22"/>
    </row>
    <row r="15" spans="1:15" x14ac:dyDescent="0.25">
      <c r="A15" s="22">
        <v>8</v>
      </c>
      <c r="B15" s="22"/>
      <c r="C15" s="22" t="s">
        <v>22</v>
      </c>
      <c r="D15" s="22"/>
      <c r="E15" s="22">
        <f t="shared" ref="E15:E24" si="1">SUM(G15:O15)</f>
        <v>-184527.9096617898</v>
      </c>
      <c r="F15" s="22"/>
      <c r="G15" s="22"/>
      <c r="H15" s="22"/>
      <c r="I15" s="22"/>
      <c r="J15" s="22"/>
      <c r="K15" s="22">
        <f>SUM(Sch8p4!F8:F18)</f>
        <v>-129960.86280890772</v>
      </c>
      <c r="L15" s="235">
        <f>SUM(Sch9p2!F8:F18)</f>
        <v>-15570.650844401394</v>
      </c>
      <c r="M15" s="235">
        <f>SUM(Sch10p2!F8:F18)</f>
        <v>-35373.008743757098</v>
      </c>
      <c r="N15" s="235">
        <f>SUM(Sch11p2!F8:F18)</f>
        <v>-3623.3872647235944</v>
      </c>
      <c r="O15" s="22"/>
    </row>
    <row r="16" spans="1:15" x14ac:dyDescent="0.25">
      <c r="A16" s="22">
        <v>9</v>
      </c>
      <c r="B16" s="22"/>
      <c r="C16" s="22" t="s">
        <v>23</v>
      </c>
      <c r="D16" s="22"/>
      <c r="E16" s="22">
        <f t="shared" si="1"/>
        <v>0</v>
      </c>
      <c r="F16" s="22"/>
      <c r="G16" s="22"/>
      <c r="H16" s="22"/>
      <c r="I16" s="22"/>
      <c r="K16" s="22"/>
      <c r="L16" s="22"/>
      <c r="M16" s="22"/>
      <c r="N16" s="22"/>
      <c r="O16" s="22"/>
    </row>
    <row r="17" spans="1:18" x14ac:dyDescent="0.25">
      <c r="A17" s="22">
        <v>10</v>
      </c>
      <c r="B17" s="22"/>
      <c r="C17" s="22" t="s">
        <v>24</v>
      </c>
      <c r="D17" s="22"/>
      <c r="E17" s="22">
        <f t="shared" si="1"/>
        <v>-75432.993937339241</v>
      </c>
      <c r="F17" s="22"/>
      <c r="G17" s="22"/>
      <c r="H17" s="22"/>
      <c r="I17" s="22"/>
      <c r="J17" s="22"/>
      <c r="K17" s="22">
        <f>SUM(Sch8p4!F19:F22)</f>
        <v>-53126.581200229615</v>
      </c>
      <c r="L17" s="235">
        <f>SUM(Sch9p2!F19:F22)</f>
        <v>-6365.1119925376179</v>
      </c>
      <c r="M17" s="235">
        <f>SUM(Sch10p2!F19:F22)</f>
        <v>-14460.09960771696</v>
      </c>
      <c r="N17" s="235">
        <f>SUM(Sch11p2!F19:F22)</f>
        <v>-1481.2011368550397</v>
      </c>
      <c r="O17" s="22"/>
    </row>
    <row r="18" spans="1:18" x14ac:dyDescent="0.25">
      <c r="A18" s="22">
        <v>11</v>
      </c>
      <c r="B18" s="22"/>
      <c r="C18" s="22" t="s">
        <v>25</v>
      </c>
      <c r="D18" s="22"/>
      <c r="E18" s="22">
        <f t="shared" si="1"/>
        <v>-105101.99757918602</v>
      </c>
      <c r="F18" s="22"/>
      <c r="G18" s="22"/>
      <c r="H18" s="22"/>
      <c r="I18" s="22"/>
      <c r="J18" s="22"/>
      <c r="K18" s="49">
        <f>SUM(Sch8p4!F23:F34)</f>
        <v>-74022.115751301681</v>
      </c>
      <c r="L18" s="235">
        <f>SUM(Sch9p2!F23:F34)</f>
        <v>-8868.6123977347452</v>
      </c>
      <c r="M18" s="235">
        <f>SUM(Sch10p2!F23:F34)</f>
        <v>-20147.488183055731</v>
      </c>
      <c r="N18" s="235">
        <f>SUM(Sch11p2!F23:F34)</f>
        <v>-2063.7812470938652</v>
      </c>
      <c r="O18" s="22"/>
    </row>
    <row r="19" spans="1:18" x14ac:dyDescent="0.25">
      <c r="A19" s="22">
        <v>12</v>
      </c>
      <c r="B19" s="22"/>
      <c r="C19" s="22" t="s">
        <v>26</v>
      </c>
      <c r="D19" s="22"/>
      <c r="E19" s="22">
        <f t="shared" si="1"/>
        <v>-51224.085193478444</v>
      </c>
      <c r="F19" s="22"/>
      <c r="G19" s="22"/>
      <c r="H19" s="22"/>
      <c r="I19" s="22"/>
      <c r="J19" s="22"/>
      <c r="K19" s="22">
        <f>SUM(Sch8p4!F35:F42)</f>
        <v>-36076.528046856991</v>
      </c>
      <c r="L19" s="235">
        <f>SUM(Sch9p2!F35:F42)</f>
        <v>-4322.3398933710541</v>
      </c>
      <c r="M19" s="235">
        <f>SUM(Sch10p2!F35:F42)</f>
        <v>-9819.3818851624492</v>
      </c>
      <c r="N19" s="235">
        <f>SUM(Sch11p2!F35:F42)</f>
        <v>-1005.8353680879494</v>
      </c>
      <c r="O19" s="22"/>
    </row>
    <row r="20" spans="1:18" x14ac:dyDescent="0.25">
      <c r="A20" s="22">
        <v>13</v>
      </c>
      <c r="B20" s="22"/>
      <c r="C20" s="22" t="s">
        <v>27</v>
      </c>
      <c r="D20" s="22"/>
      <c r="E20" s="22">
        <f t="shared" si="1"/>
        <v>-168053.46026598825</v>
      </c>
      <c r="F20" s="22"/>
      <c r="G20" s="22"/>
      <c r="H20" s="22"/>
      <c r="I20" s="22"/>
      <c r="J20" s="22"/>
      <c r="K20" s="22">
        <f>SUM(Sch8p4!F43:F58)</f>
        <v>-118358.09951036803</v>
      </c>
      <c r="L20" s="235">
        <f>SUM(Sch9p2!F43:F58)</f>
        <v>-14180.520213940443</v>
      </c>
      <c r="M20" s="235">
        <f>SUM(Sch10p2!F43:F58)</f>
        <v>-32214.945318043552</v>
      </c>
      <c r="N20" s="235">
        <f>SUM(Sch11p2!F43:F58)</f>
        <v>-3299.8952236362115</v>
      </c>
      <c r="O20" s="22"/>
      <c r="R20" s="6"/>
    </row>
    <row r="21" spans="1:18" x14ac:dyDescent="0.25">
      <c r="A21" s="22">
        <v>14</v>
      </c>
      <c r="B21" s="22"/>
      <c r="C21" s="22" t="s">
        <v>28</v>
      </c>
      <c r="D21" s="22"/>
      <c r="E21" s="22">
        <f t="shared" si="1"/>
        <v>-105675.97844277803</v>
      </c>
      <c r="F21" s="22"/>
      <c r="G21" s="22"/>
      <c r="H21" s="22"/>
      <c r="I21" s="22"/>
      <c r="J21" s="22"/>
      <c r="K21" s="22">
        <f>SUM(Sch8p4!F59:F66)</f>
        <v>-74426.363804644614</v>
      </c>
      <c r="L21" s="235">
        <f>SUM(Sch9p2!F59:F66)</f>
        <v>-8917.0454810268056</v>
      </c>
      <c r="M21" s="235">
        <f>SUM(Sch10p2!F59:F66)</f>
        <v>-20257.51723038956</v>
      </c>
      <c r="N21" s="235">
        <f>SUM(Sch11p2!F59:F66)</f>
        <v>-2075.0519267170521</v>
      </c>
      <c r="O21" s="22"/>
    </row>
    <row r="22" spans="1:18" x14ac:dyDescent="0.25">
      <c r="A22" s="22">
        <v>15</v>
      </c>
      <c r="B22" s="22"/>
      <c r="C22" s="22" t="s">
        <v>29</v>
      </c>
      <c r="D22" s="22"/>
      <c r="E22" s="22">
        <f t="shared" si="1"/>
        <v>-16579.306754994803</v>
      </c>
      <c r="F22" s="22"/>
      <c r="G22" s="22"/>
      <c r="H22" s="22"/>
      <c r="I22" s="22"/>
      <c r="J22" s="22"/>
      <c r="K22" s="22">
        <f>SUM(Sch8p4!F67:F74)</f>
        <v>-11676.613118318124</v>
      </c>
      <c r="L22" s="235">
        <f>SUM(Sch9p2!F67:F74)</f>
        <v>-1398.9786000253209</v>
      </c>
      <c r="M22" s="235">
        <f>SUM(Sch10p2!F67:F74)</f>
        <v>-3178.1640180325558</v>
      </c>
      <c r="N22" s="235">
        <f>SUM(Sch11p2!F67:F74)</f>
        <v>-325.55101861880246</v>
      </c>
      <c r="O22" s="22"/>
    </row>
    <row r="23" spans="1:18" x14ac:dyDescent="0.25">
      <c r="A23" s="22">
        <v>16</v>
      </c>
      <c r="B23" s="22"/>
      <c r="C23" s="22" t="s">
        <v>30</v>
      </c>
      <c r="D23" s="22"/>
      <c r="E23" s="22">
        <f t="shared" si="1"/>
        <v>0</v>
      </c>
      <c r="F23" s="22"/>
      <c r="G23" s="22"/>
      <c r="H23" s="22"/>
      <c r="I23" s="22"/>
      <c r="J23" s="22"/>
      <c r="K23" s="22"/>
      <c r="L23" s="22"/>
      <c r="M23" s="22"/>
      <c r="N23" s="22"/>
      <c r="O23" s="22"/>
    </row>
    <row r="24" spans="1:18" x14ac:dyDescent="0.25">
      <c r="A24" s="22">
        <v>17</v>
      </c>
      <c r="B24" s="22"/>
      <c r="C24" s="22" t="s">
        <v>31</v>
      </c>
      <c r="D24" s="22"/>
      <c r="E24" s="31">
        <f t="shared" si="1"/>
        <v>-224376.59569728913</v>
      </c>
      <c r="F24" s="31"/>
      <c r="G24" s="31"/>
      <c r="H24" s="31"/>
      <c r="I24" s="31"/>
      <c r="J24" s="31"/>
      <c r="K24" s="69">
        <f>SUM(Sch8p4!F75:F82)</f>
        <v>-158025.82939562417</v>
      </c>
      <c r="L24" s="236">
        <f>SUM(Sch9p2!F75:F82)</f>
        <v>-18933.123101330744</v>
      </c>
      <c r="M24" s="236">
        <f>SUM(Sch10p2!F75:F82)</f>
        <v>-43011.787734666723</v>
      </c>
      <c r="N24" s="236">
        <f>SUM(Sch11p2!F75:F82)</f>
        <v>-4405.8554656674842</v>
      </c>
      <c r="O24" s="31"/>
    </row>
    <row r="25" spans="1:18" x14ac:dyDescent="0.25">
      <c r="A25" s="22">
        <v>18</v>
      </c>
      <c r="B25" s="22"/>
      <c r="C25" s="25" t="s">
        <v>32</v>
      </c>
      <c r="D25" s="22"/>
      <c r="E25" s="22">
        <f>SUM(E15:E24)</f>
        <v>-930972.32753284369</v>
      </c>
      <c r="F25" s="22"/>
      <c r="G25" s="22">
        <f t="shared" ref="G25:M25" si="2">SUM(G15:G24)</f>
        <v>0</v>
      </c>
      <c r="H25" s="89">
        <f t="shared" si="2"/>
        <v>0</v>
      </c>
      <c r="I25" s="89">
        <f>SUM(I15:I24)</f>
        <v>0</v>
      </c>
      <c r="J25" s="89">
        <f t="shared" si="2"/>
        <v>0</v>
      </c>
      <c r="K25" s="89">
        <f t="shared" si="2"/>
        <v>-655672.99363625096</v>
      </c>
      <c r="L25" s="89">
        <f>SUM(L15:L24)</f>
        <v>-78556.38252436812</v>
      </c>
      <c r="M25" s="89">
        <f t="shared" si="2"/>
        <v>-178462.39272082463</v>
      </c>
      <c r="N25" s="89">
        <f>SUM(N15:N24)</f>
        <v>-18280.558651399999</v>
      </c>
      <c r="O25" s="22">
        <f>SUM(O15:O24)</f>
        <v>0</v>
      </c>
    </row>
    <row r="26" spans="1:18" x14ac:dyDescent="0.25">
      <c r="A26" s="22">
        <v>19</v>
      </c>
      <c r="B26" s="22"/>
      <c r="C26" s="22" t="s">
        <v>33</v>
      </c>
      <c r="D26" s="22"/>
      <c r="E26" s="22">
        <f t="shared" ref="E26:E33" si="3">SUM(G26:O26)</f>
        <v>-11641342.828430001</v>
      </c>
      <c r="F26" s="22"/>
      <c r="G26" s="22">
        <f>'Sch4'!M14</f>
        <v>-10276745</v>
      </c>
      <c r="H26" s="89">
        <f>'Sch5'!M24</f>
        <v>-165524</v>
      </c>
      <c r="I26" s="89">
        <f>'Sch6'!M16</f>
        <v>-69428.828430000009</v>
      </c>
      <c r="J26" s="89">
        <f>'Sch7'!M11</f>
        <v>-1129645</v>
      </c>
      <c r="K26" s="89"/>
      <c r="L26" s="89"/>
      <c r="M26" s="89"/>
      <c r="N26" s="89"/>
      <c r="O26" s="22"/>
    </row>
    <row r="27" spans="1:18" x14ac:dyDescent="0.25">
      <c r="A27" s="22">
        <v>20</v>
      </c>
      <c r="B27" s="22"/>
      <c r="C27" s="22" t="s">
        <v>34</v>
      </c>
      <c r="D27" s="22"/>
      <c r="E27" s="22">
        <f t="shared" si="3"/>
        <v>0</v>
      </c>
      <c r="F27" s="22"/>
      <c r="G27" s="22"/>
      <c r="H27" s="89"/>
      <c r="I27" s="89"/>
      <c r="J27" s="89"/>
      <c r="K27" s="89"/>
      <c r="L27" s="89"/>
      <c r="M27" s="89"/>
      <c r="N27" s="89"/>
      <c r="O27" s="22"/>
    </row>
    <row r="28" spans="1:18" x14ac:dyDescent="0.25">
      <c r="A28" s="22">
        <v>21</v>
      </c>
      <c r="B28" s="22"/>
      <c r="C28" s="22" t="s">
        <v>35</v>
      </c>
      <c r="D28" s="22"/>
      <c r="E28" s="22">
        <f t="shared" si="3"/>
        <v>0</v>
      </c>
      <c r="F28" s="22"/>
      <c r="G28" s="22"/>
      <c r="H28" s="89"/>
      <c r="I28" s="89"/>
      <c r="J28" s="89"/>
      <c r="K28" s="89"/>
      <c r="L28" s="89"/>
      <c r="M28" s="89"/>
      <c r="N28" s="89"/>
      <c r="O28" s="22"/>
    </row>
    <row r="29" spans="1:18" x14ac:dyDescent="0.25">
      <c r="A29" s="22">
        <v>22</v>
      </c>
      <c r="B29" s="22"/>
      <c r="C29" s="22" t="s">
        <v>36</v>
      </c>
      <c r="D29" s="22"/>
      <c r="E29" s="22">
        <f t="shared" si="3"/>
        <v>802052.50458699535</v>
      </c>
      <c r="F29" s="22"/>
      <c r="G29" s="22"/>
      <c r="H29" s="89">
        <f>(-2094799*G4)+810667</f>
        <v>77487.350000000093</v>
      </c>
      <c r="I29" s="89">
        <f t="shared" ref="I29:N29" si="4">(I13-I25-I33-I30-SUM(I26:I28))*$G$4</f>
        <v>24300.089950500002</v>
      </c>
      <c r="J29" s="89">
        <f t="shared" si="4"/>
        <v>395375.75</v>
      </c>
      <c r="K29" s="89">
        <f t="shared" si="4"/>
        <v>229485.54777268783</v>
      </c>
      <c r="L29" s="89">
        <f t="shared" si="4"/>
        <v>27494.733883528839</v>
      </c>
      <c r="M29" s="89">
        <f t="shared" si="4"/>
        <v>62461.837452288615</v>
      </c>
      <c r="N29" s="89">
        <f t="shared" si="4"/>
        <v>6398.1955279899994</v>
      </c>
      <c r="O29" s="22">
        <f>-'Sch12'!E24</f>
        <v>-20951</v>
      </c>
    </row>
    <row r="30" spans="1:18" x14ac:dyDescent="0.25">
      <c r="A30" s="22">
        <v>23</v>
      </c>
      <c r="B30" s="22"/>
      <c r="C30" s="22" t="s">
        <v>37</v>
      </c>
      <c r="D30" s="22"/>
      <c r="E30" s="22">
        <f t="shared" si="3"/>
        <v>0</v>
      </c>
      <c r="F30" s="22"/>
      <c r="G30" s="22"/>
      <c r="H30" s="89"/>
      <c r="I30" s="89"/>
      <c r="J30" s="89"/>
      <c r="K30" s="89"/>
      <c r="L30" s="89"/>
      <c r="M30" s="89"/>
      <c r="N30" s="89"/>
      <c r="O30" s="22"/>
    </row>
    <row r="31" spans="1:18" x14ac:dyDescent="0.25">
      <c r="A31" s="22">
        <v>24</v>
      </c>
      <c r="B31" s="22"/>
      <c r="C31" s="22" t="s">
        <v>38</v>
      </c>
      <c r="D31" s="22"/>
      <c r="E31" s="22">
        <f t="shared" si="3"/>
        <v>3878925</v>
      </c>
      <c r="F31" s="22"/>
      <c r="G31" s="22">
        <f>3794817+105311</f>
        <v>3900128</v>
      </c>
      <c r="H31" s="89">
        <f>-101998+80795</f>
        <v>-21203</v>
      </c>
      <c r="I31" s="89"/>
      <c r="J31" s="89"/>
      <c r="K31" s="89"/>
      <c r="L31" s="89"/>
      <c r="M31" s="89"/>
      <c r="N31" s="89"/>
      <c r="O31" s="22"/>
    </row>
    <row r="32" spans="1:18" x14ac:dyDescent="0.25">
      <c r="A32" s="22">
        <v>25</v>
      </c>
      <c r="B32" s="22"/>
      <c r="C32" s="49" t="s">
        <v>88</v>
      </c>
      <c r="D32" s="22"/>
      <c r="E32" s="22">
        <f t="shared" si="3"/>
        <v>0</v>
      </c>
      <c r="F32" s="22"/>
      <c r="G32" s="22"/>
      <c r="H32" s="89"/>
      <c r="I32" s="89"/>
      <c r="J32" s="89"/>
      <c r="K32" s="89"/>
      <c r="L32" s="89"/>
      <c r="M32" s="89"/>
      <c r="N32" s="89"/>
      <c r="O32" s="22"/>
    </row>
    <row r="33" spans="1:15" x14ac:dyDescent="0.25">
      <c r="A33" s="22">
        <v>26</v>
      </c>
      <c r="B33" s="22"/>
      <c r="C33" s="22" t="s">
        <v>40</v>
      </c>
      <c r="D33" s="22"/>
      <c r="E33" s="31">
        <f t="shared" si="3"/>
        <v>0</v>
      </c>
      <c r="F33" s="31"/>
      <c r="G33" s="31"/>
      <c r="H33" s="187"/>
      <c r="I33" s="187"/>
      <c r="J33" s="187"/>
      <c r="K33" s="187"/>
      <c r="L33" s="187"/>
      <c r="M33" s="187"/>
      <c r="N33" s="187"/>
      <c r="O33" s="31"/>
    </row>
    <row r="34" spans="1:15" x14ac:dyDescent="0.25">
      <c r="A34" s="22">
        <v>27</v>
      </c>
      <c r="B34" s="22"/>
      <c r="C34" s="25" t="s">
        <v>41</v>
      </c>
      <c r="D34" s="22"/>
      <c r="E34" s="31">
        <f>SUM(E25:E33)</f>
        <v>-7891337.6513758488</v>
      </c>
      <c r="F34" s="31"/>
      <c r="G34" s="31">
        <f t="shared" ref="G34:M34" si="5">SUM(G25:G33)</f>
        <v>-6376617</v>
      </c>
      <c r="H34" s="187">
        <f>SUM(H25:H33)</f>
        <v>-109239.64999999991</v>
      </c>
      <c r="I34" s="187">
        <f>SUM(I25:I33)</f>
        <v>-45128.738479500011</v>
      </c>
      <c r="J34" s="187">
        <f t="shared" si="5"/>
        <v>-734269.25</v>
      </c>
      <c r="K34" s="187">
        <f>SUM(K25:K33)</f>
        <v>-426187.4458635631</v>
      </c>
      <c r="L34" s="187">
        <f>SUM(L25:L33)</f>
        <v>-51061.648640839281</v>
      </c>
      <c r="M34" s="187">
        <f t="shared" si="5"/>
        <v>-116000.55526853602</v>
      </c>
      <c r="N34" s="187">
        <f>SUM(N25:N33)</f>
        <v>-11882.363123409999</v>
      </c>
      <c r="O34" s="31">
        <f>SUM(O25:O33)</f>
        <v>-20951</v>
      </c>
    </row>
    <row r="35" spans="1:15" ht="16.5" thickBot="1" x14ac:dyDescent="0.3">
      <c r="A35" s="22">
        <v>28</v>
      </c>
      <c r="B35" s="22"/>
      <c r="C35" s="45" t="s">
        <v>42</v>
      </c>
      <c r="D35" s="22"/>
      <c r="E35" s="32">
        <f>E13-E34</f>
        <v>7891337.6513758488</v>
      </c>
      <c r="F35" s="32"/>
      <c r="G35" s="32">
        <f t="shared" ref="G35:M35" si="6">G13-G34</f>
        <v>6376617</v>
      </c>
      <c r="H35" s="188">
        <f>H13-H34</f>
        <v>109239.64999999991</v>
      </c>
      <c r="I35" s="188">
        <f>I13-I34</f>
        <v>45128.738479500011</v>
      </c>
      <c r="J35" s="188">
        <f t="shared" si="6"/>
        <v>734269.25</v>
      </c>
      <c r="K35" s="188">
        <f>K13-K34</f>
        <v>426187.4458635631</v>
      </c>
      <c r="L35" s="188">
        <f>L13-L34</f>
        <v>51061.648640839281</v>
      </c>
      <c r="M35" s="188">
        <f t="shared" si="6"/>
        <v>116000.55526853602</v>
      </c>
      <c r="N35" s="188">
        <f>N13-N34</f>
        <v>11882.363123409999</v>
      </c>
      <c r="O35" s="32">
        <f>O13-O34</f>
        <v>20951</v>
      </c>
    </row>
    <row r="36" spans="1:15" ht="16.5" thickTop="1" x14ac:dyDescent="0.25">
      <c r="A36" s="22">
        <v>29</v>
      </c>
      <c r="B36" s="22"/>
      <c r="C36" s="45" t="s">
        <v>43</v>
      </c>
      <c r="D36" s="22"/>
      <c r="E36" s="22"/>
      <c r="F36" s="22"/>
      <c r="G36" s="22"/>
      <c r="H36" s="89"/>
      <c r="I36" s="89"/>
      <c r="J36" s="89"/>
      <c r="K36" s="89"/>
      <c r="L36" s="89"/>
      <c r="M36" s="89"/>
      <c r="N36" s="89"/>
      <c r="O36" s="22"/>
    </row>
    <row r="37" spans="1:15" x14ac:dyDescent="0.25">
      <c r="A37" s="22">
        <v>30</v>
      </c>
      <c r="B37" s="22"/>
      <c r="C37" s="22" t="s">
        <v>44</v>
      </c>
      <c r="D37" s="22"/>
      <c r="E37" s="22">
        <f t="shared" ref="E37:E47" si="7">SUM(G37:O37)</f>
        <v>-2313559</v>
      </c>
      <c r="F37" s="22"/>
      <c r="G37" s="49"/>
      <c r="H37" s="95">
        <f>'Sch5'!M14</f>
        <v>-2313559</v>
      </c>
      <c r="I37" s="95"/>
      <c r="J37" s="89"/>
      <c r="K37" s="95"/>
      <c r="L37" s="89"/>
      <c r="M37" s="89"/>
      <c r="N37" s="89"/>
      <c r="O37" s="22"/>
    </row>
    <row r="38" spans="1:15" x14ac:dyDescent="0.25">
      <c r="A38" s="22">
        <v>31</v>
      </c>
      <c r="B38" s="22"/>
      <c r="C38" s="22" t="s">
        <v>45</v>
      </c>
      <c r="D38" s="22"/>
      <c r="E38" s="22">
        <f t="shared" si="7"/>
        <v>0</v>
      </c>
      <c r="F38" s="22"/>
      <c r="G38" s="22"/>
      <c r="H38" s="89"/>
      <c r="I38" s="89"/>
      <c r="J38" s="89"/>
      <c r="K38" s="89"/>
      <c r="L38" s="89"/>
      <c r="M38" s="89"/>
      <c r="N38" s="89"/>
      <c r="O38" s="22"/>
    </row>
    <row r="39" spans="1:15" x14ac:dyDescent="0.25">
      <c r="A39" s="22">
        <v>32</v>
      </c>
      <c r="B39" s="22"/>
      <c r="C39" s="22" t="s">
        <v>46</v>
      </c>
      <c r="D39" s="22"/>
      <c r="E39" s="22">
        <f t="shared" si="7"/>
        <v>0</v>
      </c>
      <c r="F39" s="22"/>
      <c r="G39" s="22"/>
      <c r="H39" s="89"/>
      <c r="I39" s="89"/>
      <c r="J39" s="89"/>
      <c r="K39" s="89"/>
      <c r="L39" s="89"/>
      <c r="M39" s="89"/>
      <c r="N39" s="89"/>
      <c r="O39" s="22"/>
    </row>
    <row r="40" spans="1:15" x14ac:dyDescent="0.25">
      <c r="A40" s="22">
        <v>33</v>
      </c>
      <c r="B40" s="22"/>
      <c r="C40" s="22" t="s">
        <v>47</v>
      </c>
      <c r="D40" s="22"/>
      <c r="E40" s="22">
        <f t="shared" si="7"/>
        <v>0</v>
      </c>
      <c r="F40" s="22"/>
      <c r="G40" s="22"/>
      <c r="H40" s="89"/>
      <c r="I40" s="89"/>
      <c r="J40" s="89"/>
      <c r="K40" s="89"/>
      <c r="L40" s="89"/>
      <c r="M40" s="89"/>
      <c r="N40" s="89"/>
      <c r="O40" s="22"/>
    </row>
    <row r="41" spans="1:15" x14ac:dyDescent="0.25">
      <c r="A41" s="22">
        <v>34</v>
      </c>
      <c r="B41" s="22"/>
      <c r="C41" s="22" t="s">
        <v>48</v>
      </c>
      <c r="D41" s="22"/>
      <c r="E41" s="22">
        <f t="shared" si="7"/>
        <v>0</v>
      </c>
      <c r="F41" s="22"/>
      <c r="G41" s="22"/>
      <c r="H41" s="89"/>
      <c r="I41" s="89"/>
      <c r="J41" s="89"/>
      <c r="K41" s="89"/>
      <c r="L41" s="89"/>
      <c r="M41" s="89"/>
      <c r="N41" s="89"/>
      <c r="O41" s="22"/>
    </row>
    <row r="42" spans="1:15" x14ac:dyDescent="0.25">
      <c r="A42" s="22">
        <v>35</v>
      </c>
      <c r="B42" s="22"/>
      <c r="C42" s="22" t="s">
        <v>49</v>
      </c>
      <c r="D42" s="22"/>
      <c r="E42" s="22">
        <f t="shared" si="7"/>
        <v>0</v>
      </c>
      <c r="F42" s="22"/>
      <c r="G42" s="22"/>
      <c r="H42" s="89"/>
      <c r="I42" s="89"/>
      <c r="J42" s="89"/>
      <c r="K42" s="89"/>
      <c r="L42" s="89"/>
      <c r="M42" s="89"/>
      <c r="N42" s="89"/>
      <c r="O42" s="22"/>
    </row>
    <row r="43" spans="1:15" x14ac:dyDescent="0.25">
      <c r="A43" s="22">
        <v>36</v>
      </c>
      <c r="B43" s="22"/>
      <c r="C43" s="22" t="s">
        <v>50</v>
      </c>
      <c r="D43" s="22"/>
      <c r="E43" s="22">
        <f t="shared" si="7"/>
        <v>0</v>
      </c>
      <c r="F43" s="22"/>
      <c r="G43" s="22"/>
      <c r="H43" s="89"/>
      <c r="I43" s="89"/>
      <c r="J43" s="89"/>
      <c r="K43" s="89"/>
      <c r="L43" s="89"/>
      <c r="M43" s="89"/>
      <c r="N43" s="89"/>
      <c r="O43" s="22"/>
    </row>
    <row r="44" spans="1:15" x14ac:dyDescent="0.25">
      <c r="A44" s="22">
        <v>37</v>
      </c>
      <c r="B44" s="22"/>
      <c r="C44" s="22" t="s">
        <v>51</v>
      </c>
      <c r="D44" s="22"/>
      <c r="E44" s="22">
        <f t="shared" si="7"/>
        <v>0</v>
      </c>
      <c r="F44" s="22"/>
      <c r="G44" s="22"/>
      <c r="H44" s="89"/>
      <c r="I44" s="89"/>
      <c r="J44" s="89"/>
      <c r="K44" s="89"/>
      <c r="L44" s="89"/>
      <c r="M44" s="89"/>
      <c r="N44" s="89"/>
      <c r="O44" s="22"/>
    </row>
    <row r="45" spans="1:15" x14ac:dyDescent="0.25">
      <c r="A45" s="22">
        <v>38</v>
      </c>
      <c r="B45" s="22"/>
      <c r="C45" s="49" t="s">
        <v>89</v>
      </c>
      <c r="D45" s="22"/>
      <c r="E45" s="22">
        <f t="shared" si="7"/>
        <v>0</v>
      </c>
      <c r="F45" s="22"/>
      <c r="G45" s="22"/>
      <c r="H45" s="89"/>
      <c r="I45" s="89"/>
      <c r="J45" s="89"/>
      <c r="K45" s="89"/>
      <c r="L45" s="89"/>
      <c r="M45" s="89"/>
      <c r="N45" s="89"/>
      <c r="O45" s="22"/>
    </row>
    <row r="46" spans="1:15" x14ac:dyDescent="0.25">
      <c r="A46" s="22">
        <v>39</v>
      </c>
      <c r="B46" s="22"/>
      <c r="C46" s="22" t="s">
        <v>53</v>
      </c>
      <c r="D46" s="22"/>
      <c r="E46" s="22">
        <f t="shared" si="7"/>
        <v>0</v>
      </c>
      <c r="F46" s="22"/>
      <c r="G46" s="22"/>
      <c r="H46" s="89"/>
      <c r="I46" s="89"/>
      <c r="J46" s="89"/>
      <c r="K46" s="89"/>
      <c r="L46" s="89"/>
      <c r="M46" s="89"/>
      <c r="N46" s="89"/>
      <c r="O46" s="22"/>
    </row>
    <row r="47" spans="1:15" x14ac:dyDescent="0.25">
      <c r="A47" s="22">
        <v>40</v>
      </c>
      <c r="B47" s="22"/>
      <c r="C47" s="49" t="s">
        <v>90</v>
      </c>
      <c r="D47" s="22"/>
      <c r="E47" s="31">
        <f t="shared" si="7"/>
        <v>0</v>
      </c>
      <c r="F47" s="31"/>
      <c r="G47" s="31"/>
      <c r="H47" s="187"/>
      <c r="I47" s="187"/>
      <c r="J47" s="187"/>
      <c r="K47" s="187"/>
      <c r="L47" s="187"/>
      <c r="M47" s="187"/>
      <c r="N47" s="187"/>
      <c r="O47" s="31"/>
    </row>
    <row r="48" spans="1:15" x14ac:dyDescent="0.25">
      <c r="A48" s="22">
        <v>41</v>
      </c>
      <c r="B48" s="22"/>
      <c r="C48" s="22" t="s">
        <v>55</v>
      </c>
      <c r="D48" s="22"/>
      <c r="E48" s="31">
        <f>SUM(E37:E47)</f>
        <v>-2313559</v>
      </c>
      <c r="F48" s="31"/>
      <c r="G48" s="31">
        <f t="shared" ref="G48:M48" si="8">SUM(G37:G47)</f>
        <v>0</v>
      </c>
      <c r="H48" s="187">
        <f>SUM(H37:H47)</f>
        <v>-2313559</v>
      </c>
      <c r="I48" s="187">
        <f>SUM(I37:I47)</f>
        <v>0</v>
      </c>
      <c r="J48" s="187">
        <f t="shared" si="8"/>
        <v>0</v>
      </c>
      <c r="K48" s="187">
        <f>SUM(K37:K47)</f>
        <v>0</v>
      </c>
      <c r="L48" s="187">
        <f>SUM(L37:L47)</f>
        <v>0</v>
      </c>
      <c r="M48" s="187">
        <f t="shared" si="8"/>
        <v>0</v>
      </c>
      <c r="N48" s="187">
        <f>SUM(N37:N47)</f>
        <v>0</v>
      </c>
      <c r="O48" s="31">
        <f>SUM(O37:O47)</f>
        <v>0</v>
      </c>
    </row>
    <row r="49" spans="1:17" x14ac:dyDescent="0.25">
      <c r="A49" s="22">
        <v>42</v>
      </c>
      <c r="B49" s="22"/>
      <c r="C49" s="45" t="s">
        <v>56</v>
      </c>
      <c r="D49" s="22"/>
      <c r="E49" s="22"/>
      <c r="F49" s="22"/>
      <c r="G49" s="22"/>
      <c r="H49" s="89"/>
      <c r="I49" s="89"/>
      <c r="J49" s="89"/>
      <c r="K49" s="89"/>
      <c r="L49" s="89"/>
      <c r="M49" s="89"/>
      <c r="N49" s="89"/>
      <c r="O49" s="22"/>
    </row>
    <row r="50" spans="1:17" x14ac:dyDescent="0.25">
      <c r="A50" s="22">
        <v>43</v>
      </c>
      <c r="B50" s="22"/>
      <c r="C50" s="49" t="s">
        <v>91</v>
      </c>
      <c r="D50" s="22"/>
      <c r="E50" s="22">
        <f t="shared" ref="E50:E56" si="9">SUM(G50:O50)</f>
        <v>6014456</v>
      </c>
      <c r="F50" s="22"/>
      <c r="G50" s="22">
        <f>'Sch4'!M17+'Sch4'!M18</f>
        <v>5138372</v>
      </c>
      <c r="H50" s="89">
        <f>'Sch5'!M19</f>
        <v>111181</v>
      </c>
      <c r="I50" s="89"/>
      <c r="J50" s="89">
        <f>'Sch7'!M13</f>
        <v>764903</v>
      </c>
      <c r="K50" s="89"/>
      <c r="L50" s="89"/>
      <c r="M50" s="89"/>
      <c r="N50" s="89"/>
      <c r="O50" s="22"/>
    </row>
    <row r="51" spans="1:17" x14ac:dyDescent="0.25">
      <c r="A51" s="22">
        <v>44</v>
      </c>
      <c r="B51" s="22"/>
      <c r="C51" s="49" t="s">
        <v>92</v>
      </c>
      <c r="D51" s="22"/>
      <c r="E51" s="22">
        <f t="shared" si="9"/>
        <v>0</v>
      </c>
      <c r="F51" s="22"/>
      <c r="G51" s="22"/>
      <c r="H51" s="89"/>
      <c r="I51" s="89"/>
      <c r="J51" s="89"/>
      <c r="K51" s="89"/>
      <c r="L51" s="89"/>
      <c r="M51" s="89"/>
      <c r="N51" s="89"/>
      <c r="O51" s="22"/>
    </row>
    <row r="52" spans="1:17" x14ac:dyDescent="0.25">
      <c r="A52" s="22">
        <v>45</v>
      </c>
      <c r="B52" s="22"/>
      <c r="C52" s="22" t="s">
        <v>59</v>
      </c>
      <c r="D52" s="22"/>
      <c r="E52" s="22">
        <f t="shared" si="9"/>
        <v>-1896476</v>
      </c>
      <c r="F52" s="22"/>
      <c r="G52" s="22">
        <f>'Sch4'!M20+'Sch4'!M21</f>
        <v>-1950064</v>
      </c>
      <c r="H52" s="89">
        <f>'Sch5'!M29</f>
        <v>53588</v>
      </c>
      <c r="I52" s="89"/>
      <c r="J52" s="89"/>
      <c r="K52" s="89"/>
      <c r="L52" s="89"/>
      <c r="M52" s="89"/>
      <c r="N52" s="89"/>
      <c r="O52" s="22"/>
    </row>
    <row r="53" spans="1:17" x14ac:dyDescent="0.25">
      <c r="A53" s="22">
        <v>46</v>
      </c>
      <c r="B53" s="22"/>
      <c r="C53" s="22" t="s">
        <v>60</v>
      </c>
      <c r="D53" s="22"/>
      <c r="E53" s="22">
        <f t="shared" si="9"/>
        <v>0</v>
      </c>
      <c r="F53" s="22"/>
      <c r="G53" s="22"/>
      <c r="H53" s="89"/>
      <c r="I53" s="89"/>
      <c r="J53" s="89"/>
      <c r="K53" s="89"/>
      <c r="L53" s="89"/>
      <c r="M53" s="89"/>
      <c r="N53" s="89"/>
      <c r="O53" s="22"/>
    </row>
    <row r="54" spans="1:17" x14ac:dyDescent="0.25">
      <c r="A54" s="22">
        <v>47</v>
      </c>
      <c r="B54" s="22"/>
      <c r="C54" s="49" t="s">
        <v>93</v>
      </c>
      <c r="D54" s="22"/>
      <c r="E54" s="22">
        <f t="shared" si="9"/>
        <v>0</v>
      </c>
      <c r="F54" s="22"/>
      <c r="G54" s="22"/>
      <c r="H54" s="89"/>
      <c r="I54" s="89"/>
      <c r="J54" s="89"/>
      <c r="K54" s="89"/>
      <c r="L54" s="89"/>
      <c r="M54" s="89"/>
      <c r="N54" s="89"/>
      <c r="O54" s="22"/>
    </row>
    <row r="55" spans="1:17" x14ac:dyDescent="0.25">
      <c r="A55" s="22">
        <v>48</v>
      </c>
      <c r="B55" s="22"/>
      <c r="C55" s="22" t="s">
        <v>62</v>
      </c>
      <c r="D55" s="22"/>
      <c r="E55" s="22">
        <f t="shared" si="9"/>
        <v>0</v>
      </c>
      <c r="F55" s="22"/>
      <c r="G55" s="22"/>
      <c r="H55" s="89"/>
      <c r="I55" s="89"/>
      <c r="J55" s="89"/>
      <c r="K55" s="89"/>
      <c r="L55" s="89"/>
      <c r="M55" s="89"/>
      <c r="N55" s="89"/>
      <c r="O55" s="22"/>
    </row>
    <row r="56" spans="1:17" x14ac:dyDescent="0.25">
      <c r="A56" s="22">
        <v>49</v>
      </c>
      <c r="B56" s="22"/>
      <c r="C56" s="49" t="s">
        <v>94</v>
      </c>
      <c r="D56" s="22"/>
      <c r="E56" s="31">
        <f t="shared" si="9"/>
        <v>0</v>
      </c>
      <c r="F56" s="31"/>
      <c r="G56" s="31"/>
      <c r="H56" s="187"/>
      <c r="I56" s="187"/>
      <c r="J56" s="187"/>
      <c r="K56" s="187"/>
      <c r="L56" s="187"/>
      <c r="M56" s="187"/>
      <c r="N56" s="187"/>
      <c r="O56" s="31"/>
    </row>
    <row r="57" spans="1:17" x14ac:dyDescent="0.25">
      <c r="A57" s="22">
        <v>50</v>
      </c>
      <c r="B57" s="22"/>
      <c r="C57" s="22" t="s">
        <v>63</v>
      </c>
      <c r="D57" s="22"/>
      <c r="E57" s="31">
        <f>SUM(E50:E56)</f>
        <v>4117980</v>
      </c>
      <c r="F57" s="31"/>
      <c r="G57" s="31">
        <f t="shared" ref="G57:M57" si="10">SUM(G50:G56)</f>
        <v>3188308</v>
      </c>
      <c r="H57" s="187">
        <f>SUM(H50:H56)</f>
        <v>164769</v>
      </c>
      <c r="I57" s="187">
        <f>SUM(I50:I56)</f>
        <v>0</v>
      </c>
      <c r="J57" s="187">
        <f t="shared" si="10"/>
        <v>764903</v>
      </c>
      <c r="K57" s="187">
        <f>SUM(K50:K56)</f>
        <v>0</v>
      </c>
      <c r="L57" s="187">
        <f>SUM(L50:L56)</f>
        <v>0</v>
      </c>
      <c r="M57" s="187">
        <f t="shared" si="10"/>
        <v>0</v>
      </c>
      <c r="N57" s="187">
        <f>SUM(N50:N56)</f>
        <v>0</v>
      </c>
      <c r="O57" s="31">
        <f>SUM(O50:O56)</f>
        <v>0</v>
      </c>
    </row>
    <row r="58" spans="1:17" ht="16.5" thickBot="1" x14ac:dyDescent="0.3">
      <c r="A58" s="22">
        <v>51</v>
      </c>
      <c r="B58" s="22"/>
      <c r="C58" s="45" t="s">
        <v>73</v>
      </c>
      <c r="D58" s="22"/>
      <c r="E58" s="32">
        <f>E48+E57</f>
        <v>1804421</v>
      </c>
      <c r="F58" s="32"/>
      <c r="G58" s="32">
        <f t="shared" ref="G58:M58" si="11">G48+G57</f>
        <v>3188308</v>
      </c>
      <c r="H58" s="188">
        <f>H48+H57</f>
        <v>-2148790</v>
      </c>
      <c r="I58" s="188">
        <f>I48+I57</f>
        <v>0</v>
      </c>
      <c r="J58" s="188">
        <f t="shared" si="11"/>
        <v>764903</v>
      </c>
      <c r="K58" s="188">
        <f>K48+K57</f>
        <v>0</v>
      </c>
      <c r="L58" s="188">
        <f>L48+L57</f>
        <v>0</v>
      </c>
      <c r="M58" s="188">
        <f t="shared" si="11"/>
        <v>0</v>
      </c>
      <c r="N58" s="188">
        <f>N48+N57</f>
        <v>0</v>
      </c>
      <c r="O58" s="32">
        <f>O48+O57</f>
        <v>0</v>
      </c>
    </row>
    <row r="59" spans="1:17" ht="9" customHeight="1" thickTop="1" x14ac:dyDescent="0.25">
      <c r="A59" s="22"/>
      <c r="B59" s="22"/>
      <c r="C59" s="22"/>
      <c r="D59" s="22"/>
      <c r="E59" s="30"/>
      <c r="F59" s="30"/>
      <c r="G59" s="30"/>
      <c r="H59" s="189"/>
      <c r="I59" s="189"/>
      <c r="J59" s="189"/>
      <c r="K59" s="189"/>
      <c r="L59" s="189"/>
      <c r="M59" s="189"/>
      <c r="N59" s="189"/>
      <c r="O59" s="30"/>
    </row>
    <row r="60" spans="1:17" x14ac:dyDescent="0.25">
      <c r="A60" s="22">
        <v>52</v>
      </c>
      <c r="B60" s="22"/>
      <c r="C60" s="95" t="s">
        <v>151</v>
      </c>
      <c r="D60" s="22"/>
      <c r="E60" s="22"/>
      <c r="F60" s="22"/>
      <c r="G60" s="144">
        <f>(G58*DMR3Sch1!$F$16*DMR3Sch1!$F$22)-(G35*DMR3Sch1!$F$22)</f>
        <v>-9907231.4574128408</v>
      </c>
      <c r="H60" s="186">
        <f>(H58*DMR3Sch1!$F$16*DMR3Sch1!$F$22)-(H35*DMR3Sch1!$F$22)</f>
        <v>-429098.78414551535</v>
      </c>
      <c r="I60" s="186">
        <f>(I58*DMR3Sch1!$F$16*DMR3Sch1!$F$22)-(I35*DMR3Sch1!$F$22)</f>
        <v>-72771.855515690026</v>
      </c>
      <c r="J60" s="186">
        <f>(J58*DMR3Sch1!$F$16*DMR3Sch1!$F$22)-(J35*DMR3Sch1!$F$22)</f>
        <v>-1093997.0506659786</v>
      </c>
      <c r="K60" s="186">
        <f>(K58*DMR3Sch1!$F$16*DMR3Sch1!$F$22)-(K35*DMR3Sch1!$F$22)</f>
        <v>-687243.92212010687</v>
      </c>
      <c r="L60" s="186">
        <f>(L58*DMR3Sch1!$F$16*DMR3Sch1!$F$22)-(L35*DMR3Sch1!$F$22)</f>
        <v>-82338.905151803265</v>
      </c>
      <c r="M60" s="186">
        <f>(M58*DMR3Sch1!$F$16*DMR3Sch1!$F$22)-(M35*DMR3Sch1!$F$22)</f>
        <v>-187055.43146472733</v>
      </c>
      <c r="N60" s="186">
        <f>(N58*DMR3Sch1!$F$16*DMR3Sch1!$F$22)-(N35*DMR3Sch1!$F$22)</f>
        <v>-19160.775185296869</v>
      </c>
      <c r="O60" s="144">
        <f>(O58*DMR3Sch1!$F$16*DMR3Sch1!$F$22)-(O35*DMR3Sch1!$F$22)</f>
        <v>-33784.306769439158</v>
      </c>
      <c r="P60" s="42"/>
      <c r="Q60" s="42"/>
    </row>
    <row r="61" spans="1:17" ht="7.5" customHeight="1" x14ac:dyDescent="0.25">
      <c r="A61" s="22"/>
      <c r="B61" s="22"/>
      <c r="C61" s="95"/>
      <c r="E61" s="50"/>
      <c r="G61" s="49"/>
      <c r="H61" s="179"/>
      <c r="I61" s="179"/>
      <c r="J61" s="179"/>
      <c r="K61" s="179"/>
      <c r="L61" s="179"/>
      <c r="M61" s="89"/>
      <c r="N61" s="89"/>
      <c r="O61" s="22"/>
    </row>
    <row r="62" spans="1:17" x14ac:dyDescent="0.25">
      <c r="A62" s="22"/>
      <c r="B62" s="22"/>
      <c r="C62" s="166"/>
      <c r="D62" s="22"/>
      <c r="E62" s="22"/>
      <c r="F62" s="22"/>
      <c r="G62" s="22"/>
      <c r="H62" s="89"/>
      <c r="I62" s="89"/>
      <c r="J62" s="89"/>
      <c r="K62" s="89"/>
      <c r="L62" s="89"/>
      <c r="M62" s="89"/>
      <c r="N62" s="89"/>
      <c r="O62" s="22"/>
    </row>
    <row r="63" spans="1:17" x14ac:dyDescent="0.25">
      <c r="A63" s="22"/>
      <c r="B63" s="22"/>
      <c r="C63" s="49"/>
      <c r="D63" s="22"/>
      <c r="E63" s="22"/>
      <c r="F63" s="22"/>
      <c r="G63" s="22"/>
      <c r="H63" s="89"/>
      <c r="I63" s="89"/>
      <c r="J63" s="89"/>
      <c r="K63" s="89"/>
      <c r="L63" s="89"/>
      <c r="M63" s="89"/>
      <c r="N63" s="89"/>
      <c r="O63" s="22"/>
    </row>
    <row r="64" spans="1:17" x14ac:dyDescent="0.25">
      <c r="A64" s="22"/>
      <c r="B64" s="22"/>
      <c r="C64" s="22"/>
      <c r="D64" s="22"/>
      <c r="E64" s="22"/>
      <c r="F64" s="22"/>
      <c r="G64" s="22"/>
      <c r="H64" s="89"/>
      <c r="I64" s="89"/>
      <c r="J64" s="89"/>
      <c r="K64" s="89"/>
      <c r="L64" s="89"/>
      <c r="M64" s="89"/>
      <c r="N64" s="89"/>
      <c r="O64" s="22"/>
    </row>
    <row r="65" spans="1:15" x14ac:dyDescent="0.25">
      <c r="A65" s="22"/>
      <c r="B65" s="22"/>
      <c r="C65" s="22"/>
      <c r="D65" s="22"/>
      <c r="E65" s="22"/>
      <c r="F65" s="22"/>
      <c r="G65" s="22"/>
      <c r="H65" s="89"/>
      <c r="I65" s="89"/>
      <c r="J65" s="89"/>
      <c r="K65" s="89"/>
      <c r="L65" s="89"/>
      <c r="M65" s="89"/>
      <c r="N65" s="89"/>
      <c r="O65" s="22"/>
    </row>
    <row r="66" spans="1:15" x14ac:dyDescent="0.25">
      <c r="A66" s="22"/>
      <c r="B66" s="22"/>
      <c r="C66" s="22"/>
      <c r="D66" s="22"/>
      <c r="E66" s="22"/>
      <c r="F66" s="22"/>
      <c r="G66" s="22"/>
      <c r="H66" s="22"/>
      <c r="I66" s="22"/>
      <c r="J66" s="22"/>
      <c r="K66" s="22"/>
      <c r="L66" s="22"/>
      <c r="M66" s="22"/>
      <c r="N66" s="22"/>
      <c r="O66" s="22"/>
    </row>
    <row r="67" spans="1:15" x14ac:dyDescent="0.25">
      <c r="A67" s="22"/>
      <c r="B67" s="22"/>
      <c r="C67" s="22"/>
      <c r="D67" s="22"/>
      <c r="E67" s="22"/>
      <c r="F67" s="22"/>
      <c r="G67" s="22"/>
      <c r="H67" s="22"/>
      <c r="I67" s="22"/>
      <c r="J67" s="22"/>
      <c r="K67" s="22"/>
      <c r="L67" s="22"/>
      <c r="M67" s="22"/>
      <c r="N67" s="22"/>
      <c r="O67" s="22"/>
    </row>
    <row r="68" spans="1:15" x14ac:dyDescent="0.25">
      <c r="A68" s="22"/>
      <c r="B68" s="22"/>
      <c r="C68" s="22"/>
      <c r="D68" s="22"/>
      <c r="E68" s="22"/>
      <c r="F68" s="22"/>
      <c r="G68" s="22"/>
      <c r="H68" s="22"/>
      <c r="I68" s="22"/>
      <c r="J68" s="22"/>
      <c r="K68" s="22"/>
      <c r="L68" s="22"/>
      <c r="M68" s="22"/>
      <c r="N68" s="22"/>
      <c r="O68" s="22"/>
    </row>
    <row r="69" spans="1:15" x14ac:dyDescent="0.25">
      <c r="A69" s="22"/>
      <c r="B69" s="22"/>
      <c r="C69" s="22"/>
      <c r="D69" s="22"/>
      <c r="E69" s="22"/>
      <c r="F69" s="22"/>
      <c r="G69" s="22"/>
      <c r="H69" s="22"/>
      <c r="I69" s="22"/>
      <c r="J69" s="22"/>
      <c r="K69" s="22"/>
      <c r="L69" s="22"/>
      <c r="M69" s="22"/>
      <c r="N69" s="22"/>
      <c r="O69" s="22"/>
    </row>
    <row r="70" spans="1:15" x14ac:dyDescent="0.25">
      <c r="A70" s="22"/>
      <c r="B70" s="22"/>
      <c r="C70" s="22"/>
      <c r="D70" s="22"/>
      <c r="E70" s="22"/>
      <c r="F70" s="22"/>
      <c r="G70" s="22"/>
      <c r="H70" s="22"/>
      <c r="I70" s="22"/>
      <c r="J70" s="22"/>
      <c r="K70" s="22"/>
      <c r="L70" s="22"/>
      <c r="M70" s="22"/>
      <c r="N70" s="22"/>
      <c r="O70" s="22"/>
    </row>
    <row r="71" spans="1:15" x14ac:dyDescent="0.25">
      <c r="A71" s="22"/>
      <c r="B71" s="22"/>
      <c r="C71" s="22"/>
      <c r="D71" s="22"/>
      <c r="E71" s="22"/>
      <c r="F71" s="22"/>
      <c r="G71" s="22"/>
      <c r="H71" s="22"/>
      <c r="I71" s="22"/>
      <c r="J71" s="22"/>
      <c r="K71" s="22"/>
      <c r="L71" s="22"/>
      <c r="M71" s="22"/>
      <c r="N71" s="22"/>
      <c r="O71" s="22"/>
    </row>
    <row r="72" spans="1:15" x14ac:dyDescent="0.25">
      <c r="A72" s="22"/>
      <c r="B72" s="22"/>
      <c r="C72" s="22"/>
      <c r="D72" s="22"/>
      <c r="E72" s="22"/>
      <c r="F72" s="22"/>
      <c r="G72" s="22"/>
      <c r="H72" s="22"/>
      <c r="I72" s="22"/>
      <c r="J72" s="22"/>
      <c r="K72" s="22"/>
      <c r="L72" s="22"/>
      <c r="M72" s="22"/>
      <c r="N72" s="22"/>
      <c r="O72" s="22"/>
    </row>
    <row r="73" spans="1:15" x14ac:dyDescent="0.25">
      <c r="A73" s="22"/>
      <c r="B73" s="22"/>
      <c r="C73" s="22"/>
      <c r="D73" s="22"/>
      <c r="E73" s="22"/>
      <c r="F73" s="22"/>
      <c r="G73" s="22"/>
      <c r="H73" s="22"/>
      <c r="I73" s="22"/>
      <c r="J73" s="22"/>
      <c r="K73" s="22"/>
      <c r="L73" s="22"/>
      <c r="M73" s="22"/>
      <c r="N73" s="22"/>
      <c r="O73" s="22"/>
    </row>
    <row r="74" spans="1:15" x14ac:dyDescent="0.25">
      <c r="A74" s="22"/>
      <c r="B74" s="22"/>
      <c r="C74" s="22"/>
      <c r="D74" s="22"/>
      <c r="E74" s="22"/>
      <c r="F74" s="22"/>
      <c r="G74" s="22"/>
      <c r="H74" s="22"/>
      <c r="I74" s="22"/>
      <c r="J74" s="22"/>
      <c r="K74" s="22"/>
      <c r="L74" s="22"/>
      <c r="M74" s="22"/>
      <c r="N74" s="22"/>
      <c r="O74" s="22"/>
    </row>
    <row r="75" spans="1:15" x14ac:dyDescent="0.25">
      <c r="A75" s="22"/>
      <c r="B75" s="22"/>
      <c r="C75" s="22"/>
      <c r="D75" s="22"/>
      <c r="E75" s="22"/>
      <c r="F75" s="22"/>
      <c r="G75" s="22"/>
      <c r="H75" s="22"/>
      <c r="I75" s="22"/>
      <c r="J75" s="22"/>
      <c r="K75" s="22"/>
      <c r="L75" s="22"/>
      <c r="M75" s="22"/>
      <c r="N75" s="22"/>
      <c r="O75" s="22"/>
    </row>
  </sheetData>
  <phoneticPr fontId="8" type="noConversion"/>
  <pageMargins left="0.75" right="0.75" top="1" bottom="1" header="0.5" footer="0.5"/>
  <pageSetup scale="54" firstPageNumber="3" orientation="portrait" useFirstPageNumber="1"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workbookViewId="0">
      <selection activeCell="C18" sqref="C18"/>
    </sheetView>
  </sheetViews>
  <sheetFormatPr defaultRowHeight="15.75" x14ac:dyDescent="0.25"/>
  <cols>
    <col min="1" max="1" width="4.625" customWidth="1"/>
    <col min="2" max="2" width="1.625" customWidth="1"/>
    <col min="3" max="3" width="30.375" customWidth="1"/>
    <col min="4" max="4" width="3.75" customWidth="1"/>
    <col min="5" max="5" width="8" customWidth="1"/>
    <col min="6" max="6" width="1" customWidth="1"/>
    <col min="7" max="7" width="12.375" customWidth="1"/>
    <col min="8" max="8" width="0.875" customWidth="1"/>
    <col min="9" max="9" width="7.5" customWidth="1"/>
    <col min="10" max="10" width="1" customWidth="1"/>
    <col min="11" max="11" width="9.125" customWidth="1"/>
    <col min="12" max="12" width="1.125" customWidth="1"/>
    <col min="13" max="13" width="12.375" customWidth="1"/>
  </cols>
  <sheetData>
    <row r="1" spans="1:13" x14ac:dyDescent="0.25">
      <c r="A1" t="s">
        <v>268</v>
      </c>
      <c r="K1" t="s">
        <v>386</v>
      </c>
    </row>
    <row r="2" spans="1:13" x14ac:dyDescent="0.25">
      <c r="A2" t="s">
        <v>147</v>
      </c>
      <c r="K2" t="s">
        <v>261</v>
      </c>
    </row>
    <row r="3" spans="1:13" x14ac:dyDescent="0.25">
      <c r="A3" t="s">
        <v>148</v>
      </c>
      <c r="K3" t="s">
        <v>440</v>
      </c>
    </row>
    <row r="4" spans="1:13" x14ac:dyDescent="0.25">
      <c r="A4" t="s">
        <v>269</v>
      </c>
    </row>
    <row r="5" spans="1:13" x14ac:dyDescent="0.25">
      <c r="A5" t="s">
        <v>384</v>
      </c>
    </row>
    <row r="8" spans="1:13" x14ac:dyDescent="0.25">
      <c r="A8" t="s">
        <v>0</v>
      </c>
      <c r="E8" s="1"/>
      <c r="F8" s="1"/>
      <c r="G8" s="1" t="s">
        <v>4</v>
      </c>
      <c r="H8" s="1"/>
      <c r="I8" s="1"/>
      <c r="J8" s="1"/>
      <c r="K8" s="1"/>
      <c r="L8" s="1"/>
      <c r="M8" s="1" t="s">
        <v>145</v>
      </c>
    </row>
    <row r="9" spans="1:13" x14ac:dyDescent="0.25">
      <c r="A9" s="2" t="s">
        <v>3</v>
      </c>
      <c r="C9" s="2" t="s">
        <v>1</v>
      </c>
      <c r="E9" s="10" t="s">
        <v>65</v>
      </c>
      <c r="F9" s="1"/>
      <c r="G9" s="10" t="s">
        <v>6</v>
      </c>
      <c r="H9" s="1"/>
      <c r="I9" s="10" t="s">
        <v>7</v>
      </c>
      <c r="J9" s="1"/>
      <c r="K9" s="11" t="s">
        <v>9</v>
      </c>
      <c r="L9" s="1"/>
      <c r="M9" s="10" t="s">
        <v>8</v>
      </c>
    </row>
    <row r="11" spans="1:13" x14ac:dyDescent="0.25">
      <c r="C11" s="3" t="s">
        <v>11</v>
      </c>
      <c r="I11" s="1"/>
    </row>
    <row r="12" spans="1:13" x14ac:dyDescent="0.25">
      <c r="A12">
        <v>1</v>
      </c>
      <c r="C12" t="s">
        <v>270</v>
      </c>
      <c r="E12" s="1" t="s">
        <v>195</v>
      </c>
      <c r="G12" s="42">
        <f>-44565903</f>
        <v>-44565903</v>
      </c>
      <c r="I12" s="1" t="s">
        <v>191</v>
      </c>
      <c r="K12" s="139">
        <v>0.22437000000000001</v>
      </c>
      <c r="M12" s="42">
        <f>ROUND(G12*K12,0)</f>
        <v>-9999252</v>
      </c>
    </row>
    <row r="13" spans="1:13" x14ac:dyDescent="0.25">
      <c r="A13">
        <v>2</v>
      </c>
      <c r="C13" t="s">
        <v>270</v>
      </c>
      <c r="E13" s="1" t="s">
        <v>195</v>
      </c>
      <c r="G13" s="43">
        <f>-1229742</f>
        <v>-1229742</v>
      </c>
      <c r="I13" s="1" t="s">
        <v>190</v>
      </c>
      <c r="K13" s="139">
        <v>0.22565099999999999</v>
      </c>
      <c r="M13" s="43">
        <f>ROUND(G13*K13,0)</f>
        <v>-277493</v>
      </c>
    </row>
    <row r="14" spans="1:13" x14ac:dyDescent="0.25">
      <c r="A14">
        <v>3</v>
      </c>
      <c r="C14" t="s">
        <v>273</v>
      </c>
      <c r="E14" s="1"/>
      <c r="G14" s="42">
        <f>SUM(G12:G13)</f>
        <v>-45795645</v>
      </c>
      <c r="I14" s="1"/>
      <c r="K14" s="139"/>
      <c r="M14" s="46">
        <f>SUM(M12:M13)</f>
        <v>-10276745</v>
      </c>
    </row>
    <row r="15" spans="1:13" x14ac:dyDescent="0.25">
      <c r="E15" s="1"/>
      <c r="G15" s="42"/>
      <c r="I15" s="1"/>
      <c r="K15" s="139"/>
      <c r="M15" s="42"/>
    </row>
    <row r="16" spans="1:13" x14ac:dyDescent="0.25">
      <c r="C16" s="2" t="s">
        <v>271</v>
      </c>
      <c r="E16" s="1"/>
      <c r="G16" s="42"/>
      <c r="I16" s="1"/>
      <c r="K16" s="139"/>
      <c r="M16" s="42"/>
    </row>
    <row r="17" spans="1:13" x14ac:dyDescent="0.25">
      <c r="A17">
        <v>4</v>
      </c>
      <c r="C17" t="s">
        <v>272</v>
      </c>
      <c r="E17" s="1" t="s">
        <v>201</v>
      </c>
      <c r="G17" s="42">
        <v>22282951</v>
      </c>
      <c r="I17" s="1" t="s">
        <v>191</v>
      </c>
      <c r="K17" s="139">
        <v>0.22437000000000001</v>
      </c>
      <c r="M17" s="42">
        <f>ROUND(G17*K17,0)</f>
        <v>4999626</v>
      </c>
    </row>
    <row r="18" spans="1:13" x14ac:dyDescent="0.25">
      <c r="A18">
        <v>5</v>
      </c>
      <c r="C18" t="s">
        <v>272</v>
      </c>
      <c r="E18" s="1" t="s">
        <v>201</v>
      </c>
      <c r="G18" s="42">
        <v>614871</v>
      </c>
      <c r="I18" s="1" t="s">
        <v>190</v>
      </c>
      <c r="K18" s="139">
        <v>0.22565099999999999</v>
      </c>
      <c r="M18" s="44">
        <f>ROUND(G18*K18,0)</f>
        <v>138746</v>
      </c>
    </row>
    <row r="19" spans="1:13" x14ac:dyDescent="0.25">
      <c r="E19" s="1"/>
      <c r="G19" s="42"/>
      <c r="I19" s="1"/>
      <c r="K19" s="139"/>
      <c r="M19" s="42"/>
    </row>
    <row r="20" spans="1:13" x14ac:dyDescent="0.25">
      <c r="A20">
        <v>6</v>
      </c>
      <c r="C20" t="s">
        <v>417</v>
      </c>
      <c r="E20" s="1">
        <v>282</v>
      </c>
      <c r="G20" s="42">
        <f>-8456603</f>
        <v>-8456603</v>
      </c>
      <c r="I20" s="1" t="s">
        <v>191</v>
      </c>
      <c r="K20" s="139">
        <v>0.22437000000000001</v>
      </c>
      <c r="M20" s="44">
        <f>ROUND(G20*K20,0)</f>
        <v>-1897408</v>
      </c>
    </row>
    <row r="21" spans="1:13" x14ac:dyDescent="0.25">
      <c r="A21">
        <v>7</v>
      </c>
      <c r="C21" t="s">
        <v>417</v>
      </c>
      <c r="E21" s="1">
        <v>282</v>
      </c>
      <c r="G21" s="43">
        <f>-233350</f>
        <v>-233350</v>
      </c>
      <c r="I21" s="1" t="s">
        <v>190</v>
      </c>
      <c r="K21" s="139">
        <v>0.22565099999999999</v>
      </c>
      <c r="M21" s="43">
        <f>ROUND(G21*K21,0)</f>
        <v>-52656</v>
      </c>
    </row>
    <row r="22" spans="1:13" x14ac:dyDescent="0.25">
      <c r="G22" s="42"/>
      <c r="I22" s="1"/>
      <c r="K22" s="139"/>
      <c r="M22" s="42"/>
    </row>
    <row r="23" spans="1:13" x14ac:dyDescent="0.25">
      <c r="A23">
        <v>8</v>
      </c>
      <c r="C23" t="s">
        <v>274</v>
      </c>
      <c r="G23" s="42">
        <f>SUM(G17:G21)</f>
        <v>14207869</v>
      </c>
      <c r="I23" s="1"/>
      <c r="K23" s="139"/>
      <c r="M23" s="43">
        <f>SUM(M17:M21)</f>
        <v>3188308</v>
      </c>
    </row>
    <row r="24" spans="1:13" x14ac:dyDescent="0.25">
      <c r="G24" s="42"/>
      <c r="I24" s="1"/>
      <c r="K24" s="139"/>
      <c r="M24" s="42"/>
    </row>
    <row r="25" spans="1:13" x14ac:dyDescent="0.25">
      <c r="G25" s="42"/>
      <c r="I25" s="1"/>
      <c r="K25" s="139"/>
      <c r="M25" s="42"/>
    </row>
    <row r="26" spans="1:13" x14ac:dyDescent="0.25">
      <c r="G26" s="42"/>
      <c r="I26" s="1"/>
      <c r="K26" s="139"/>
      <c r="M26" s="42"/>
    </row>
    <row r="27" spans="1:13" x14ac:dyDescent="0.25">
      <c r="G27" s="42"/>
      <c r="I27" s="1"/>
      <c r="K27" s="139"/>
      <c r="M27" s="42"/>
    </row>
    <row r="28" spans="1:13" x14ac:dyDescent="0.25">
      <c r="G28" s="42"/>
      <c r="I28" s="1"/>
      <c r="K28" s="139"/>
      <c r="M28" s="42"/>
    </row>
    <row r="29" spans="1:13" x14ac:dyDescent="0.25">
      <c r="G29" s="42"/>
      <c r="I29" s="1"/>
      <c r="K29" s="139"/>
      <c r="M29" s="42"/>
    </row>
    <row r="30" spans="1:13" x14ac:dyDescent="0.25">
      <c r="G30" s="42"/>
      <c r="I30" s="1"/>
      <c r="K30" s="139"/>
      <c r="M30" s="42"/>
    </row>
    <row r="31" spans="1:13" x14ac:dyDescent="0.25">
      <c r="G31" s="42"/>
      <c r="I31" s="1"/>
      <c r="K31" s="139"/>
      <c r="M31" s="42"/>
    </row>
    <row r="32" spans="1:13" x14ac:dyDescent="0.25">
      <c r="G32" s="42"/>
      <c r="I32" s="1"/>
      <c r="K32" s="139"/>
    </row>
    <row r="33" spans="7:11" x14ac:dyDescent="0.25">
      <c r="G33" s="42"/>
      <c r="I33" s="1"/>
      <c r="K33" s="139"/>
    </row>
    <row r="34" spans="7:11" x14ac:dyDescent="0.25">
      <c r="I34" s="1"/>
    </row>
    <row r="35" spans="7:11" x14ac:dyDescent="0.25">
      <c r="I35" s="1"/>
    </row>
    <row r="36" spans="7:11" x14ac:dyDescent="0.25">
      <c r="I36" s="1"/>
    </row>
    <row r="37" spans="7:11" x14ac:dyDescent="0.25">
      <c r="I37" s="1"/>
    </row>
  </sheetData>
  <pageMargins left="0.7" right="0.7" top="0.75" bottom="0.75" header="0.3" footer="0.3"/>
  <pageSetup scale="90"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workbookViewId="0">
      <selection activeCell="G31" sqref="G31"/>
    </sheetView>
  </sheetViews>
  <sheetFormatPr defaultRowHeight="15.75" x14ac:dyDescent="0.25"/>
  <cols>
    <col min="1" max="1" width="4.625" customWidth="1"/>
    <col min="2" max="2" width="1.625" customWidth="1"/>
    <col min="3" max="3" width="28.625" customWidth="1"/>
    <col min="4" max="4" width="3.75" customWidth="1"/>
    <col min="5" max="5" width="8" customWidth="1"/>
    <col min="6" max="6" width="1" customWidth="1"/>
    <col min="7" max="7" width="12.375" customWidth="1"/>
    <col min="8" max="8" width="0.875" customWidth="1"/>
    <col min="9" max="9" width="7.5" customWidth="1"/>
    <col min="10" max="10" width="1" customWidth="1"/>
    <col min="11" max="11" width="9.125" customWidth="1"/>
    <col min="12" max="12" width="1" customWidth="1"/>
    <col min="13" max="13" width="12.5" customWidth="1"/>
  </cols>
  <sheetData>
    <row r="1" spans="1:13" x14ac:dyDescent="0.25">
      <c r="A1" t="s">
        <v>203</v>
      </c>
      <c r="K1" t="s">
        <v>386</v>
      </c>
      <c r="L1" s="86"/>
    </row>
    <row r="2" spans="1:13" x14ac:dyDescent="0.25">
      <c r="A2" t="s">
        <v>147</v>
      </c>
      <c r="K2" t="s">
        <v>261</v>
      </c>
      <c r="L2" s="86"/>
    </row>
    <row r="3" spans="1:13" x14ac:dyDescent="0.25">
      <c r="A3" t="s">
        <v>148</v>
      </c>
      <c r="K3" t="s">
        <v>441</v>
      </c>
      <c r="L3" s="86"/>
    </row>
    <row r="4" spans="1:13" x14ac:dyDescent="0.25">
      <c r="A4" t="s">
        <v>198</v>
      </c>
      <c r="L4" s="86"/>
    </row>
    <row r="5" spans="1:13" x14ac:dyDescent="0.25">
      <c r="A5" t="s">
        <v>384</v>
      </c>
    </row>
    <row r="6" spans="1:13" x14ac:dyDescent="0.25">
      <c r="E6" s="179"/>
      <c r="F6" s="179"/>
      <c r="G6" s="179"/>
      <c r="H6" s="179"/>
      <c r="I6" s="179"/>
      <c r="J6" s="179"/>
      <c r="K6" s="179"/>
      <c r="L6" s="179"/>
      <c r="M6" s="179"/>
    </row>
    <row r="7" spans="1:13" x14ac:dyDescent="0.25">
      <c r="E7" s="179"/>
      <c r="F7" s="179"/>
      <c r="G7" s="179"/>
      <c r="H7" s="179"/>
      <c r="I7" s="179"/>
      <c r="J7" s="179"/>
      <c r="K7" s="179"/>
      <c r="L7" s="179"/>
      <c r="M7" s="179"/>
    </row>
    <row r="8" spans="1:13" x14ac:dyDescent="0.25">
      <c r="A8" t="s">
        <v>0</v>
      </c>
      <c r="E8" s="1"/>
      <c r="F8" s="1"/>
      <c r="G8" s="1" t="s">
        <v>4</v>
      </c>
      <c r="H8" s="1"/>
      <c r="I8" s="1"/>
      <c r="J8" s="1"/>
      <c r="K8" s="1"/>
      <c r="L8" s="1"/>
      <c r="M8" s="1" t="s">
        <v>145</v>
      </c>
    </row>
    <row r="9" spans="1:13" x14ac:dyDescent="0.25">
      <c r="A9" s="2" t="s">
        <v>3</v>
      </c>
      <c r="C9" s="2" t="s">
        <v>1</v>
      </c>
      <c r="E9" s="10" t="s">
        <v>65</v>
      </c>
      <c r="F9" s="1"/>
      <c r="G9" s="10" t="s">
        <v>6</v>
      </c>
      <c r="H9" s="1"/>
      <c r="I9" s="10" t="s">
        <v>7</v>
      </c>
      <c r="J9" s="1"/>
      <c r="K9" s="11" t="s">
        <v>9</v>
      </c>
      <c r="L9" s="1"/>
      <c r="M9" s="10" t="s">
        <v>8</v>
      </c>
    </row>
    <row r="11" spans="1:13" x14ac:dyDescent="0.25">
      <c r="C11" s="3" t="s">
        <v>114</v>
      </c>
      <c r="E11" s="1"/>
    </row>
    <row r="12" spans="1:13" x14ac:dyDescent="0.25">
      <c r="A12">
        <v>1</v>
      </c>
      <c r="C12" t="s">
        <v>352</v>
      </c>
      <c r="E12" s="1">
        <v>312</v>
      </c>
      <c r="G12" s="6">
        <v>127544646</v>
      </c>
      <c r="I12" s="1" t="s">
        <v>191</v>
      </c>
      <c r="K12" s="142">
        <v>0.22437000000000001</v>
      </c>
      <c r="M12" s="6">
        <f>ROUND(G12*K12,0)</f>
        <v>28617192</v>
      </c>
    </row>
    <row r="13" spans="1:13" x14ac:dyDescent="0.25">
      <c r="A13">
        <v>2</v>
      </c>
      <c r="C13" t="s">
        <v>353</v>
      </c>
      <c r="E13" s="1">
        <v>312</v>
      </c>
      <c r="G13" s="190">
        <v>117233290</v>
      </c>
      <c r="H13" s="179"/>
      <c r="I13" s="191" t="s">
        <v>191</v>
      </c>
      <c r="J13" s="179"/>
      <c r="K13" s="192">
        <v>0.22437000000000001</v>
      </c>
      <c r="L13" s="179"/>
      <c r="M13" s="190">
        <f>ROUND(G13*K13,0)</f>
        <v>26303633</v>
      </c>
    </row>
    <row r="14" spans="1:13" x14ac:dyDescent="0.25">
      <c r="A14">
        <v>3</v>
      </c>
      <c r="C14" t="s">
        <v>358</v>
      </c>
      <c r="E14" s="1">
        <v>312</v>
      </c>
      <c r="G14" s="193">
        <f>G13-G12</f>
        <v>-10311356</v>
      </c>
      <c r="H14" s="179"/>
      <c r="I14" s="191"/>
      <c r="J14" s="179"/>
      <c r="K14" s="192"/>
      <c r="L14" s="179"/>
      <c r="M14" s="193">
        <f>M13-M12</f>
        <v>-2313559</v>
      </c>
    </row>
    <row r="15" spans="1:13" x14ac:dyDescent="0.25">
      <c r="E15" s="1"/>
      <c r="G15" s="179"/>
      <c r="H15" s="179"/>
      <c r="I15" s="179"/>
      <c r="J15" s="179"/>
      <c r="K15" s="194"/>
      <c r="L15" s="179"/>
      <c r="M15" s="193"/>
    </row>
    <row r="16" spans="1:13" x14ac:dyDescent="0.25">
      <c r="C16" s="3" t="s">
        <v>199</v>
      </c>
      <c r="E16" s="1"/>
      <c r="G16" s="179"/>
      <c r="H16" s="179"/>
      <c r="I16" s="179"/>
      <c r="J16" s="179"/>
      <c r="K16" s="194"/>
      <c r="L16" s="179"/>
      <c r="M16" s="193"/>
    </row>
    <row r="17" spans="1:13" x14ac:dyDescent="0.25">
      <c r="A17">
        <v>4</v>
      </c>
      <c r="C17" t="s">
        <v>354</v>
      </c>
      <c r="E17" s="1" t="s">
        <v>201</v>
      </c>
      <c r="G17" s="193">
        <f>-6174736</f>
        <v>-6174736</v>
      </c>
      <c r="H17" s="179"/>
      <c r="I17" s="191" t="s">
        <v>191</v>
      </c>
      <c r="J17" s="179"/>
      <c r="K17" s="192">
        <v>0.22437000000000001</v>
      </c>
      <c r="L17" s="179"/>
      <c r="M17" s="193">
        <f>ROUND(G17*K17,0)</f>
        <v>-1385426</v>
      </c>
    </row>
    <row r="18" spans="1:13" x14ac:dyDescent="0.25">
      <c r="A18">
        <v>5</v>
      </c>
      <c r="C18" t="s">
        <v>355</v>
      </c>
      <c r="E18" s="1" t="s">
        <v>201</v>
      </c>
      <c r="G18" s="190">
        <f>-5679212</f>
        <v>-5679212</v>
      </c>
      <c r="H18" s="179"/>
      <c r="I18" s="191" t="s">
        <v>191</v>
      </c>
      <c r="J18" s="179"/>
      <c r="K18" s="192">
        <v>0.22437000000000001</v>
      </c>
      <c r="L18" s="179"/>
      <c r="M18" s="190">
        <f>ROUND(G18*K18,0)</f>
        <v>-1274245</v>
      </c>
    </row>
    <row r="19" spans="1:13" x14ac:dyDescent="0.25">
      <c r="A19">
        <v>6</v>
      </c>
      <c r="C19" t="s">
        <v>359</v>
      </c>
      <c r="E19" s="1" t="s">
        <v>201</v>
      </c>
      <c r="G19" s="193">
        <f>G18-G17</f>
        <v>495524</v>
      </c>
      <c r="H19" s="179"/>
      <c r="I19" s="191"/>
      <c r="J19" s="179"/>
      <c r="K19" s="192"/>
      <c r="L19" s="179"/>
      <c r="M19" s="193">
        <f>M18-M17</f>
        <v>111181</v>
      </c>
    </row>
    <row r="20" spans="1:13" x14ac:dyDescent="0.25">
      <c r="E20" s="1"/>
      <c r="G20" s="179"/>
      <c r="H20" s="179"/>
      <c r="I20" s="179"/>
      <c r="J20" s="179"/>
      <c r="K20" s="194"/>
      <c r="L20" s="179"/>
      <c r="M20" s="193"/>
    </row>
    <row r="21" spans="1:13" x14ac:dyDescent="0.25">
      <c r="C21" s="3" t="s">
        <v>11</v>
      </c>
      <c r="E21" s="1"/>
      <c r="G21" s="179"/>
      <c r="H21" s="179"/>
      <c r="I21" s="179"/>
      <c r="J21" s="179"/>
      <c r="K21" s="194"/>
      <c r="L21" s="179"/>
      <c r="M21" s="193"/>
    </row>
    <row r="22" spans="1:13" x14ac:dyDescent="0.25">
      <c r="A22">
        <v>7</v>
      </c>
      <c r="C22" t="s">
        <v>356</v>
      </c>
      <c r="E22" s="1" t="s">
        <v>195</v>
      </c>
      <c r="G22" s="193">
        <f>9125236</f>
        <v>9125236</v>
      </c>
      <c r="H22" s="179"/>
      <c r="I22" s="191" t="s">
        <v>191</v>
      </c>
      <c r="J22" s="179"/>
      <c r="K22" s="192">
        <v>0.22437000000000001</v>
      </c>
      <c r="L22" s="179"/>
      <c r="M22" s="193">
        <f>ROUND(G22*K22,0)</f>
        <v>2047429</v>
      </c>
    </row>
    <row r="23" spans="1:13" x14ac:dyDescent="0.25">
      <c r="A23">
        <v>8</v>
      </c>
      <c r="C23" t="s">
        <v>357</v>
      </c>
      <c r="E23" s="1" t="s">
        <v>195</v>
      </c>
      <c r="G23" s="190">
        <v>8387506</v>
      </c>
      <c r="H23" s="179"/>
      <c r="I23" s="191" t="s">
        <v>191</v>
      </c>
      <c r="J23" s="179"/>
      <c r="K23" s="192">
        <v>0.22437000000000001</v>
      </c>
      <c r="L23" s="179"/>
      <c r="M23" s="190">
        <f>ROUND(G23*K23,0)</f>
        <v>1881905</v>
      </c>
    </row>
    <row r="24" spans="1:13" x14ac:dyDescent="0.25">
      <c r="A24">
        <v>9</v>
      </c>
      <c r="C24" t="s">
        <v>360</v>
      </c>
      <c r="E24" s="1" t="s">
        <v>195</v>
      </c>
      <c r="G24" s="193">
        <f>G23-G22</f>
        <v>-737730</v>
      </c>
      <c r="H24" s="179"/>
      <c r="I24" s="191"/>
      <c r="J24" s="179"/>
      <c r="K24" s="192"/>
      <c r="L24" s="179"/>
      <c r="M24" s="193">
        <f>M23-M22</f>
        <v>-165524</v>
      </c>
    </row>
    <row r="25" spans="1:13" x14ac:dyDescent="0.25">
      <c r="E25" s="1"/>
      <c r="G25" s="193"/>
      <c r="H25" s="179"/>
      <c r="I25" s="191"/>
      <c r="J25" s="179"/>
      <c r="K25" s="195"/>
      <c r="L25" s="179"/>
      <c r="M25" s="193"/>
    </row>
    <row r="26" spans="1:13" x14ac:dyDescent="0.25">
      <c r="C26" s="3" t="s">
        <v>361</v>
      </c>
      <c r="E26" s="1"/>
      <c r="G26" s="193"/>
      <c r="H26" s="179"/>
      <c r="I26" s="191"/>
      <c r="J26" s="179"/>
      <c r="K26" s="195"/>
      <c r="L26" s="179"/>
      <c r="M26" s="193"/>
    </row>
    <row r="27" spans="1:13" x14ac:dyDescent="0.25">
      <c r="A27">
        <v>10</v>
      </c>
      <c r="C27" t="s">
        <v>362</v>
      </c>
      <c r="E27" s="1">
        <v>282</v>
      </c>
      <c r="G27" s="193">
        <v>-12823433</v>
      </c>
      <c r="H27" s="179"/>
      <c r="I27" s="191" t="s">
        <v>191</v>
      </c>
      <c r="J27" s="179"/>
      <c r="K27" s="192">
        <v>0.22437000000000001</v>
      </c>
      <c r="L27" s="179"/>
      <c r="M27" s="193">
        <f>ROUND(G27*K27,0)</f>
        <v>-2877194</v>
      </c>
    </row>
    <row r="28" spans="1:13" x14ac:dyDescent="0.25">
      <c r="A28">
        <v>11</v>
      </c>
      <c r="C28" t="s">
        <v>363</v>
      </c>
      <c r="E28" s="1">
        <v>282</v>
      </c>
      <c r="G28" s="190">
        <f>-12584596</f>
        <v>-12584596</v>
      </c>
      <c r="H28" s="179"/>
      <c r="I28" s="191" t="s">
        <v>191</v>
      </c>
      <c r="J28" s="179"/>
      <c r="K28" s="192">
        <v>0.22437000000000001</v>
      </c>
      <c r="L28" s="179"/>
      <c r="M28" s="190">
        <f>ROUND(G28*K28,0)</f>
        <v>-2823606</v>
      </c>
    </row>
    <row r="29" spans="1:13" x14ac:dyDescent="0.25">
      <c r="A29">
        <v>12</v>
      </c>
      <c r="C29" t="s">
        <v>364</v>
      </c>
      <c r="E29" s="1">
        <v>282</v>
      </c>
      <c r="G29" s="193">
        <f>G28-G27</f>
        <v>238837</v>
      </c>
      <c r="H29" s="179"/>
      <c r="I29" s="191"/>
      <c r="J29" s="179"/>
      <c r="K29" s="192"/>
      <c r="L29" s="179"/>
      <c r="M29" s="193">
        <f>M28-M27</f>
        <v>53588</v>
      </c>
    </row>
    <row r="30" spans="1:13" x14ac:dyDescent="0.25">
      <c r="E30" s="1"/>
    </row>
    <row r="31" spans="1:13" x14ac:dyDescent="0.25">
      <c r="C31" t="s">
        <v>5</v>
      </c>
      <c r="E31" s="1"/>
    </row>
    <row r="33" spans="3:13" x14ac:dyDescent="0.25">
      <c r="C33" s="213" t="s">
        <v>456</v>
      </c>
      <c r="D33" s="214"/>
      <c r="E33" s="214"/>
      <c r="F33" s="214"/>
      <c r="G33" s="214"/>
      <c r="H33" s="214"/>
      <c r="I33" s="214"/>
      <c r="J33" s="214"/>
      <c r="K33" s="214"/>
      <c r="L33" s="214"/>
      <c r="M33" s="215"/>
    </row>
    <row r="34" spans="3:13" x14ac:dyDescent="0.25">
      <c r="C34" s="216"/>
      <c r="D34" s="217"/>
      <c r="E34" s="217"/>
      <c r="F34" s="217"/>
      <c r="G34" s="217"/>
      <c r="H34" s="217"/>
      <c r="I34" s="217"/>
      <c r="J34" s="217"/>
      <c r="K34" s="217"/>
      <c r="L34" s="217"/>
      <c r="M34" s="218"/>
    </row>
    <row r="35" spans="3:13" x14ac:dyDescent="0.25">
      <c r="C35" s="216"/>
      <c r="D35" s="217"/>
      <c r="E35" s="217"/>
      <c r="F35" s="217"/>
      <c r="G35" s="217"/>
      <c r="H35" s="217"/>
      <c r="I35" s="217"/>
      <c r="J35" s="217"/>
      <c r="K35" s="217"/>
      <c r="L35" s="217"/>
      <c r="M35" s="218"/>
    </row>
    <row r="36" spans="3:13" x14ac:dyDescent="0.25">
      <c r="C36" s="219"/>
      <c r="D36" s="220"/>
      <c r="E36" s="220"/>
      <c r="F36" s="220"/>
      <c r="G36" s="220"/>
      <c r="H36" s="220"/>
      <c r="I36" s="220"/>
      <c r="J36" s="220"/>
      <c r="K36" s="220"/>
      <c r="L36" s="220"/>
      <c r="M36" s="221"/>
    </row>
  </sheetData>
  <mergeCells count="1">
    <mergeCell ref="C33:M36"/>
  </mergeCells>
  <pageMargins left="0.7" right="0.7" top="0.75" bottom="0.75" header="0.3" footer="0.3"/>
  <pageSetup scale="92"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topLeftCell="A4" workbookViewId="0">
      <selection activeCell="E28" sqref="E28"/>
    </sheetView>
  </sheetViews>
  <sheetFormatPr defaultRowHeight="15.75" x14ac:dyDescent="0.25"/>
  <cols>
    <col min="1" max="1" width="4.625" customWidth="1"/>
    <col min="2" max="2" width="1.625" customWidth="1"/>
    <col min="3" max="3" width="28.625" customWidth="1"/>
    <col min="4" max="4" width="3.75" customWidth="1"/>
    <col min="5" max="5" width="8" customWidth="1"/>
    <col min="6" max="6" width="1" customWidth="1"/>
    <col min="7" max="7" width="12.375" customWidth="1"/>
    <col min="8" max="8" width="0.875" customWidth="1"/>
    <col min="9" max="9" width="7.5" customWidth="1"/>
    <col min="10" max="10" width="1" customWidth="1"/>
    <col min="11" max="11" width="9.125" customWidth="1"/>
    <col min="12" max="12" width="1" customWidth="1"/>
    <col min="13" max="13" width="12.5" customWidth="1"/>
  </cols>
  <sheetData>
    <row r="1" spans="1:13" x14ac:dyDescent="0.25">
      <c r="A1" t="s">
        <v>242</v>
      </c>
      <c r="K1" t="s">
        <v>386</v>
      </c>
      <c r="L1" s="7"/>
      <c r="M1" s="7"/>
    </row>
    <row r="2" spans="1:13" x14ac:dyDescent="0.25">
      <c r="A2" t="s">
        <v>147</v>
      </c>
      <c r="K2" t="s">
        <v>404</v>
      </c>
      <c r="L2" s="7"/>
      <c r="M2" s="7"/>
    </row>
    <row r="3" spans="1:13" x14ac:dyDescent="0.25">
      <c r="A3" t="s">
        <v>148</v>
      </c>
      <c r="K3" t="s">
        <v>442</v>
      </c>
      <c r="L3" s="7"/>
      <c r="M3" s="7"/>
    </row>
    <row r="4" spans="1:13" x14ac:dyDescent="0.25">
      <c r="A4" t="s">
        <v>341</v>
      </c>
      <c r="L4" s="7"/>
      <c r="M4" s="7"/>
    </row>
    <row r="5" spans="1:13" x14ac:dyDescent="0.25">
      <c r="A5" t="s">
        <v>384</v>
      </c>
      <c r="B5" s="7"/>
      <c r="C5" s="7"/>
      <c r="D5" s="7"/>
      <c r="E5" s="7"/>
      <c r="F5" s="7"/>
      <c r="G5" s="7"/>
      <c r="H5" s="7"/>
      <c r="I5" s="7"/>
      <c r="J5" s="7"/>
      <c r="K5" s="7"/>
      <c r="L5" s="7"/>
      <c r="M5" s="7"/>
    </row>
    <row r="6" spans="1:13" x14ac:dyDescent="0.25">
      <c r="A6" s="7"/>
      <c r="B6" s="7"/>
      <c r="C6" s="7"/>
      <c r="D6" s="15"/>
      <c r="E6" s="7"/>
      <c r="F6" s="7"/>
      <c r="G6" s="7"/>
      <c r="H6" s="7"/>
      <c r="I6" s="7"/>
      <c r="J6" s="7"/>
      <c r="K6" s="7"/>
      <c r="L6" s="7"/>
      <c r="M6" s="7"/>
    </row>
    <row r="7" spans="1:13" x14ac:dyDescent="0.25">
      <c r="A7" s="7"/>
      <c r="B7" s="7"/>
      <c r="C7" s="7"/>
      <c r="D7" s="7"/>
      <c r="E7" s="7"/>
      <c r="F7" s="7"/>
      <c r="G7" s="34"/>
      <c r="H7" s="34"/>
      <c r="I7" s="34"/>
      <c r="J7" s="34"/>
      <c r="K7" s="34"/>
      <c r="L7" s="35"/>
      <c r="M7" s="7"/>
    </row>
    <row r="8" spans="1:13" x14ac:dyDescent="0.25">
      <c r="A8" s="7"/>
      <c r="B8" s="7"/>
      <c r="C8" s="7"/>
      <c r="D8" s="7"/>
      <c r="E8" s="7"/>
      <c r="F8" s="7"/>
      <c r="G8" s="35"/>
      <c r="H8" s="35"/>
      <c r="I8" s="35"/>
      <c r="J8" s="35"/>
      <c r="K8" s="35"/>
      <c r="L8" s="35"/>
      <c r="M8" s="7"/>
    </row>
    <row r="9" spans="1:13" x14ac:dyDescent="0.25">
      <c r="A9" t="s">
        <v>0</v>
      </c>
      <c r="E9" s="1"/>
      <c r="F9" s="1"/>
      <c r="G9" s="1" t="s">
        <v>4</v>
      </c>
      <c r="H9" s="1"/>
      <c r="I9" s="1"/>
      <c r="J9" s="1"/>
      <c r="K9" s="1"/>
      <c r="L9" s="1"/>
      <c r="M9" s="1" t="s">
        <v>145</v>
      </c>
    </row>
    <row r="10" spans="1:13" x14ac:dyDescent="0.25">
      <c r="A10" s="2" t="s">
        <v>3</v>
      </c>
      <c r="C10" s="2" t="s">
        <v>1</v>
      </c>
      <c r="E10" s="10" t="s">
        <v>65</v>
      </c>
      <c r="F10" s="1"/>
      <c r="G10" s="10" t="s">
        <v>6</v>
      </c>
      <c r="H10" s="1"/>
      <c r="I10" s="10" t="s">
        <v>7</v>
      </c>
      <c r="J10" s="1"/>
      <c r="K10" s="11" t="s">
        <v>9</v>
      </c>
      <c r="L10" s="1"/>
      <c r="M10" s="10" t="s">
        <v>8</v>
      </c>
    </row>
    <row r="12" spans="1:13" x14ac:dyDescent="0.25">
      <c r="C12" s="3" t="s">
        <v>194</v>
      </c>
    </row>
    <row r="13" spans="1:13" x14ac:dyDescent="0.25">
      <c r="A13" s="7">
        <v>1</v>
      </c>
      <c r="B13" s="7"/>
      <c r="C13" s="74" t="s">
        <v>344</v>
      </c>
      <c r="D13" s="7"/>
      <c r="E13" s="75" t="s">
        <v>195</v>
      </c>
      <c r="F13" s="7"/>
      <c r="G13" s="175">
        <f>-K20</f>
        <v>-132952</v>
      </c>
      <c r="H13" s="35"/>
      <c r="I13" s="138" t="s">
        <v>191</v>
      </c>
      <c r="J13" s="34"/>
      <c r="K13" s="85">
        <v>0.22437000000000001</v>
      </c>
      <c r="L13" s="35"/>
      <c r="M13" s="63">
        <f>G13*K13</f>
        <v>-29830.440240000004</v>
      </c>
    </row>
    <row r="14" spans="1:13" x14ac:dyDescent="0.25">
      <c r="A14" s="7">
        <v>2</v>
      </c>
      <c r="B14" s="7"/>
      <c r="C14" t="s">
        <v>200</v>
      </c>
      <c r="D14" s="7"/>
      <c r="E14" s="75" t="s">
        <v>195</v>
      </c>
      <c r="F14" s="7"/>
      <c r="G14" s="177">
        <f>-K21</f>
        <v>-176487</v>
      </c>
      <c r="H14" s="35"/>
      <c r="I14" s="138" t="s">
        <v>191</v>
      </c>
      <c r="J14" s="34"/>
      <c r="K14" s="176">
        <f>K13</f>
        <v>0.22437000000000001</v>
      </c>
      <c r="L14" s="35"/>
      <c r="M14" s="177">
        <f>G14*K14</f>
        <v>-39598.388190000005</v>
      </c>
    </row>
    <row r="16" spans="1:13" x14ac:dyDescent="0.25">
      <c r="A16">
        <v>3</v>
      </c>
      <c r="C16" t="s">
        <v>125</v>
      </c>
      <c r="G16" s="38">
        <f>SUM(G13:G15)</f>
        <v>-309439</v>
      </c>
      <c r="M16" s="38">
        <f>SUM(M13:M15)</f>
        <v>-69428.828430000009</v>
      </c>
    </row>
    <row r="18" spans="1:13" x14ac:dyDescent="0.25">
      <c r="I18" s="1" t="s">
        <v>192</v>
      </c>
      <c r="K18" s="1" t="s">
        <v>192</v>
      </c>
    </row>
    <row r="19" spans="1:13" x14ac:dyDescent="0.25">
      <c r="C19" s="3" t="s">
        <v>346</v>
      </c>
      <c r="G19" s="33" t="s">
        <v>189</v>
      </c>
      <c r="I19" s="33" t="s">
        <v>193</v>
      </c>
      <c r="K19" s="33" t="s">
        <v>113</v>
      </c>
      <c r="M19" s="3" t="s">
        <v>408</v>
      </c>
    </row>
    <row r="20" spans="1:13" x14ac:dyDescent="0.25">
      <c r="A20" t="s">
        <v>80</v>
      </c>
      <c r="C20" t="s">
        <v>342</v>
      </c>
      <c r="G20" s="42">
        <v>4648682</v>
      </c>
      <c r="I20" s="178">
        <v>2.86E-2</v>
      </c>
      <c r="K20" s="42">
        <f>ROUND(G20*I20,0)</f>
        <v>132952</v>
      </c>
    </row>
    <row r="21" spans="1:13" x14ac:dyDescent="0.25">
      <c r="A21" t="s">
        <v>81</v>
      </c>
      <c r="C21" t="s">
        <v>343</v>
      </c>
      <c r="G21" s="44">
        <v>5252603</v>
      </c>
      <c r="I21" s="178">
        <v>3.3599999999999998E-2</v>
      </c>
      <c r="K21" s="43">
        <f>ROUND(G21*I21,0)</f>
        <v>176487</v>
      </c>
    </row>
    <row r="22" spans="1:13" x14ac:dyDescent="0.25">
      <c r="A22" t="s">
        <v>82</v>
      </c>
      <c r="C22" t="s">
        <v>345</v>
      </c>
      <c r="G22" s="42"/>
      <c r="I22" s="178"/>
      <c r="K22" s="46">
        <f>SUM(K20:K21)</f>
        <v>309439</v>
      </c>
      <c r="M22" s="43">
        <f>K22*K14</f>
        <v>69428.828430000009</v>
      </c>
    </row>
    <row r="23" spans="1:13" x14ac:dyDescent="0.25">
      <c r="G23" s="42"/>
      <c r="I23" s="178"/>
      <c r="K23" s="42"/>
    </row>
    <row r="24" spans="1:13" x14ac:dyDescent="0.25">
      <c r="C24" s="3" t="s">
        <v>347</v>
      </c>
      <c r="G24" s="42"/>
      <c r="I24" s="178"/>
      <c r="K24" s="42"/>
    </row>
    <row r="25" spans="1:13" x14ac:dyDescent="0.25">
      <c r="A25" t="s">
        <v>170</v>
      </c>
      <c r="C25" t="s">
        <v>342</v>
      </c>
      <c r="G25" s="42">
        <v>4648682</v>
      </c>
      <c r="I25" s="178">
        <v>7.1400000000000005E-2</v>
      </c>
      <c r="K25" s="42">
        <f>ROUND(G25*I25,0)</f>
        <v>331916</v>
      </c>
    </row>
    <row r="26" spans="1:13" x14ac:dyDescent="0.25">
      <c r="A26" t="s">
        <v>171</v>
      </c>
      <c r="C26" t="s">
        <v>343</v>
      </c>
      <c r="G26" s="44">
        <v>5252603</v>
      </c>
      <c r="I26" s="178">
        <v>7.4300000000000005E-2</v>
      </c>
      <c r="K26" s="43">
        <f>ROUND(G26*I26,0)</f>
        <v>390268</v>
      </c>
    </row>
    <row r="27" spans="1:13" x14ac:dyDescent="0.25">
      <c r="A27" t="s">
        <v>172</v>
      </c>
      <c r="C27" t="s">
        <v>348</v>
      </c>
      <c r="G27" s="42"/>
      <c r="I27" s="178"/>
      <c r="K27" s="46">
        <f>SUM(K25:K26)</f>
        <v>722184</v>
      </c>
      <c r="M27" s="43">
        <f>K27*K14</f>
        <v>162036.42408</v>
      </c>
    </row>
    <row r="29" spans="1:13" x14ac:dyDescent="0.25">
      <c r="C29" t="s">
        <v>5</v>
      </c>
    </row>
    <row r="31" spans="1:13" x14ac:dyDescent="0.25">
      <c r="C31" s="213" t="s">
        <v>477</v>
      </c>
      <c r="D31" s="214"/>
      <c r="E31" s="214"/>
      <c r="F31" s="214"/>
      <c r="G31" s="214"/>
      <c r="H31" s="214"/>
      <c r="I31" s="214"/>
      <c r="J31" s="214"/>
      <c r="K31" s="214"/>
      <c r="L31" s="214"/>
      <c r="M31" s="215"/>
    </row>
    <row r="32" spans="1:13" x14ac:dyDescent="0.25">
      <c r="C32" s="216"/>
      <c r="D32" s="217"/>
      <c r="E32" s="217"/>
      <c r="F32" s="217"/>
      <c r="G32" s="217"/>
      <c r="H32" s="217"/>
      <c r="I32" s="217"/>
      <c r="J32" s="217"/>
      <c r="K32" s="217"/>
      <c r="L32" s="217"/>
      <c r="M32" s="218"/>
    </row>
    <row r="33" spans="3:13" x14ac:dyDescent="0.25">
      <c r="C33" s="216"/>
      <c r="D33" s="217"/>
      <c r="E33" s="217"/>
      <c r="F33" s="217"/>
      <c r="G33" s="217"/>
      <c r="H33" s="217"/>
      <c r="I33" s="217"/>
      <c r="J33" s="217"/>
      <c r="K33" s="217"/>
      <c r="L33" s="217"/>
      <c r="M33" s="218"/>
    </row>
    <row r="34" spans="3:13" x14ac:dyDescent="0.25">
      <c r="C34" s="216"/>
      <c r="D34" s="217"/>
      <c r="E34" s="217"/>
      <c r="F34" s="217"/>
      <c r="G34" s="217"/>
      <c r="H34" s="217"/>
      <c r="I34" s="217"/>
      <c r="J34" s="217"/>
      <c r="K34" s="217"/>
      <c r="L34" s="217"/>
      <c r="M34" s="218"/>
    </row>
    <row r="35" spans="3:13" x14ac:dyDescent="0.25">
      <c r="C35" s="216"/>
      <c r="D35" s="217"/>
      <c r="E35" s="217"/>
      <c r="F35" s="217"/>
      <c r="G35" s="217"/>
      <c r="H35" s="217"/>
      <c r="I35" s="217"/>
      <c r="J35" s="217"/>
      <c r="K35" s="217"/>
      <c r="L35" s="217"/>
      <c r="M35" s="218"/>
    </row>
    <row r="36" spans="3:13" x14ac:dyDescent="0.25">
      <c r="C36" s="216"/>
      <c r="D36" s="217"/>
      <c r="E36" s="217"/>
      <c r="F36" s="217"/>
      <c r="G36" s="217"/>
      <c r="H36" s="217"/>
      <c r="I36" s="217"/>
      <c r="J36" s="217"/>
      <c r="K36" s="217"/>
      <c r="L36" s="217"/>
      <c r="M36" s="218"/>
    </row>
    <row r="37" spans="3:13" x14ac:dyDescent="0.25">
      <c r="C37" s="216"/>
      <c r="D37" s="217"/>
      <c r="E37" s="217"/>
      <c r="F37" s="217"/>
      <c r="G37" s="217"/>
      <c r="H37" s="217"/>
      <c r="I37" s="217"/>
      <c r="J37" s="217"/>
      <c r="K37" s="217"/>
      <c r="L37" s="217"/>
      <c r="M37" s="218"/>
    </row>
    <row r="38" spans="3:13" x14ac:dyDescent="0.25">
      <c r="C38" s="216"/>
      <c r="D38" s="217"/>
      <c r="E38" s="217"/>
      <c r="F38" s="217"/>
      <c r="G38" s="217"/>
      <c r="H38" s="217"/>
      <c r="I38" s="217"/>
      <c r="J38" s="217"/>
      <c r="K38" s="217"/>
      <c r="L38" s="217"/>
      <c r="M38" s="218"/>
    </row>
    <row r="39" spans="3:13" x14ac:dyDescent="0.25">
      <c r="C39" s="219"/>
      <c r="D39" s="220"/>
      <c r="E39" s="220"/>
      <c r="F39" s="220"/>
      <c r="G39" s="220"/>
      <c r="H39" s="220"/>
      <c r="I39" s="220"/>
      <c r="J39" s="220"/>
      <c r="K39" s="220"/>
      <c r="L39" s="220"/>
      <c r="M39" s="221"/>
    </row>
  </sheetData>
  <mergeCells count="1">
    <mergeCell ref="C31:M39"/>
  </mergeCells>
  <pageMargins left="0.7" right="0.7" top="0.75" bottom="0.75" header="0.3" footer="0.3"/>
  <pageSetup scale="92"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workbookViewId="0">
      <selection activeCell="C28" sqref="C28"/>
    </sheetView>
  </sheetViews>
  <sheetFormatPr defaultRowHeight="15.75" x14ac:dyDescent="0.25"/>
  <cols>
    <col min="1" max="1" width="4.625" customWidth="1"/>
    <col min="2" max="2" width="1.625" customWidth="1"/>
    <col min="3" max="3" width="28.625" customWidth="1"/>
    <col min="4" max="4" width="3.75" customWidth="1"/>
    <col min="5" max="5" width="8" customWidth="1"/>
    <col min="6" max="6" width="1" customWidth="1"/>
    <col min="7" max="7" width="12.375" customWidth="1"/>
    <col min="8" max="8" width="0.875" customWidth="1"/>
    <col min="9" max="9" width="7.5" customWidth="1"/>
    <col min="10" max="10" width="1" customWidth="1"/>
    <col min="11" max="11" width="9.125" customWidth="1"/>
    <col min="12" max="12" width="1" customWidth="1"/>
    <col min="13" max="13" width="12.5" customWidth="1"/>
  </cols>
  <sheetData>
    <row r="1" spans="1:13" x14ac:dyDescent="0.25">
      <c r="A1" t="s">
        <v>380</v>
      </c>
      <c r="K1" t="s">
        <v>386</v>
      </c>
      <c r="L1" s="86"/>
    </row>
    <row r="2" spans="1:13" x14ac:dyDescent="0.25">
      <c r="A2" t="s">
        <v>147</v>
      </c>
      <c r="K2" t="s">
        <v>261</v>
      </c>
      <c r="L2" s="86"/>
    </row>
    <row r="3" spans="1:13" x14ac:dyDescent="0.25">
      <c r="A3" t="s">
        <v>148</v>
      </c>
      <c r="K3" t="s">
        <v>443</v>
      </c>
      <c r="L3" s="86"/>
    </row>
    <row r="4" spans="1:13" x14ac:dyDescent="0.25">
      <c r="A4" t="s">
        <v>377</v>
      </c>
      <c r="L4" s="86"/>
    </row>
    <row r="5" spans="1:13" x14ac:dyDescent="0.25">
      <c r="A5" t="s">
        <v>384</v>
      </c>
    </row>
    <row r="6" spans="1:13" x14ac:dyDescent="0.25">
      <c r="E6" s="179"/>
      <c r="F6" s="179"/>
      <c r="G6" s="179"/>
      <c r="H6" s="179"/>
      <c r="I6" s="179"/>
      <c r="J6" s="179"/>
      <c r="K6" s="179"/>
      <c r="L6" s="179"/>
      <c r="M6" s="179"/>
    </row>
    <row r="7" spans="1:13" x14ac:dyDescent="0.25">
      <c r="E7" s="179"/>
      <c r="F7" s="179"/>
      <c r="G7" s="179"/>
      <c r="H7" s="179"/>
      <c r="I7" s="179"/>
      <c r="J7" s="179"/>
      <c r="K7" s="179"/>
      <c r="L7" s="179"/>
      <c r="M7" s="179"/>
    </row>
    <row r="8" spans="1:13" x14ac:dyDescent="0.25">
      <c r="A8" t="s">
        <v>0</v>
      </c>
      <c r="E8" s="191"/>
      <c r="F8" s="191"/>
      <c r="G8" s="191" t="s">
        <v>4</v>
      </c>
      <c r="H8" s="191"/>
      <c r="I8" s="191"/>
      <c r="J8" s="191"/>
      <c r="K8" s="191"/>
      <c r="L8" s="191"/>
      <c r="M8" s="191" t="s">
        <v>145</v>
      </c>
    </row>
    <row r="9" spans="1:13" x14ac:dyDescent="0.25">
      <c r="A9" s="2" t="s">
        <v>3</v>
      </c>
      <c r="C9" s="2" t="s">
        <v>1</v>
      </c>
      <c r="E9" s="196" t="s">
        <v>65</v>
      </c>
      <c r="F9" s="191"/>
      <c r="G9" s="196" t="s">
        <v>6</v>
      </c>
      <c r="H9" s="191"/>
      <c r="I9" s="196" t="s">
        <v>7</v>
      </c>
      <c r="J9" s="191"/>
      <c r="K9" s="197" t="s">
        <v>9</v>
      </c>
      <c r="L9" s="191"/>
      <c r="M9" s="196" t="s">
        <v>8</v>
      </c>
    </row>
    <row r="10" spans="1:13" x14ac:dyDescent="0.25">
      <c r="E10" s="179"/>
      <c r="F10" s="179"/>
      <c r="G10" s="179"/>
      <c r="H10" s="179"/>
      <c r="I10" s="179"/>
      <c r="J10" s="179"/>
      <c r="K10" s="179"/>
      <c r="L10" s="179"/>
      <c r="M10" s="179"/>
    </row>
    <row r="11" spans="1:13" x14ac:dyDescent="0.25">
      <c r="A11">
        <v>1</v>
      </c>
      <c r="C11" t="s">
        <v>372</v>
      </c>
      <c r="E11" s="191">
        <v>312</v>
      </c>
      <c r="F11" s="179"/>
      <c r="G11" s="190">
        <f>G25</f>
        <v>-5034740</v>
      </c>
      <c r="H11" s="179"/>
      <c r="I11" s="191" t="s">
        <v>191</v>
      </c>
      <c r="J11" s="179"/>
      <c r="K11" s="192">
        <v>0.22437000000000001</v>
      </c>
      <c r="L11" s="179"/>
      <c r="M11" s="190">
        <f>ROUND(G11*K11,0)</f>
        <v>-1129645</v>
      </c>
    </row>
    <row r="12" spans="1:13" x14ac:dyDescent="0.25">
      <c r="E12" s="191"/>
      <c r="F12" s="179"/>
      <c r="G12" s="179"/>
      <c r="H12" s="179"/>
      <c r="I12" s="179"/>
      <c r="J12" s="179"/>
      <c r="K12" s="179"/>
      <c r="L12" s="179"/>
      <c r="M12" s="179"/>
    </row>
    <row r="13" spans="1:13" x14ac:dyDescent="0.25">
      <c r="A13">
        <v>2</v>
      </c>
      <c r="C13" t="s">
        <v>378</v>
      </c>
      <c r="E13" s="191" t="s">
        <v>201</v>
      </c>
      <c r="F13" s="179"/>
      <c r="G13" s="190">
        <f>'Sch5'!G18*(-5034740/8387326)</f>
        <v>3409114.6361641358</v>
      </c>
      <c r="H13" s="179"/>
      <c r="I13" s="191" t="s">
        <v>191</v>
      </c>
      <c r="J13" s="179"/>
      <c r="K13" s="192">
        <v>0.22437000000000001</v>
      </c>
      <c r="L13" s="179"/>
      <c r="M13" s="190">
        <f>ROUND(G13*K13,0)</f>
        <v>764903</v>
      </c>
    </row>
    <row r="14" spans="1:13" x14ac:dyDescent="0.25">
      <c r="E14" s="191"/>
      <c r="F14" s="179"/>
      <c r="G14" s="179"/>
      <c r="H14" s="179"/>
      <c r="I14" s="179"/>
      <c r="J14" s="179"/>
      <c r="K14" s="179"/>
      <c r="L14" s="179"/>
      <c r="M14" s="179"/>
    </row>
    <row r="15" spans="1:13" x14ac:dyDescent="0.25">
      <c r="E15" s="179"/>
      <c r="F15" s="179"/>
      <c r="G15" s="184"/>
      <c r="H15" s="179"/>
      <c r="I15" s="179"/>
      <c r="J15" s="179"/>
      <c r="K15" s="179"/>
      <c r="L15" s="179"/>
      <c r="M15" s="179"/>
    </row>
    <row r="16" spans="1:13" x14ac:dyDescent="0.25">
      <c r="E16" s="179"/>
      <c r="F16" s="179"/>
      <c r="G16" s="179"/>
      <c r="H16" s="179"/>
      <c r="I16" s="179"/>
      <c r="J16" s="179"/>
      <c r="K16" s="179"/>
      <c r="L16" s="179"/>
      <c r="M16" s="179"/>
    </row>
    <row r="17" spans="1:13" x14ac:dyDescent="0.25">
      <c r="E17" s="179"/>
      <c r="F17" s="179"/>
      <c r="G17" s="179"/>
      <c r="H17" s="179"/>
      <c r="I17" s="179"/>
      <c r="J17" s="179"/>
      <c r="K17" s="179"/>
      <c r="L17" s="179"/>
      <c r="M17" s="193"/>
    </row>
    <row r="18" spans="1:13" x14ac:dyDescent="0.25">
      <c r="C18" s="3" t="s">
        <v>457</v>
      </c>
      <c r="E18" s="179"/>
      <c r="F18" s="179"/>
      <c r="G18" s="179"/>
      <c r="H18" s="179"/>
      <c r="I18" s="179"/>
      <c r="J18" s="179"/>
      <c r="K18" s="179"/>
      <c r="L18" s="179"/>
      <c r="M18" s="193"/>
    </row>
    <row r="19" spans="1:13" x14ac:dyDescent="0.25">
      <c r="A19" t="s">
        <v>80</v>
      </c>
      <c r="C19" t="s">
        <v>367</v>
      </c>
      <c r="E19" s="179"/>
      <c r="F19" s="179"/>
      <c r="G19" s="185">
        <v>117223290</v>
      </c>
      <c r="H19" s="179"/>
      <c r="I19" s="179" t="s">
        <v>203</v>
      </c>
      <c r="J19" s="179"/>
      <c r="K19" s="179"/>
      <c r="L19" s="179"/>
      <c r="M19" s="193"/>
    </row>
    <row r="20" spans="1:13" x14ac:dyDescent="0.25">
      <c r="A20" t="s">
        <v>81</v>
      </c>
      <c r="C20" t="s">
        <v>368</v>
      </c>
      <c r="E20" s="179"/>
      <c r="F20" s="179"/>
      <c r="G20" s="198">
        <v>7.1550000000000002E-2</v>
      </c>
      <c r="H20" s="179"/>
      <c r="I20" s="179" t="s">
        <v>405</v>
      </c>
      <c r="J20" s="179"/>
      <c r="K20" s="179"/>
      <c r="L20" s="179"/>
      <c r="M20" s="179"/>
    </row>
    <row r="21" spans="1:13" x14ac:dyDescent="0.25">
      <c r="A21" t="s">
        <v>82</v>
      </c>
      <c r="C21" t="s">
        <v>369</v>
      </c>
      <c r="E21" s="179"/>
      <c r="F21" s="179"/>
      <c r="G21" s="185">
        <f>ROUND(G19*G20,0)</f>
        <v>8387326</v>
      </c>
      <c r="H21" s="179"/>
      <c r="I21" s="179" t="s">
        <v>374</v>
      </c>
      <c r="J21" s="179"/>
      <c r="K21" s="179"/>
      <c r="L21" s="179"/>
      <c r="M21" s="179"/>
    </row>
    <row r="22" spans="1:13" x14ac:dyDescent="0.25">
      <c r="E22" s="179"/>
      <c r="F22" s="179"/>
      <c r="G22" s="179"/>
      <c r="H22" s="179"/>
      <c r="I22" s="179"/>
      <c r="J22" s="179"/>
      <c r="K22" s="179"/>
      <c r="L22" s="179"/>
      <c r="M22" s="179"/>
    </row>
    <row r="23" spans="1:13" x14ac:dyDescent="0.25">
      <c r="A23" t="s">
        <v>83</v>
      </c>
      <c r="C23" t="s">
        <v>370</v>
      </c>
      <c r="E23" s="179"/>
      <c r="F23" s="179"/>
      <c r="G23" s="198">
        <v>2.86E-2</v>
      </c>
      <c r="H23" s="179"/>
      <c r="I23" s="179" t="s">
        <v>406</v>
      </c>
      <c r="J23" s="179"/>
      <c r="K23" s="179"/>
      <c r="L23" s="179"/>
      <c r="M23" s="179"/>
    </row>
    <row r="24" spans="1:13" x14ac:dyDescent="0.25">
      <c r="A24" t="s">
        <v>84</v>
      </c>
      <c r="C24" t="s">
        <v>371</v>
      </c>
      <c r="E24" s="179"/>
      <c r="F24" s="179"/>
      <c r="G24" s="199">
        <f>ROUND(G19*G23,0)</f>
        <v>3352586</v>
      </c>
      <c r="H24" s="179"/>
      <c r="I24" s="179" t="s">
        <v>375</v>
      </c>
      <c r="J24" s="179"/>
      <c r="K24" s="179"/>
      <c r="L24" s="179"/>
      <c r="M24" s="179"/>
    </row>
    <row r="25" spans="1:13" x14ac:dyDescent="0.25">
      <c r="A25" t="s">
        <v>373</v>
      </c>
      <c r="C25" t="s">
        <v>372</v>
      </c>
      <c r="E25" s="179"/>
      <c r="F25" s="179"/>
      <c r="G25" s="200">
        <f>G24-G21</f>
        <v>-5034740</v>
      </c>
      <c r="H25" s="179"/>
      <c r="I25" s="179" t="s">
        <v>376</v>
      </c>
      <c r="J25" s="179"/>
      <c r="K25" s="179"/>
      <c r="L25" s="179"/>
      <c r="M25" s="179"/>
    </row>
  </sheetData>
  <pageMargins left="0.7" right="0.7" top="0.75" bottom="0.75" header="0.3" footer="0.3"/>
  <pageSetup scale="92"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workbookViewId="0">
      <selection activeCell="F29" sqref="F29"/>
    </sheetView>
  </sheetViews>
  <sheetFormatPr defaultRowHeight="15.75" x14ac:dyDescent="0.25"/>
  <cols>
    <col min="1" max="1" width="3.375" customWidth="1"/>
    <col min="2" max="2" width="1.625" customWidth="1"/>
    <col min="3" max="3" width="42.5" customWidth="1"/>
    <col min="4" max="4" width="1.5" customWidth="1"/>
    <col min="5" max="6" width="1.25" customWidth="1"/>
    <col min="7" max="7" width="7.375" customWidth="1"/>
    <col min="8" max="8" width="1.25" customWidth="1"/>
    <col min="9" max="9" width="12.5" customWidth="1"/>
    <col min="10" max="10" width="1.75" customWidth="1"/>
    <col min="11" max="11" width="9" customWidth="1"/>
    <col min="12" max="12" width="1.875" customWidth="1"/>
    <col min="13" max="13" width="7.25" customWidth="1"/>
    <col min="14" max="14" width="1.625" customWidth="1"/>
    <col min="15" max="15" width="11.125" customWidth="1"/>
  </cols>
  <sheetData>
    <row r="1" spans="1:15" x14ac:dyDescent="0.25">
      <c r="A1" t="s">
        <v>250</v>
      </c>
      <c r="K1" t="s">
        <v>386</v>
      </c>
      <c r="M1" s="16"/>
      <c r="N1" s="16"/>
      <c r="O1" s="16"/>
    </row>
    <row r="2" spans="1:15" x14ac:dyDescent="0.25">
      <c r="A2" t="s">
        <v>147</v>
      </c>
      <c r="K2" t="s">
        <v>261</v>
      </c>
      <c r="M2" s="16"/>
      <c r="N2" s="16"/>
      <c r="O2" s="16"/>
    </row>
    <row r="3" spans="1:15" x14ac:dyDescent="0.25">
      <c r="A3" t="s">
        <v>148</v>
      </c>
      <c r="K3" t="s">
        <v>444</v>
      </c>
      <c r="M3" s="16"/>
      <c r="N3" s="16"/>
      <c r="O3" s="16"/>
    </row>
    <row r="4" spans="1:15" x14ac:dyDescent="0.25">
      <c r="A4" t="s">
        <v>140</v>
      </c>
      <c r="M4" s="16"/>
      <c r="N4" s="16"/>
      <c r="O4" s="16"/>
    </row>
    <row r="5" spans="1:15" x14ac:dyDescent="0.25">
      <c r="A5" t="s">
        <v>384</v>
      </c>
      <c r="M5" s="16"/>
      <c r="N5" s="16"/>
      <c r="O5" s="16"/>
    </row>
    <row r="6" spans="1:15" x14ac:dyDescent="0.25">
      <c r="A6" s="16"/>
      <c r="B6" s="16"/>
      <c r="C6" s="16"/>
      <c r="D6" s="16"/>
      <c r="E6" s="16"/>
      <c r="F6" s="16"/>
      <c r="G6" s="16"/>
      <c r="H6" s="16"/>
      <c r="I6" s="16"/>
      <c r="J6" s="16"/>
      <c r="K6" s="16"/>
      <c r="L6" s="16"/>
      <c r="M6" s="16"/>
      <c r="N6" s="16"/>
      <c r="O6" s="16"/>
    </row>
    <row r="7" spans="1:15" x14ac:dyDescent="0.25">
      <c r="A7" s="16"/>
      <c r="B7" s="16"/>
      <c r="C7" s="16"/>
      <c r="D7" s="16"/>
      <c r="E7" s="16"/>
      <c r="F7" s="16"/>
      <c r="G7" s="16"/>
      <c r="H7" s="16"/>
      <c r="I7" s="16"/>
      <c r="J7" s="16"/>
      <c r="K7" s="16"/>
      <c r="L7" s="16"/>
      <c r="M7" s="16"/>
      <c r="N7" s="16"/>
      <c r="O7" s="16"/>
    </row>
    <row r="8" spans="1:15" x14ac:dyDescent="0.25">
      <c r="G8" s="1"/>
      <c r="H8" s="1"/>
      <c r="I8" s="1" t="s">
        <v>4</v>
      </c>
      <c r="J8" s="1"/>
      <c r="K8" s="1"/>
      <c r="L8" s="1"/>
      <c r="M8" s="1"/>
      <c r="N8" s="1"/>
      <c r="O8" s="1" t="s">
        <v>145</v>
      </c>
    </row>
    <row r="9" spans="1:15" x14ac:dyDescent="0.25">
      <c r="A9" s="4"/>
      <c r="C9" s="2" t="s">
        <v>1</v>
      </c>
      <c r="D9" s="4"/>
      <c r="E9" s="14"/>
      <c r="G9" s="10" t="s">
        <v>10</v>
      </c>
      <c r="H9" s="1"/>
      <c r="I9" s="10" t="s">
        <v>6</v>
      </c>
      <c r="J9" s="1"/>
      <c r="K9" s="10" t="s">
        <v>7</v>
      </c>
      <c r="L9" s="1"/>
      <c r="M9" s="11" t="s">
        <v>9</v>
      </c>
      <c r="N9" s="1"/>
      <c r="O9" s="10" t="s">
        <v>8</v>
      </c>
    </row>
    <row r="11" spans="1:15" x14ac:dyDescent="0.25">
      <c r="C11" s="3" t="s">
        <v>11</v>
      </c>
    </row>
    <row r="13" spans="1:15" x14ac:dyDescent="0.25">
      <c r="A13">
        <v>1</v>
      </c>
      <c r="C13" t="s">
        <v>124</v>
      </c>
      <c r="G13" s="47" t="s">
        <v>76</v>
      </c>
      <c r="I13" s="37">
        <f>I24</f>
        <v>-10457509.901496982</v>
      </c>
      <c r="K13" s="1" t="s">
        <v>77</v>
      </c>
      <c r="L13" s="1"/>
      <c r="M13" s="1" t="s">
        <v>77</v>
      </c>
      <c r="O13" s="42">
        <f>Sch8p4!F84</f>
        <v>-655672.99363625085</v>
      </c>
    </row>
    <row r="18" spans="1:15" x14ac:dyDescent="0.25">
      <c r="I18" s="42"/>
    </row>
    <row r="19" spans="1:15" x14ac:dyDescent="0.25">
      <c r="C19" s="3" t="s">
        <v>79</v>
      </c>
      <c r="I19" s="42"/>
    </row>
    <row r="20" spans="1:15" x14ac:dyDescent="0.25">
      <c r="A20" t="s">
        <v>80</v>
      </c>
      <c r="C20" s="4" t="s">
        <v>176</v>
      </c>
      <c r="D20" s="4"/>
      <c r="E20" s="4"/>
      <c r="F20" s="4"/>
      <c r="G20" s="4"/>
      <c r="H20" s="4"/>
      <c r="I20" s="44">
        <f>Sch8p3!F18</f>
        <v>676492294</v>
      </c>
      <c r="J20" s="4"/>
      <c r="K20" s="4" t="s">
        <v>251</v>
      </c>
    </row>
    <row r="21" spans="1:15" x14ac:dyDescent="0.25">
      <c r="A21" t="s">
        <v>81</v>
      </c>
      <c r="C21" s="13" t="s">
        <v>137</v>
      </c>
      <c r="I21" s="71">
        <f>Sch8p2!E34</f>
        <v>-2.2700000000000001E-2</v>
      </c>
      <c r="K21" s="4" t="s">
        <v>252</v>
      </c>
    </row>
    <row r="22" spans="1:15" x14ac:dyDescent="0.25">
      <c r="A22" t="s">
        <v>82</v>
      </c>
      <c r="C22" s="18" t="s">
        <v>138</v>
      </c>
      <c r="I22" s="42">
        <f>ROUND(I20*I21,0)</f>
        <v>-15356375</v>
      </c>
      <c r="K22" s="4"/>
    </row>
    <row r="23" spans="1:15" x14ac:dyDescent="0.25">
      <c r="A23" s="4" t="s">
        <v>83</v>
      </c>
      <c r="B23" s="4"/>
      <c r="C23" s="18" t="s">
        <v>123</v>
      </c>
      <c r="D23" s="4"/>
      <c r="E23" s="4"/>
      <c r="F23" s="4"/>
      <c r="G23" s="4"/>
      <c r="H23" s="4"/>
      <c r="I23" s="71">
        <f>Sch8p4!C84</f>
        <v>0.68098818252986026</v>
      </c>
      <c r="K23" s="4" t="s">
        <v>251</v>
      </c>
    </row>
    <row r="24" spans="1:15" x14ac:dyDescent="0.25">
      <c r="A24" s="18" t="s">
        <v>84</v>
      </c>
      <c r="B24" s="4"/>
      <c r="C24" s="18" t="s">
        <v>124</v>
      </c>
      <c r="D24" s="4"/>
      <c r="E24" s="4"/>
      <c r="F24" s="4"/>
      <c r="G24" s="4"/>
      <c r="H24" s="4"/>
      <c r="I24" s="72">
        <f>I22*I23</f>
        <v>-10457509.901496982</v>
      </c>
      <c r="J24" s="4"/>
      <c r="K24" s="4"/>
    </row>
    <row r="25" spans="1:15" x14ac:dyDescent="0.25">
      <c r="A25" s="4"/>
      <c r="B25" s="4"/>
      <c r="C25" s="18"/>
      <c r="D25" s="4"/>
      <c r="E25" s="4"/>
      <c r="F25" s="4"/>
      <c r="G25" s="4"/>
      <c r="H25" s="4"/>
      <c r="J25" s="4"/>
      <c r="K25" s="44"/>
      <c r="L25" s="4"/>
      <c r="M25" s="4"/>
    </row>
    <row r="26" spans="1:15" x14ac:dyDescent="0.25">
      <c r="A26" s="4"/>
      <c r="B26" s="4"/>
      <c r="L26" s="4"/>
      <c r="M26" s="4"/>
    </row>
    <row r="27" spans="1:15" x14ac:dyDescent="0.25">
      <c r="A27" s="4"/>
      <c r="B27" s="4"/>
      <c r="L27" s="4"/>
      <c r="M27" s="4"/>
    </row>
    <row r="28" spans="1:15" x14ac:dyDescent="0.25">
      <c r="A28" s="4"/>
      <c r="B28" s="4"/>
      <c r="C28" s="18"/>
      <c r="D28" s="4"/>
      <c r="E28" s="4"/>
      <c r="F28" s="4"/>
      <c r="G28" s="4"/>
      <c r="H28" s="4"/>
      <c r="I28" s="44"/>
      <c r="J28" s="4"/>
      <c r="K28" s="4"/>
      <c r="L28" s="4"/>
      <c r="M28" s="4"/>
    </row>
    <row r="29" spans="1:15" x14ac:dyDescent="0.25">
      <c r="C29" s="4"/>
      <c r="D29" s="4"/>
      <c r="E29" s="4"/>
      <c r="F29" s="4"/>
      <c r="G29" s="4"/>
      <c r="H29" s="4"/>
      <c r="I29" s="4"/>
      <c r="J29" s="4"/>
      <c r="K29" s="4"/>
      <c r="L29" s="4"/>
      <c r="M29" s="4"/>
    </row>
    <row r="31" spans="1:15" x14ac:dyDescent="0.25">
      <c r="C31" t="s">
        <v>78</v>
      </c>
    </row>
    <row r="32" spans="1:15" ht="15.75" customHeight="1" x14ac:dyDescent="0.25">
      <c r="C32" s="222" t="s">
        <v>328</v>
      </c>
      <c r="D32" s="223"/>
      <c r="E32" s="223"/>
      <c r="F32" s="223"/>
      <c r="G32" s="223"/>
      <c r="H32" s="223"/>
      <c r="I32" s="223"/>
      <c r="J32" s="223"/>
      <c r="K32" s="223"/>
      <c r="L32" s="223"/>
      <c r="M32" s="223"/>
      <c r="N32" s="223"/>
      <c r="O32" s="224"/>
    </row>
    <row r="33" spans="3:15" ht="15.75" customHeight="1" x14ac:dyDescent="0.25">
      <c r="C33" s="225"/>
      <c r="D33" s="226"/>
      <c r="E33" s="226"/>
      <c r="F33" s="226"/>
      <c r="G33" s="226"/>
      <c r="H33" s="226"/>
      <c r="I33" s="226"/>
      <c r="J33" s="226"/>
      <c r="K33" s="226"/>
      <c r="L33" s="226"/>
      <c r="M33" s="226"/>
      <c r="N33" s="226"/>
      <c r="O33" s="227"/>
    </row>
    <row r="34" spans="3:15" x14ac:dyDescent="0.25">
      <c r="C34" s="225"/>
      <c r="D34" s="226"/>
      <c r="E34" s="226"/>
      <c r="F34" s="226"/>
      <c r="G34" s="226"/>
      <c r="H34" s="226"/>
      <c r="I34" s="226"/>
      <c r="J34" s="226"/>
      <c r="K34" s="226"/>
      <c r="L34" s="226"/>
      <c r="M34" s="226"/>
      <c r="N34" s="226"/>
      <c r="O34" s="227"/>
    </row>
    <row r="35" spans="3:15" x14ac:dyDescent="0.25">
      <c r="C35" s="228"/>
      <c r="D35" s="229"/>
      <c r="E35" s="229"/>
      <c r="F35" s="229"/>
      <c r="G35" s="229"/>
      <c r="H35" s="229"/>
      <c r="I35" s="229"/>
      <c r="J35" s="229"/>
      <c r="K35" s="229"/>
      <c r="L35" s="229"/>
      <c r="M35" s="229"/>
      <c r="N35" s="229"/>
      <c r="O35" s="230"/>
    </row>
  </sheetData>
  <mergeCells count="1">
    <mergeCell ref="C32:O35"/>
  </mergeCells>
  <phoneticPr fontId="8" type="noConversion"/>
  <pageMargins left="0.75" right="0.75" top="1" bottom="1" header="0.5" footer="0.5"/>
  <pageSetup scale="7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595E2AA379E88449A4F511BF799667C" ma:contentTypeVersion="119" ma:contentTypeDescription="" ma:contentTypeScope="" ma:versionID="bb6eb7831c5f97d5faa43925b617fec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2015-11-25T08:00:00+00:00</OpenedDate>
    <Date1 xmlns="dc463f71-b30c-4ab2-9473-d307f9d35888">2016-03-29T07:00:00+00:00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152253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947C35DF-10D2-441D-B710-61FDB98060FE}"/>
</file>

<file path=customXml/itemProps2.xml><?xml version="1.0" encoding="utf-8"?>
<ds:datastoreItem xmlns:ds="http://schemas.openxmlformats.org/officeDocument/2006/customXml" ds:itemID="{A5EEAB2E-2BE3-46DB-9DE7-8619B07707A9}"/>
</file>

<file path=customXml/itemProps3.xml><?xml version="1.0" encoding="utf-8"?>
<ds:datastoreItem xmlns:ds="http://schemas.openxmlformats.org/officeDocument/2006/customXml" ds:itemID="{0C448882-018D-473D-B361-278BC28468A4}"/>
</file>

<file path=customXml/itemProps4.xml><?xml version="1.0" encoding="utf-8"?>
<ds:datastoreItem xmlns:ds="http://schemas.openxmlformats.org/officeDocument/2006/customXml" ds:itemID="{9752EDD4-6FE6-461C-88A4-2162EE1F87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vt:i4>
      </vt:variant>
    </vt:vector>
  </HeadingPairs>
  <TitlesOfParts>
    <vt:vector size="25" baseType="lpstr">
      <vt:lpstr>DMR-2</vt:lpstr>
      <vt:lpstr>DMR3Sch1</vt:lpstr>
      <vt:lpstr>Sch2</vt:lpstr>
      <vt:lpstr>Sch3</vt:lpstr>
      <vt:lpstr>Sch4</vt:lpstr>
      <vt:lpstr>Sch5</vt:lpstr>
      <vt:lpstr>Sch6</vt:lpstr>
      <vt:lpstr>Sch7</vt:lpstr>
      <vt:lpstr>Sch8p1</vt:lpstr>
      <vt:lpstr>Sch8p2</vt:lpstr>
      <vt:lpstr>Sch8p3</vt:lpstr>
      <vt:lpstr>Sch8p4</vt:lpstr>
      <vt:lpstr>Sch9p1</vt:lpstr>
      <vt:lpstr>Sch9p2</vt:lpstr>
      <vt:lpstr>Sch10p1</vt:lpstr>
      <vt:lpstr>Sch10p2</vt:lpstr>
      <vt:lpstr>Sch11p1</vt:lpstr>
      <vt:lpstr>Sch11p2</vt:lpstr>
      <vt:lpstr>Sch12</vt:lpstr>
      <vt:lpstr>Sch13</vt:lpstr>
      <vt:lpstr>DMR4p1</vt:lpstr>
      <vt:lpstr>DMR4p2</vt:lpstr>
      <vt:lpstr>Sch10p2!Print_Titles</vt:lpstr>
      <vt:lpstr>Sch8p4!Print_Titles</vt:lpstr>
      <vt:lpstr>Sch9p2!Print_Titles</vt:lpstr>
    </vt:vector>
  </TitlesOfParts>
  <Company>la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Ramas</dc:creator>
  <cp:lastModifiedBy>Donna</cp:lastModifiedBy>
  <cp:lastPrinted>2016-03-24T18:04:37Z</cp:lastPrinted>
  <dcterms:created xsi:type="dcterms:W3CDTF">1998-04-03T16:01:20Z</dcterms:created>
  <dcterms:modified xsi:type="dcterms:W3CDTF">2016-03-28T13:49:06Z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0x0101006E56B4D1795A2E4DB2F0B01679ED314A007595E2AA379E88449A4F511BF799667C</vt:lpwstr>
  </property>
  <property fmtid="{D5CDD505-2E9C-101B-9397-08002B2CF9AE}" pid="3" name="_docset_NoMedatataSyncRequired">
    <vt:lpwstr>False</vt:lpwstr>
  </property>
</Properties>
</file>