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externalLinks/externalLink5.xml" ContentType="application/vnd.openxmlformats-officedocument.spreadsheetml.externalLink+xml"/>
  <Override PartName="/xl/comments4.xml" ContentType="application/vnd.openxmlformats-officedocument.spreadsheetml.comments+xml"/>
  <Override PartName="/xl/externalLinks/externalLink6.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C:\wrk\30_ava\3046-9 - 2018 GRC\dir\_wps\_fnl\"/>
    </mc:Choice>
  </mc:AlternateContent>
  <bookViews>
    <workbookView xWindow="-330" yWindow="-105" windowWidth="19410" windowHeight="11010" tabRatio="848"/>
  </bookViews>
  <sheets>
    <sheet name="Exh. No. BGM-3 1" sheetId="116" r:id="rId1"/>
    <sheet name="Exh. No. BGM-3 2" sheetId="51" r:id="rId2"/>
    <sheet name="Exh. No. BGM-3 3" sheetId="52" r:id="rId3"/>
    <sheet name="Exh. No. BGM-3 4" sheetId="1" r:id="rId4"/>
    <sheet name="Acerno_Cache_XXXXX" sheetId="115" state="veryHidden" r:id="rId5"/>
    <sheet name="Workpapers-&gt;" sheetId="117" r:id="rId6"/>
    <sheet name="ADJ SUMMARY" sheetId="3" r:id="rId7"/>
    <sheet name="LEAD SHEETS-DO NOT ENTER" sheetId="113" r:id="rId8"/>
    <sheet name="ROO INPUT" sheetId="111" r:id="rId9"/>
    <sheet name="DEBT CALC" sheetId="48" r:id="rId10"/>
    <sheet name="COMPARISON" sheetId="99" r:id="rId11"/>
    <sheet name="PROPOSED RATES-2018-NOT USED" sheetId="50" r:id="rId12"/>
    <sheet name="RETAIL REVENUE CREDIT-not used" sheetId="82" r:id="rId13"/>
    <sheet name="PROPOSED RATES-2019-not used" sheetId="114" r:id="rId14"/>
  </sheets>
  <externalReferences>
    <externalReference r:id="rId15"/>
    <externalReference r:id="rId16"/>
    <externalReference r:id="rId17"/>
    <externalReference r:id="rId18"/>
    <externalReference r:id="rId19"/>
    <externalReference r:id="rId20"/>
  </externalReferences>
  <definedNames>
    <definedName name="ID_Elec" localSheetId="8">#REF!</definedName>
    <definedName name="ID_Elec">'DEBT CALC'!$A$83:$F$160</definedName>
    <definedName name="ID_Gas" localSheetId="0">'[1]DEBT CALC'!#REF!</definedName>
    <definedName name="ID_Gas" localSheetId="7">'DEBT CALC'!#REF!</definedName>
    <definedName name="ID_Gas" localSheetId="13">'DEBT CALC'!#REF!</definedName>
    <definedName name="ID_Gas" localSheetId="8">#REF!</definedName>
    <definedName name="ID_Gas">'DEBT CALC'!#REF!</definedName>
    <definedName name="_xlnm.Print_Area" localSheetId="6">'ADJ SUMMARY'!$A$1:$H$56</definedName>
    <definedName name="_xlnm.Print_Area" localSheetId="10">COMPARISON!$A$1:$Q$120</definedName>
    <definedName name="_xlnm.Print_Area" localSheetId="9">'DEBT CALC'!$A$1:$I$62</definedName>
    <definedName name="_xlnm.Print_Area" localSheetId="0">'Exh. No. BGM-3 1'!$A$1:$AF$56</definedName>
    <definedName name="_xlnm.Print_Area" localSheetId="1">'Exh. No. BGM-3 2'!$A$1:$H$40,'Exh. No. BGM-3 2'!$I$1:$N$18</definedName>
    <definedName name="_xlnm.Print_Area" localSheetId="2">'Exh. No. BGM-3 3'!$A$1:$E$28</definedName>
    <definedName name="_xlnm.Print_Area" localSheetId="3">'Exh. No. BGM-3 4'!$A$1:$AU$84</definedName>
    <definedName name="_xlnm.Print_Area" localSheetId="7">'LEAD SHEETS-DO NOT ENTER'!$A$2:$AP$80</definedName>
    <definedName name="_xlnm.Print_Area" localSheetId="11">'PROPOSED RATES-2018-NOT USED'!$A$1:$I$82</definedName>
    <definedName name="_xlnm.Print_Area" localSheetId="13">'PROPOSED RATES-2019-not used'!$A$1:$J$83</definedName>
    <definedName name="_xlnm.Print_Area" localSheetId="12">'RETAIL REVENUE CREDIT-not used'!$A$1:$J$90</definedName>
    <definedName name="_xlnm.Print_Area" localSheetId="8">'ROO INPUT'!$A$1:$G$81</definedName>
    <definedName name="Print_for_CBReport" localSheetId="10">COMPARISON!$A$9:$H$117</definedName>
    <definedName name="Print_for_CBReport" localSheetId="12">'RETAIL REVENUE CREDIT-not used'!$A$1:$H$97</definedName>
    <definedName name="Print_for_CBReport">'ADJ SUMMARY'!$A$1:$F$56</definedName>
    <definedName name="Print_for_Checking" localSheetId="10">COMPARISON!#REF!:COMPARISON!#REF!</definedName>
    <definedName name="Print_for_Checking" localSheetId="0">'[1]ADJ SUMMARY'!#REF!:'[1]ADJ SUMMARY'!#REF!</definedName>
    <definedName name="Print_for_Checking" localSheetId="7">'ADJ SUMMARY'!#REF!:'ADJ SUMMARY'!#REF!</definedName>
    <definedName name="Print_for_Checking" localSheetId="13">'ADJ SUMMARY'!#REF!:'ADJ SUMMARY'!#REF!</definedName>
    <definedName name="Print_for_Checking" localSheetId="12">'RETAIL REVENUE CREDIT-not used'!$A$1:'RETAIL REVENUE CREDIT-not used'!$K$112</definedName>
    <definedName name="Print_for_Checking" localSheetId="8">[2]PFRstmtSheet!$A$1:[2]PFRstmtSheet!#REF!</definedName>
    <definedName name="Print_for_Checking">'ADJ SUMMARY'!#REF!:'ADJ SUMMARY'!#REF!</definedName>
    <definedName name="_xlnm.Print_Titles" localSheetId="0">'Exh. No. BGM-3 1'!$A:$G</definedName>
    <definedName name="_xlnm.Print_Titles" localSheetId="3">'Exh. No. BGM-3 4'!$A:$D,'Exh. No. BGM-3 4'!$2:$10</definedName>
    <definedName name="_xlnm.Print_Titles" localSheetId="7">'LEAD SHEETS-DO NOT ENTER'!$A:$D,'LEAD SHEETS-DO NOT ENTER'!$2:$10</definedName>
    <definedName name="_xlnm.Print_Titles" localSheetId="12">'RETAIL REVENUE CREDIT-not used'!$1:$6</definedName>
    <definedName name="_xlnm.Print_Titles" localSheetId="8">'ROO INPUT'!$1:$10</definedName>
    <definedName name="RRC_Adjustment_Print" localSheetId="0">#REF!</definedName>
    <definedName name="RRC_Adjustment_Print">'RETAIL REVENUE CREDIT-not used'!$B$90:$G$112</definedName>
    <definedName name="RRC_Rate_Print" localSheetId="0">#REF!</definedName>
    <definedName name="RRC_Rate_Print">'RETAIL REVENUE CREDIT-not used'!$A$1:$J$85</definedName>
    <definedName name="Summary" localSheetId="0">#REF!</definedName>
    <definedName name="Summary" localSheetId="7">#REF!</definedName>
    <definedName name="Summary" localSheetId="13">#REF!</definedName>
    <definedName name="Summary" localSheetId="8">#REF!</definedName>
    <definedName name="Summary">#REF!</definedName>
    <definedName name="WA_Elec" localSheetId="8">#REF!</definedName>
    <definedName name="WA_Elec">'DEBT CALC'!$A$1:$F$82</definedName>
    <definedName name="WA_Gas" localSheetId="0">'[1]DEBT CALC'!#REF!</definedName>
    <definedName name="WA_Gas" localSheetId="7">'DEBT CALC'!#REF!</definedName>
    <definedName name="WA_Gas" localSheetId="13">'DEBT CALC'!#REF!</definedName>
    <definedName name="WA_Gas" localSheetId="8">#REF!</definedName>
    <definedName name="WA_Gas">'DEBT CALC'!#REF!</definedName>
    <definedName name="Z_6E1B8C45_B07F_11D2_B0DC_0000832CDFF0_.wvu.Cols" localSheetId="3" hidden="1">'Exh. No. BGM-3 4'!#REF!,'Exh. No. BGM-3 4'!$AD:$AR</definedName>
    <definedName name="Z_6E1B8C45_B07F_11D2_B0DC_0000832CDFF0_.wvu.Cols" localSheetId="7" hidden="1">'LEAD SHEETS-DO NOT ENTER'!#REF!,'LEAD SHEETS-DO NOT ENTER'!$AA:$AF</definedName>
    <definedName name="Z_6E1B8C45_B07F_11D2_B0DC_0000832CDFF0_.wvu.PrintArea" localSheetId="6" hidden="1">'ADJ SUMMARY'!$A$1:$F$56</definedName>
    <definedName name="Z_6E1B8C45_B07F_11D2_B0DC_0000832CDFF0_.wvu.PrintArea" localSheetId="10" hidden="1">COMPARISON!$A$9:$H$98</definedName>
    <definedName name="Z_6E1B8C45_B07F_11D2_B0DC_0000832CDFF0_.wvu.PrintArea" localSheetId="3" hidden="1">'Exh. No. BGM-3 4'!$E:$AC</definedName>
    <definedName name="Z_6E1B8C45_B07F_11D2_B0DC_0000832CDFF0_.wvu.PrintArea" localSheetId="7" hidden="1">'LEAD SHEETS-DO NOT ENTER'!$E:$Y</definedName>
    <definedName name="Z_6E1B8C45_B07F_11D2_B0DC_0000832CDFF0_.wvu.PrintArea" localSheetId="12" hidden="1">'RETAIL REVENUE CREDIT-not used'!$A$1:$J$101</definedName>
    <definedName name="Z_6E1B8C45_B07F_11D2_B0DC_0000832CDFF0_.wvu.PrintArea" localSheetId="8" hidden="1">'ROO INPUT'!$A$1:$G$80</definedName>
    <definedName name="Z_6E1B8C45_B07F_11D2_B0DC_0000832CDFF0_.wvu.PrintTitles" localSheetId="3" hidden="1">'Exh. No. BGM-3 4'!$A:$D,'Exh. No. BGM-3 4'!$2:$10</definedName>
    <definedName name="Z_6E1B8C45_B07F_11D2_B0DC_0000832CDFF0_.wvu.PrintTitles" localSheetId="7" hidden="1">'LEAD SHEETS-DO NOT ENTER'!$A:$D,'LEAD SHEETS-DO NOT ENTER'!$2:$10</definedName>
    <definedName name="Z_6E1B8C45_B07F_11D2_B0DC_0000832CDFF0_.wvu.Rows" localSheetId="6" hidden="1">'ADJ SUMMARY'!#REF!,'ADJ SUMMARY'!$20:$56,'ADJ SUMMARY'!$33:$33,'ADJ SUMMARY'!$38:$56,'ADJ SUMMARY'!#REF!,'ADJ SUMMARY'!#REF!,'ADJ SUMMARY'!#REF!</definedName>
    <definedName name="Z_6E1B8C45_B07F_11D2_B0DC_0000832CDFF0_.wvu.Rows" localSheetId="10" hidden="1">COMPARISON!#REF!,COMPARISON!$21:$43,COMPARISON!$33:$33,COMPARISON!$37:$59,COMPARISON!$90:$90,COMPARISON!$92:$92,COMPARISON!$99:$117</definedName>
    <definedName name="Z_6E1B8C45_B07F_11D2_B0DC_0000832CDFF0_.wvu.Rows" localSheetId="12" hidden="1">'RETAIL REVENUE CREDIT-not used'!$18:$18,'RETAIL REVENUE CREDIT-not used'!$31:$34,'RETAIL REVENUE CREDIT-not used'!#REF!,'RETAIL REVENUE CREDIT-not used'!$47:$64,'RETAIL REVENUE CREDIT-not used'!$94:$94,'RETAIL REVENUE CREDIT-not used'!$96:$96,'RETAIL REVENUE CREDIT-not used'!$102:$112</definedName>
    <definedName name="Z_A15D1962_B049_11D2_8670_0000832CEEE8_.wvu.Cols" localSheetId="3" hidden="1">'Exh. No. BGM-3 4'!$AD:$AU</definedName>
    <definedName name="Z_A15D1962_B049_11D2_8670_0000832CEEE8_.wvu.Cols" localSheetId="7" hidden="1">'LEAD SHEETS-DO NOT ENTER'!$AA:$AF</definedName>
    <definedName name="Z_A15D1962_B049_11D2_8670_0000832CEEE8_.wvu.Rows" localSheetId="6" hidden="1">'ADJ SUMMARY'!$38:$56,'ADJ SUMMARY'!#REF!</definedName>
    <definedName name="Z_A15D1962_B049_11D2_8670_0000832CEEE8_.wvu.Rows" localSheetId="10" hidden="1">COMPARISON!$37:$52,COMPARISON!$98:$117</definedName>
    <definedName name="Z_A15D1962_B049_11D2_8670_0000832CEEE8_.wvu.Rows" localSheetId="12" hidden="1">'RETAIL REVENUE CREDIT-not used'!$47:$63,'RETAIL REVENUE CREDIT-not used'!$101:$112</definedName>
  </definedNames>
  <calcPr calcId="171027" calcMode="manual"/>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workbook>
</file>

<file path=xl/calcChain.xml><?xml version="1.0" encoding="utf-8"?>
<calcChain xmlns="http://schemas.openxmlformats.org/spreadsheetml/2006/main">
  <c r="AK19" i="116" l="1"/>
  <c r="M10" i="51"/>
  <c r="AY9" i="116"/>
  <c r="AY8" i="116"/>
  <c r="AY7" i="116"/>
  <c r="AX7" i="116"/>
  <c r="AX8" i="116"/>
  <c r="AU9" i="116"/>
  <c r="W36" i="116" l="1"/>
  <c r="AE42" i="1"/>
  <c r="AE38" i="1"/>
  <c r="AE37" i="1"/>
  <c r="AE31" i="1"/>
  <c r="AE23" i="1"/>
  <c r="W44" i="116" l="1"/>
  <c r="Y44" i="116" s="1"/>
  <c r="AM75" i="1"/>
  <c r="AA44" i="116"/>
  <c r="AI4" i="116" l="1"/>
  <c r="W32" i="116" l="1"/>
  <c r="R48" i="116"/>
  <c r="R47" i="116"/>
  <c r="R43" i="116"/>
  <c r="R39" i="116"/>
  <c r="R38" i="116"/>
  <c r="R37" i="116"/>
  <c r="R36" i="116"/>
  <c r="R35" i="116"/>
  <c r="R12" i="116"/>
  <c r="R14" i="116"/>
  <c r="R16" i="116"/>
  <c r="R17" i="116"/>
  <c r="R18" i="116"/>
  <c r="R19" i="116"/>
  <c r="R20" i="116"/>
  <c r="R21" i="116"/>
  <c r="R22" i="116"/>
  <c r="R23" i="116"/>
  <c r="R24" i="116"/>
  <c r="R25" i="116"/>
  <c r="R26" i="116"/>
  <c r="R27" i="116"/>
  <c r="R28" i="116"/>
  <c r="R29" i="116"/>
  <c r="R30" i="116"/>
  <c r="R10" i="116"/>
  <c r="R42" i="116"/>
  <c r="R13" i="116"/>
  <c r="AK11" i="116"/>
  <c r="AI10" i="116"/>
  <c r="AI12" i="116" s="1"/>
  <c r="B10" i="116"/>
  <c r="AA49" i="116" l="1"/>
  <c r="AK10" i="116"/>
  <c r="AK12" i="116" s="1"/>
  <c r="B11" i="116"/>
  <c r="Y47" i="116" l="1"/>
  <c r="Y21" i="116"/>
  <c r="Y12" i="116"/>
  <c r="Y23" i="116"/>
  <c r="Y35" i="116"/>
  <c r="Y48" i="116"/>
  <c r="AC48" i="116" s="1"/>
  <c r="Y20" i="116"/>
  <c r="Y11" i="116"/>
  <c r="Y14" i="116"/>
  <c r="Y36" i="116"/>
  <c r="AC36" i="116" s="1"/>
  <c r="Y19" i="116"/>
  <c r="Y10" i="116"/>
  <c r="Y16" i="116"/>
  <c r="Y37" i="116"/>
  <c r="Y18" i="116"/>
  <c r="AC18" i="116" s="1"/>
  <c r="Y30" i="116"/>
  <c r="AC30" i="116" s="1"/>
  <c r="Y27" i="116"/>
  <c r="Y38" i="116"/>
  <c r="Y25" i="116"/>
  <c r="Y17" i="116"/>
  <c r="Y28" i="116"/>
  <c r="Y26" i="116"/>
  <c r="AC26" i="116" s="1"/>
  <c r="Y39" i="116"/>
  <c r="AC39" i="116" s="1"/>
  <c r="Y24" i="116"/>
  <c r="AC24" i="116" s="1"/>
  <c r="Y13" i="116"/>
  <c r="Y42" i="116"/>
  <c r="Y43" i="116"/>
  <c r="Y22" i="116"/>
  <c r="AC25" i="116"/>
  <c r="AC28" i="116"/>
  <c r="AC27" i="116"/>
  <c r="AC29" i="116"/>
  <c r="AC47" i="116"/>
  <c r="R49" i="116"/>
  <c r="Y49" i="116"/>
  <c r="AC21" i="116"/>
  <c r="AC35" i="116"/>
  <c r="AC42" i="116"/>
  <c r="AC13" i="116"/>
  <c r="AC12" i="116"/>
  <c r="AC14" i="116"/>
  <c r="AC38" i="116"/>
  <c r="AC17" i="116"/>
  <c r="AC37" i="116"/>
  <c r="AC22" i="116"/>
  <c r="AC43" i="116"/>
  <c r="AC20" i="116"/>
  <c r="AC10" i="116"/>
  <c r="AC19" i="116"/>
  <c r="AC16" i="116"/>
  <c r="AC23" i="116"/>
  <c r="B12" i="116"/>
  <c r="R11" i="116"/>
  <c r="AC11" i="116"/>
  <c r="B13" i="116" l="1"/>
  <c r="B14" i="116" l="1"/>
  <c r="AA15" i="116"/>
  <c r="AA32" i="116" l="1"/>
  <c r="Y15" i="116"/>
  <c r="Y32" i="116" s="1"/>
  <c r="B15" i="116"/>
  <c r="B16" i="116" s="1"/>
  <c r="B17" i="116" s="1"/>
  <c r="R15" i="116"/>
  <c r="AC15" i="116"/>
  <c r="AC32" i="116" s="1"/>
  <c r="B18" i="116" l="1"/>
  <c r="B19" i="116" s="1"/>
  <c r="B20" i="116" l="1"/>
  <c r="B21" i="116" s="1"/>
  <c r="B22" i="116" s="1"/>
  <c r="B23" i="116" l="1"/>
  <c r="B24" i="116" s="1"/>
  <c r="B25" i="116" l="1"/>
  <c r="B26" i="116" s="1"/>
  <c r="B27" i="116" s="1"/>
  <c r="B28" i="116" s="1"/>
  <c r="B29" i="116" s="1"/>
  <c r="B30" i="116" l="1"/>
  <c r="B32" i="116" s="1"/>
  <c r="B35" i="116" s="1"/>
  <c r="B36" i="116" s="1"/>
  <c r="B37" i="116" s="1"/>
  <c r="B38" i="116" s="1"/>
  <c r="B39" i="116" s="1"/>
  <c r="B40" i="116" s="1"/>
  <c r="B41" i="116" s="1"/>
  <c r="B42" i="116" s="1"/>
  <c r="B43" i="116" s="1"/>
  <c r="B44" i="116" s="1"/>
  <c r="B45" i="116" s="1"/>
  <c r="B46" i="116" s="1"/>
  <c r="B47" i="116" s="1"/>
  <c r="B48" i="116" l="1"/>
  <c r="B51" i="116" s="1"/>
  <c r="AA40" i="116" l="1"/>
  <c r="Y40" i="116" s="1"/>
  <c r="AA41" i="116" l="1"/>
  <c r="Y41" i="116" s="1"/>
  <c r="AC40" i="116"/>
  <c r="R40" i="116"/>
  <c r="R41" i="116" l="1"/>
  <c r="AC41" i="116"/>
  <c r="AA45" i="116" l="1"/>
  <c r="Y45" i="116" s="1"/>
  <c r="AC44" i="116"/>
  <c r="AA46" i="116" l="1"/>
  <c r="Y46" i="116" s="1"/>
  <c r="R45" i="116"/>
  <c r="AC45" i="116"/>
  <c r="R46" i="116" l="1"/>
  <c r="AC46" i="116"/>
  <c r="W51" i="116"/>
  <c r="AA51" i="116"/>
  <c r="AO5" i="113" l="1"/>
  <c r="AO6" i="113"/>
  <c r="AA6" i="113" l="1"/>
  <c r="AI72" i="1" l="1"/>
  <c r="AI65" i="1"/>
  <c r="AI45" i="1"/>
  <c r="AI35" i="1"/>
  <c r="AI28" i="1"/>
  <c r="AI17" i="1"/>
  <c r="AI19" i="1" s="1"/>
  <c r="AG72" i="1"/>
  <c r="AG65" i="1"/>
  <c r="AG73" i="1" s="1"/>
  <c r="AG76" i="1" s="1"/>
  <c r="AG80" i="1" s="1"/>
  <c r="AG45" i="1"/>
  <c r="AG35" i="1"/>
  <c r="AG28" i="1"/>
  <c r="AG17" i="1"/>
  <c r="AG19" i="1" s="1"/>
  <c r="AE72" i="1"/>
  <c r="AE65" i="1"/>
  <c r="AE45" i="1"/>
  <c r="AE35" i="1"/>
  <c r="AE28" i="1"/>
  <c r="AE17" i="1"/>
  <c r="AE19" i="1" s="1"/>
  <c r="AE10" i="1"/>
  <c r="AG46" i="1" l="1"/>
  <c r="AG48" i="1" s="1"/>
  <c r="AE73" i="1"/>
  <c r="AE76" i="1" s="1"/>
  <c r="AE80" i="1" s="1"/>
  <c r="AE52" i="1" s="1"/>
  <c r="AI73" i="1"/>
  <c r="AI76" i="1" s="1"/>
  <c r="AI80" i="1" s="1"/>
  <c r="AI52" i="1" s="1"/>
  <c r="AI46" i="1"/>
  <c r="AI48" i="1" s="1"/>
  <c r="AI51" i="1" s="1"/>
  <c r="AG52" i="1"/>
  <c r="AE46" i="1"/>
  <c r="AE48" i="1" s="1"/>
  <c r="N12" i="51"/>
  <c r="AI56" i="1" l="1"/>
  <c r="AG51" i="1"/>
  <c r="AG56" i="1" s="1"/>
  <c r="AE51" i="1"/>
  <c r="AE56" i="1" s="1"/>
  <c r="AL23" i="1"/>
  <c r="M40" i="116" l="1"/>
  <c r="P40" i="116"/>
  <c r="T40" i="116" s="1"/>
  <c r="P36" i="116"/>
  <c r="T36" i="116" s="1"/>
  <c r="M36" i="116"/>
  <c r="P38" i="116"/>
  <c r="T38" i="116" s="1"/>
  <c r="M38" i="116"/>
  <c r="Z72" i="1"/>
  <c r="Z65" i="1"/>
  <c r="Z45" i="1"/>
  <c r="Z35" i="1"/>
  <c r="Z23" i="1"/>
  <c r="Z28" i="1" s="1"/>
  <c r="Z18" i="1"/>
  <c r="Z17" i="1"/>
  <c r="AD23" i="1"/>
  <c r="Z73" i="1" l="1"/>
  <c r="Z76" i="1" s="1"/>
  <c r="Z80" i="1" s="1"/>
  <c r="Z46" i="1"/>
  <c r="Z19" i="1"/>
  <c r="Z48" i="1" l="1"/>
  <c r="Z51" i="1" s="1"/>
  <c r="N45" i="82"/>
  <c r="G45" i="82"/>
  <c r="H45" i="82"/>
  <c r="I45" i="82"/>
  <c r="J45" i="82"/>
  <c r="G42" i="82"/>
  <c r="H42" i="82"/>
  <c r="I42" i="82"/>
  <c r="J42" i="82"/>
  <c r="N42" i="82"/>
  <c r="N43" i="82"/>
  <c r="G43" i="82"/>
  <c r="H43" i="82"/>
  <c r="I43" i="82"/>
  <c r="J43" i="82"/>
  <c r="G44" i="82"/>
  <c r="H44" i="82"/>
  <c r="I44" i="82"/>
  <c r="J44" i="82"/>
  <c r="N44" i="82"/>
  <c r="B49" i="99"/>
  <c r="AL7" i="113"/>
  <c r="AM7" i="113"/>
  <c r="AN7" i="113"/>
  <c r="AO7" i="113"/>
  <c r="AP7" i="113"/>
  <c r="AL8" i="113"/>
  <c r="AM8" i="113"/>
  <c r="AN8" i="113"/>
  <c r="AO8" i="113"/>
  <c r="AP8" i="113"/>
  <c r="AL9" i="113"/>
  <c r="AM9" i="113"/>
  <c r="AN9" i="113"/>
  <c r="AO9" i="113"/>
  <c r="AP9" i="113"/>
  <c r="AO10" i="113"/>
  <c r="AP10" i="113"/>
  <c r="AL11" i="113"/>
  <c r="AM11" i="113"/>
  <c r="AN11" i="113"/>
  <c r="AO11" i="113"/>
  <c r="AP11" i="113"/>
  <c r="AL14" i="113"/>
  <c r="AM14" i="113"/>
  <c r="AN14" i="113"/>
  <c r="AO14" i="113"/>
  <c r="AP14" i="113"/>
  <c r="AL15" i="113"/>
  <c r="AM15" i="113"/>
  <c r="AN15" i="113"/>
  <c r="AO15" i="113"/>
  <c r="AP15" i="113"/>
  <c r="AL16" i="113"/>
  <c r="AM16" i="113"/>
  <c r="AN16" i="113"/>
  <c r="AO16" i="113"/>
  <c r="AP16" i="113"/>
  <c r="AL18" i="113"/>
  <c r="AM18" i="113"/>
  <c r="AN18" i="113"/>
  <c r="AL23" i="113"/>
  <c r="AM23" i="113"/>
  <c r="AN23" i="113"/>
  <c r="AO23" i="113"/>
  <c r="AL24" i="113"/>
  <c r="AM24" i="113"/>
  <c r="AN24" i="113"/>
  <c r="AO24" i="113"/>
  <c r="AP24" i="113"/>
  <c r="AL25" i="113"/>
  <c r="AM25" i="113"/>
  <c r="AN25" i="113"/>
  <c r="AO25" i="113"/>
  <c r="AP25" i="113"/>
  <c r="AL26" i="113"/>
  <c r="AM26" i="113"/>
  <c r="AN26" i="113"/>
  <c r="AO26" i="113"/>
  <c r="AP26" i="113"/>
  <c r="AL27" i="113"/>
  <c r="AM27" i="113"/>
  <c r="AN27" i="113"/>
  <c r="AO27" i="113"/>
  <c r="AP27" i="113"/>
  <c r="AL31" i="113"/>
  <c r="AM31" i="113"/>
  <c r="AN31" i="113"/>
  <c r="AO31" i="113"/>
  <c r="AP31" i="113"/>
  <c r="AL32" i="113"/>
  <c r="AM32" i="113"/>
  <c r="AN32" i="113"/>
  <c r="AO32" i="113"/>
  <c r="AP32" i="113"/>
  <c r="AL33" i="113"/>
  <c r="AM33" i="113"/>
  <c r="AN33" i="113"/>
  <c r="AO33" i="113"/>
  <c r="AP33" i="113"/>
  <c r="AL34" i="113"/>
  <c r="AM34" i="113"/>
  <c r="AN34" i="113"/>
  <c r="AO34" i="113"/>
  <c r="AP34" i="113"/>
  <c r="AL37" i="113"/>
  <c r="AM37" i="113"/>
  <c r="AN37" i="113"/>
  <c r="AO37" i="113"/>
  <c r="AP37" i="113"/>
  <c r="AL38" i="113"/>
  <c r="AM38" i="113"/>
  <c r="AN38" i="113"/>
  <c r="AO38" i="113"/>
  <c r="AP38" i="113"/>
  <c r="AL39" i="113"/>
  <c r="AM39" i="113"/>
  <c r="AN39" i="113"/>
  <c r="AO39" i="113"/>
  <c r="AP39" i="113"/>
  <c r="AL42" i="113"/>
  <c r="AM42" i="113"/>
  <c r="AN42" i="113"/>
  <c r="AO42" i="113"/>
  <c r="AP42" i="113"/>
  <c r="AL43" i="113"/>
  <c r="AM43" i="113"/>
  <c r="AN43" i="113"/>
  <c r="AO43" i="113"/>
  <c r="AP43" i="113"/>
  <c r="AL44" i="113"/>
  <c r="AM44" i="113"/>
  <c r="AN44" i="113"/>
  <c r="AO44" i="113"/>
  <c r="AP44" i="113"/>
  <c r="AL50" i="113"/>
  <c r="AM50" i="113"/>
  <c r="AN50" i="113"/>
  <c r="AO50" i="113"/>
  <c r="AP50" i="113"/>
  <c r="AL53" i="113"/>
  <c r="AM53" i="113"/>
  <c r="AN53" i="113"/>
  <c r="AO53" i="113"/>
  <c r="AP53" i="113"/>
  <c r="AL54" i="113"/>
  <c r="AM54" i="113"/>
  <c r="AN54" i="113"/>
  <c r="AO54" i="113"/>
  <c r="AP54" i="113"/>
  <c r="AL60" i="113"/>
  <c r="AM60" i="113"/>
  <c r="AN60" i="113"/>
  <c r="AO60" i="113"/>
  <c r="AP60" i="113"/>
  <c r="AL61" i="113"/>
  <c r="AM61" i="113"/>
  <c r="AN61" i="113"/>
  <c r="AO61" i="113"/>
  <c r="AP61" i="113"/>
  <c r="AL62" i="113"/>
  <c r="AM62" i="113"/>
  <c r="AN62" i="113"/>
  <c r="AO62" i="113"/>
  <c r="AP62" i="113"/>
  <c r="AL63" i="113"/>
  <c r="AM63" i="113"/>
  <c r="AN63" i="113"/>
  <c r="AO63" i="113"/>
  <c r="AP63" i="113"/>
  <c r="AL64" i="113"/>
  <c r="AM64" i="113"/>
  <c r="AN64" i="113"/>
  <c r="AO64" i="113"/>
  <c r="AP64" i="113"/>
  <c r="AL67" i="113"/>
  <c r="AM67" i="113"/>
  <c r="AN67" i="113"/>
  <c r="AO67" i="113"/>
  <c r="AP67" i="113"/>
  <c r="AL68" i="113"/>
  <c r="AM68" i="113"/>
  <c r="AN68" i="113"/>
  <c r="AO68" i="113"/>
  <c r="AP68" i="113"/>
  <c r="AL69" i="113"/>
  <c r="AM69" i="113"/>
  <c r="AN69" i="113"/>
  <c r="AO69" i="113"/>
  <c r="AP69" i="113"/>
  <c r="AL70" i="113"/>
  <c r="AM70" i="113"/>
  <c r="AN70" i="113"/>
  <c r="AO70" i="113"/>
  <c r="AP70" i="113"/>
  <c r="AL71" i="113"/>
  <c r="AM71" i="113"/>
  <c r="AN71" i="113"/>
  <c r="AO71" i="113"/>
  <c r="AP71" i="113"/>
  <c r="AL75" i="113"/>
  <c r="AM75" i="113"/>
  <c r="AN75" i="113"/>
  <c r="AO75" i="113"/>
  <c r="AP75" i="113"/>
  <c r="AL77" i="113"/>
  <c r="AM77" i="113"/>
  <c r="AN77" i="113"/>
  <c r="AO77" i="113"/>
  <c r="AP77" i="113"/>
  <c r="AL78" i="113"/>
  <c r="AM78" i="113"/>
  <c r="AN78" i="113"/>
  <c r="AO78" i="113"/>
  <c r="AP78" i="113"/>
  <c r="AL79" i="113"/>
  <c r="AM79" i="113"/>
  <c r="AN79" i="113"/>
  <c r="AO79" i="113"/>
  <c r="AP79" i="113"/>
  <c r="C49" i="3"/>
  <c r="C44" i="82" s="1"/>
  <c r="B49" i="3"/>
  <c r="AQ72" i="1"/>
  <c r="AN72" i="113" s="1"/>
  <c r="AQ65" i="1"/>
  <c r="AN65" i="113" s="1"/>
  <c r="AQ45" i="1"/>
  <c r="AQ35" i="1"/>
  <c r="AN35" i="113" s="1"/>
  <c r="AQ28" i="1"/>
  <c r="AN28" i="113" s="1"/>
  <c r="AQ17" i="1"/>
  <c r="AQ19" i="1" s="1"/>
  <c r="AQ46" i="1" l="1"/>
  <c r="AN46" i="113" s="1"/>
  <c r="AN45" i="113"/>
  <c r="AN17" i="113"/>
  <c r="B46" i="48"/>
  <c r="L42" i="82"/>
  <c r="AN19" i="113"/>
  <c r="L45" i="82"/>
  <c r="AQ73" i="1"/>
  <c r="L44" i="82"/>
  <c r="L43" i="82"/>
  <c r="AQ76" i="1" l="1"/>
  <c r="AN73" i="113"/>
  <c r="AQ48" i="1"/>
  <c r="AS72" i="1"/>
  <c r="AO72" i="113" s="1"/>
  <c r="AS65" i="1"/>
  <c r="AS45" i="1"/>
  <c r="AO45" i="113" s="1"/>
  <c r="AS35" i="1"/>
  <c r="AO35" i="113" s="1"/>
  <c r="AS28" i="1"/>
  <c r="AO18" i="113"/>
  <c r="AS17" i="1"/>
  <c r="AS73" i="1" l="1"/>
  <c r="AO65" i="113"/>
  <c r="AQ80" i="1"/>
  <c r="AN76" i="113"/>
  <c r="AN48" i="113"/>
  <c r="AQ51" i="1"/>
  <c r="AS46" i="1"/>
  <c r="AO46" i="113" s="1"/>
  <c r="AO28" i="113"/>
  <c r="AS19" i="1"/>
  <c r="AO17" i="113"/>
  <c r="C45" i="82" l="1"/>
  <c r="H49" i="99"/>
  <c r="K49" i="99" s="1"/>
  <c r="AN80" i="113"/>
  <c r="E49" i="3"/>
  <c r="F46" i="48" s="1"/>
  <c r="G46" i="48" s="1"/>
  <c r="AN51" i="113"/>
  <c r="AS76" i="1"/>
  <c r="AO73" i="113"/>
  <c r="AS48" i="1"/>
  <c r="AO19" i="113"/>
  <c r="AS80" i="1" l="1"/>
  <c r="AO76" i="113"/>
  <c r="AO48" i="113"/>
  <c r="AS51" i="1"/>
  <c r="AP72" i="113"/>
  <c r="AP45" i="113"/>
  <c r="AP35" i="113"/>
  <c r="AP18" i="113"/>
  <c r="AP19" i="113" l="1"/>
  <c r="AP17" i="113"/>
  <c r="AP23" i="113"/>
  <c r="AO80" i="113"/>
  <c r="AP65" i="113"/>
  <c r="AO51" i="113"/>
  <c r="AP73" i="113" l="1"/>
  <c r="AP46" i="113"/>
  <c r="AP28" i="113"/>
  <c r="AP76" i="113" l="1"/>
  <c r="AP80" i="113" l="1"/>
  <c r="AP48" i="113"/>
  <c r="AP51" i="113" l="1"/>
  <c r="B29" i="99" l="1"/>
  <c r="B48" i="99"/>
  <c r="B47" i="99"/>
  <c r="AL17" i="1" l="1"/>
  <c r="AL19" i="1" s="1"/>
  <c r="AL28" i="1"/>
  <c r="AL35" i="1"/>
  <c r="AL45" i="1"/>
  <c r="AL65" i="1"/>
  <c r="AL72" i="1"/>
  <c r="AL73" i="1" l="1"/>
  <c r="AL76" i="1" s="1"/>
  <c r="AL80" i="1" s="1"/>
  <c r="AL46" i="1"/>
  <c r="AL48" i="1" s="1"/>
  <c r="AL51" i="1" l="1"/>
  <c r="C47" i="3" l="1"/>
  <c r="B47" i="3"/>
  <c r="B44" i="48" l="1"/>
  <c r="C42" i="82"/>
  <c r="AO72" i="1"/>
  <c r="AL72" i="113" s="1"/>
  <c r="AO65" i="1"/>
  <c r="AL65" i="113" s="1"/>
  <c r="AO45" i="1"/>
  <c r="AL45" i="113" s="1"/>
  <c r="AO35" i="1"/>
  <c r="AL35" i="113" s="1"/>
  <c r="AO28" i="1"/>
  <c r="AL28" i="113" s="1"/>
  <c r="AO17" i="1"/>
  <c r="AO19" i="1" l="1"/>
  <c r="AL19" i="113" s="1"/>
  <c r="AL17" i="113"/>
  <c r="AO73" i="1"/>
  <c r="AO46" i="1"/>
  <c r="AO76" i="1" l="1"/>
  <c r="AL73" i="113"/>
  <c r="AO48" i="1"/>
  <c r="AL46" i="113"/>
  <c r="AO51" i="1" l="1"/>
  <c r="AL51" i="113" s="1"/>
  <c r="AL48" i="113"/>
  <c r="AO80" i="1"/>
  <c r="AL76" i="113"/>
  <c r="C48" i="3"/>
  <c r="B48" i="3"/>
  <c r="C28" i="3"/>
  <c r="B28" i="3"/>
  <c r="W7" i="113"/>
  <c r="W8" i="113"/>
  <c r="W9" i="113"/>
  <c r="W11" i="113"/>
  <c r="W14" i="113"/>
  <c r="W15" i="113"/>
  <c r="W16" i="113"/>
  <c r="W18" i="113"/>
  <c r="W23" i="113"/>
  <c r="W24" i="113"/>
  <c r="W25" i="113"/>
  <c r="W26" i="113"/>
  <c r="W27" i="113"/>
  <c r="W31" i="113"/>
  <c r="W32" i="113"/>
  <c r="W33" i="113"/>
  <c r="W34" i="113"/>
  <c r="W37" i="113"/>
  <c r="W38" i="113"/>
  <c r="W39" i="113"/>
  <c r="W42" i="113"/>
  <c r="W43" i="113"/>
  <c r="W44" i="113"/>
  <c r="W50" i="113"/>
  <c r="W53" i="113"/>
  <c r="W54" i="113"/>
  <c r="W60" i="113"/>
  <c r="W61" i="113"/>
  <c r="W62" i="113"/>
  <c r="W63" i="113"/>
  <c r="W64" i="113"/>
  <c r="W67" i="113"/>
  <c r="W68" i="113"/>
  <c r="W69" i="113"/>
  <c r="W70" i="113"/>
  <c r="W71" i="113"/>
  <c r="W75" i="113"/>
  <c r="W77" i="113"/>
  <c r="W78" i="113"/>
  <c r="W79" i="113"/>
  <c r="W72" i="1"/>
  <c r="W72" i="113" s="1"/>
  <c r="W65" i="1"/>
  <c r="W65" i="113" s="1"/>
  <c r="W45" i="1"/>
  <c r="W45" i="113" s="1"/>
  <c r="W35" i="1"/>
  <c r="W35" i="113" s="1"/>
  <c r="W28" i="1"/>
  <c r="W28" i="113" s="1"/>
  <c r="W17" i="1"/>
  <c r="W17" i="113" s="1"/>
  <c r="AL80" i="113" l="1"/>
  <c r="E47" i="3"/>
  <c r="F44" i="48" s="1"/>
  <c r="G44" i="48" s="1"/>
  <c r="H47" i="99"/>
  <c r="K47" i="99" s="1"/>
  <c r="C43" i="82"/>
  <c r="B45" i="48"/>
  <c r="W19" i="1"/>
  <c r="W19" i="113" s="1"/>
  <c r="W73" i="1"/>
  <c r="W46" i="1"/>
  <c r="W46" i="113" s="1"/>
  <c r="AC23" i="113"/>
  <c r="W76" i="1" l="1"/>
  <c r="W73" i="113"/>
  <c r="W48" i="1"/>
  <c r="W48" i="113" s="1"/>
  <c r="W80" i="1" l="1"/>
  <c r="H29" i="99" s="1"/>
  <c r="W76" i="113"/>
  <c r="W51" i="1"/>
  <c r="W51" i="113" s="1"/>
  <c r="K29" i="99" l="1"/>
  <c r="E28" i="3"/>
  <c r="W80" i="113"/>
  <c r="Z3" i="113" l="1"/>
  <c r="L10" i="51" l="1"/>
  <c r="U37" i="1" l="1"/>
  <c r="F324" i="111" l="1"/>
  <c r="F60" i="111" s="1"/>
  <c r="F323"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61" i="111" s="1"/>
  <c r="F358" i="111"/>
  <c r="F359" i="111"/>
  <c r="F360" i="111"/>
  <c r="F361" i="111"/>
  <c r="F362" i="111"/>
  <c r="F363" i="111"/>
  <c r="F364" i="111"/>
  <c r="F365" i="111"/>
  <c r="F366" i="111"/>
  <c r="F367" i="111"/>
  <c r="F368" i="111"/>
  <c r="F369" i="111"/>
  <c r="F370" i="111"/>
  <c r="F62" i="111" s="1"/>
  <c r="F373" i="111"/>
  <c r="F374" i="111"/>
  <c r="F375" i="111"/>
  <c r="F376" i="111"/>
  <c r="F377" i="111"/>
  <c r="F378" i="111"/>
  <c r="F379" i="111"/>
  <c r="F380" i="111"/>
  <c r="F381" i="111"/>
  <c r="F382" i="111"/>
  <c r="F383" i="111"/>
  <c r="F384" i="111"/>
  <c r="F385" i="111"/>
  <c r="F386" i="111"/>
  <c r="F387" i="111"/>
  <c r="F388" i="111"/>
  <c r="F389" i="111"/>
  <c r="F391" i="111"/>
  <c r="F392" i="111"/>
  <c r="F393" i="111"/>
  <c r="F394" i="111"/>
  <c r="F395" i="111"/>
  <c r="F396" i="111"/>
  <c r="F397" i="111"/>
  <c r="F398" i="111"/>
  <c r="F399"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185" i="111"/>
  <c r="F186" i="111"/>
  <c r="F187"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184" i="111"/>
  <c r="G41" i="82" l="1"/>
  <c r="H41" i="82"/>
  <c r="I41" i="82"/>
  <c r="J41" i="82"/>
  <c r="G32" i="82"/>
  <c r="H32" i="82"/>
  <c r="I32" i="82"/>
  <c r="J32" i="82"/>
  <c r="G33" i="82"/>
  <c r="H33" i="82"/>
  <c r="I33" i="82"/>
  <c r="J33" i="82"/>
  <c r="G34" i="82"/>
  <c r="H34" i="82"/>
  <c r="I34" i="82"/>
  <c r="J34" i="82"/>
  <c r="G35" i="82"/>
  <c r="H35" i="82"/>
  <c r="I35" i="82"/>
  <c r="J35" i="82"/>
  <c r="G36" i="82"/>
  <c r="H36" i="82"/>
  <c r="I36" i="82"/>
  <c r="J36" i="82"/>
  <c r="G37" i="82"/>
  <c r="H37" i="82"/>
  <c r="I37" i="82"/>
  <c r="J37" i="82"/>
  <c r="G38" i="82"/>
  <c r="H38" i="82"/>
  <c r="I38" i="82"/>
  <c r="J38" i="82"/>
  <c r="G39" i="82"/>
  <c r="H39" i="82"/>
  <c r="I39" i="82"/>
  <c r="J39" i="82"/>
  <c r="G40" i="82"/>
  <c r="H40" i="82"/>
  <c r="I40" i="82"/>
  <c r="J40" i="82"/>
  <c r="E30" i="82"/>
  <c r="G30" i="82"/>
  <c r="H30" i="82"/>
  <c r="I30" i="82"/>
  <c r="J30" i="82"/>
  <c r="E28" i="82"/>
  <c r="G28" i="82"/>
  <c r="H28" i="82"/>
  <c r="I28" i="82"/>
  <c r="J28" i="82"/>
  <c r="B42" i="99"/>
  <c r="B32" i="99"/>
  <c r="L39" i="82" l="1"/>
  <c r="L37" i="82"/>
  <c r="L35" i="82"/>
  <c r="L34" i="82"/>
  <c r="L32" i="82"/>
  <c r="L41" i="82"/>
  <c r="L40" i="82"/>
  <c r="L33" i="82"/>
  <c r="L38" i="82"/>
  <c r="L36" i="82"/>
  <c r="L28" i="82"/>
  <c r="L30" i="82"/>
  <c r="AF7" i="113"/>
  <c r="AG7" i="113"/>
  <c r="AF8" i="113"/>
  <c r="AG8" i="113"/>
  <c r="AF9" i="113"/>
  <c r="AG9" i="113"/>
  <c r="AF11" i="113"/>
  <c r="AG11" i="113"/>
  <c r="AF14" i="113"/>
  <c r="AG14" i="113"/>
  <c r="AF15" i="113"/>
  <c r="AG15" i="113"/>
  <c r="AF16" i="113"/>
  <c r="AG16" i="113"/>
  <c r="AF18" i="113"/>
  <c r="AG18" i="113"/>
  <c r="AF23" i="113"/>
  <c r="AG23" i="113"/>
  <c r="AF24" i="113"/>
  <c r="AG24" i="113"/>
  <c r="AF25" i="113"/>
  <c r="AG25" i="113"/>
  <c r="AF26" i="113"/>
  <c r="AG26" i="113"/>
  <c r="AF27" i="113"/>
  <c r="AG27" i="113"/>
  <c r="AF31" i="113"/>
  <c r="AG31" i="113"/>
  <c r="AF32" i="113"/>
  <c r="AG32" i="113"/>
  <c r="AF33" i="113"/>
  <c r="AG33" i="113"/>
  <c r="AF34" i="113"/>
  <c r="AG34" i="113"/>
  <c r="AF37" i="113"/>
  <c r="AG37" i="113"/>
  <c r="AF38" i="113"/>
  <c r="AG38" i="113"/>
  <c r="AF39" i="113"/>
  <c r="AG39" i="113"/>
  <c r="AF42" i="113"/>
  <c r="AG42" i="113"/>
  <c r="AF43" i="113"/>
  <c r="AG43" i="113"/>
  <c r="AF44" i="113"/>
  <c r="AG44" i="113"/>
  <c r="AF50" i="113"/>
  <c r="AG50" i="113"/>
  <c r="AF53" i="113"/>
  <c r="AG53" i="113"/>
  <c r="AF54" i="113"/>
  <c r="AG54" i="113"/>
  <c r="AF60" i="113"/>
  <c r="AG60" i="113"/>
  <c r="AF61" i="113"/>
  <c r="AG61" i="113"/>
  <c r="AF62" i="113"/>
  <c r="AG62" i="113"/>
  <c r="AF63" i="113"/>
  <c r="AG63" i="113"/>
  <c r="AF64" i="113"/>
  <c r="AG64" i="113"/>
  <c r="AF67" i="113"/>
  <c r="AG67" i="113"/>
  <c r="AF68" i="113"/>
  <c r="AG68" i="113"/>
  <c r="AF69" i="113"/>
  <c r="AG69" i="113"/>
  <c r="AF70" i="113"/>
  <c r="AG70" i="113"/>
  <c r="AF71" i="113"/>
  <c r="AG71" i="113"/>
  <c r="AF75" i="113"/>
  <c r="AG75" i="113"/>
  <c r="AF77" i="113"/>
  <c r="AG77" i="113"/>
  <c r="AF78" i="113"/>
  <c r="AG78" i="113"/>
  <c r="AF79" i="113"/>
  <c r="AG79" i="113"/>
  <c r="Z7" i="113"/>
  <c r="Z8" i="113"/>
  <c r="Z9" i="113"/>
  <c r="Z11" i="113"/>
  <c r="Z14" i="113"/>
  <c r="Z15" i="113"/>
  <c r="Z16" i="113"/>
  <c r="Z18" i="113"/>
  <c r="Z25" i="113"/>
  <c r="Z26" i="113"/>
  <c r="Z27" i="113"/>
  <c r="Z31" i="113"/>
  <c r="Z32" i="113"/>
  <c r="Z33" i="113"/>
  <c r="Z34" i="113"/>
  <c r="Z37" i="113"/>
  <c r="Z38" i="113"/>
  <c r="Z39" i="113"/>
  <c r="Z42" i="113"/>
  <c r="Z43" i="113"/>
  <c r="Z44" i="113"/>
  <c r="Z50" i="113"/>
  <c r="Z53" i="113"/>
  <c r="Z54" i="113"/>
  <c r="Z60" i="113"/>
  <c r="Z61" i="113"/>
  <c r="Z62" i="113"/>
  <c r="Z63" i="113"/>
  <c r="Z64" i="113"/>
  <c r="Z67" i="113"/>
  <c r="Z68" i="113"/>
  <c r="Z69" i="113"/>
  <c r="Z70" i="113"/>
  <c r="Z71" i="113"/>
  <c r="Z75" i="113"/>
  <c r="Z77" i="113"/>
  <c r="Z78" i="113"/>
  <c r="Z79" i="113"/>
  <c r="X7" i="113"/>
  <c r="X8" i="113"/>
  <c r="X9" i="113"/>
  <c r="X11" i="113"/>
  <c r="X14" i="113"/>
  <c r="X15" i="113"/>
  <c r="X16" i="113"/>
  <c r="X18" i="113"/>
  <c r="X23" i="113"/>
  <c r="X24" i="113"/>
  <c r="X25" i="113"/>
  <c r="X26" i="113"/>
  <c r="X27" i="113"/>
  <c r="X31" i="113"/>
  <c r="X32" i="113"/>
  <c r="X33" i="113"/>
  <c r="X34" i="113"/>
  <c r="X37" i="113"/>
  <c r="X38" i="113"/>
  <c r="X39" i="113"/>
  <c r="X42" i="113"/>
  <c r="X43" i="113"/>
  <c r="X44" i="113"/>
  <c r="X50" i="113"/>
  <c r="X53" i="113"/>
  <c r="X54" i="113"/>
  <c r="X60" i="113"/>
  <c r="X61" i="113"/>
  <c r="X62" i="113"/>
  <c r="X63" i="113"/>
  <c r="X64" i="113"/>
  <c r="X67" i="113"/>
  <c r="X68" i="113"/>
  <c r="X69" i="113"/>
  <c r="X70" i="113"/>
  <c r="X71" i="113"/>
  <c r="X75" i="113"/>
  <c r="X77" i="113"/>
  <c r="X78" i="113"/>
  <c r="X79" i="113"/>
  <c r="C42" i="3" l="1"/>
  <c r="B42" i="3"/>
  <c r="C31" i="3"/>
  <c r="B31" i="3"/>
  <c r="Z24" i="113"/>
  <c r="Z23" i="113"/>
  <c r="A3" i="111"/>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3" i="111"/>
  <c r="J33" i="111"/>
  <c r="I33" i="111" s="1"/>
  <c r="G34" i="111"/>
  <c r="J34" i="111"/>
  <c r="I34" i="111" s="1"/>
  <c r="G37" i="111"/>
  <c r="J37" i="111"/>
  <c r="I37" i="111" s="1"/>
  <c r="G38" i="111"/>
  <c r="J38" i="111"/>
  <c r="I38" i="111" s="1"/>
  <c r="G39" i="111"/>
  <c r="J39" i="111"/>
  <c r="I39" i="111" s="1"/>
  <c r="G42" i="111"/>
  <c r="J42" i="111"/>
  <c r="I42" i="111" s="1"/>
  <c r="G43" i="111"/>
  <c r="J43" i="111"/>
  <c r="I43" i="111" s="1"/>
  <c r="E44" i="111"/>
  <c r="H44" i="111" s="1"/>
  <c r="J44" i="111"/>
  <c r="I44" i="111" s="1"/>
  <c r="G51" i="111"/>
  <c r="J51" i="111"/>
  <c r="I51" i="111" s="1"/>
  <c r="G53" i="111"/>
  <c r="J53" i="111"/>
  <c r="I53" i="111" s="1"/>
  <c r="G54" i="111"/>
  <c r="J54" i="111"/>
  <c r="I54" i="111" s="1"/>
  <c r="G60" i="111"/>
  <c r="J60" i="111"/>
  <c r="I60" i="111" s="1"/>
  <c r="G61" i="111"/>
  <c r="J61" i="111"/>
  <c r="I61" i="111" s="1"/>
  <c r="G62" i="111"/>
  <c r="J62" i="111"/>
  <c r="I62" i="111" s="1"/>
  <c r="G63" i="111"/>
  <c r="J63" i="111"/>
  <c r="I63" i="111" s="1"/>
  <c r="G64" i="111"/>
  <c r="J64" i="111"/>
  <c r="I64" i="111" s="1"/>
  <c r="H66" i="111"/>
  <c r="J66" i="111"/>
  <c r="I66" i="111" s="1"/>
  <c r="G67" i="111"/>
  <c r="G68" i="111"/>
  <c r="G69" i="111"/>
  <c r="G70" i="111"/>
  <c r="G71" i="111"/>
  <c r="G75" i="111"/>
  <c r="J75" i="111"/>
  <c r="I75" i="111" s="1"/>
  <c r="G78" i="111"/>
  <c r="G77" i="111" s="1"/>
  <c r="F85" i="111"/>
  <c r="F86" i="111"/>
  <c r="F87" i="111"/>
  <c r="F88" i="111"/>
  <c r="F89" i="111"/>
  <c r="F15" i="111" s="1"/>
  <c r="F90" i="111"/>
  <c r="F91" i="111"/>
  <c r="F92" i="111"/>
  <c r="F93" i="111"/>
  <c r="F16" i="111" s="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24" i="111" s="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27" i="111"/>
  <c r="F224" i="111"/>
  <c r="F225" i="111"/>
  <c r="F226" i="111"/>
  <c r="F237" i="111"/>
  <c r="F238" i="111"/>
  <c r="F250" i="111"/>
  <c r="F253" i="111"/>
  <c r="F34" i="111" s="1"/>
  <c r="F255" i="111"/>
  <c r="F257" i="111"/>
  <c r="F258" i="111"/>
  <c r="F259" i="111"/>
  <c r="F260" i="111"/>
  <c r="F261" i="111"/>
  <c r="F262" i="111"/>
  <c r="F263" i="111"/>
  <c r="F264" i="111"/>
  <c r="F265" i="111"/>
  <c r="F37" i="111" s="1"/>
  <c r="F266" i="111"/>
  <c r="F267" i="111"/>
  <c r="F268" i="111"/>
  <c r="F269" i="111"/>
  <c r="F270" i="111"/>
  <c r="F271" i="111"/>
  <c r="F38" i="111" s="1"/>
  <c r="F272" i="111"/>
  <c r="F273" i="111"/>
  <c r="F274" i="111"/>
  <c r="F275" i="111"/>
  <c r="F276" i="111"/>
  <c r="F277" i="111"/>
  <c r="F39" i="111" s="1"/>
  <c r="F278" i="111"/>
  <c r="F279" i="111"/>
  <c r="F280" i="111"/>
  <c r="F281" i="111"/>
  <c r="F282" i="111"/>
  <c r="F283" i="111"/>
  <c r="F284" i="111"/>
  <c r="F285" i="111"/>
  <c r="F286" i="111"/>
  <c r="F287" i="111"/>
  <c r="F288" i="111"/>
  <c r="F289" i="111"/>
  <c r="F290" i="111"/>
  <c r="F291" i="111"/>
  <c r="F292" i="111"/>
  <c r="F42" i="111" s="1"/>
  <c r="F293" i="111"/>
  <c r="F294" i="111"/>
  <c r="F295" i="111"/>
  <c r="F296" i="111"/>
  <c r="F297" i="111"/>
  <c r="F298" i="111"/>
  <c r="F299" i="111"/>
  <c r="F300" i="111"/>
  <c r="F43" i="111" s="1"/>
  <c r="Q297" i="111"/>
  <c r="F301" i="111"/>
  <c r="F302" i="111"/>
  <c r="F303" i="111"/>
  <c r="F304" i="111"/>
  <c r="F305" i="111"/>
  <c r="F306" i="111"/>
  <c r="F307" i="111"/>
  <c r="F308" i="111"/>
  <c r="F51" i="111" s="1"/>
  <c r="F309" i="111"/>
  <c r="F53" i="111" s="1"/>
  <c r="F310" i="111"/>
  <c r="F54" i="111" s="1"/>
  <c r="F311" i="111"/>
  <c r="F312" i="111"/>
  <c r="F313" i="111"/>
  <c r="F314" i="111"/>
  <c r="F315" i="111"/>
  <c r="F316" i="111"/>
  <c r="F317" i="111"/>
  <c r="F318" i="111"/>
  <c r="F319" i="111"/>
  <c r="F320" i="111"/>
  <c r="F321" i="111"/>
  <c r="F322" i="111"/>
  <c r="F63" i="111"/>
  <c r="F64" i="111"/>
  <c r="F69" i="111"/>
  <c r="F70" i="111"/>
  <c r="F75" i="111"/>
  <c r="F78" i="111"/>
  <c r="F77" i="111" s="1"/>
  <c r="C30" i="82" l="1"/>
  <c r="B32" i="48"/>
  <c r="B39" i="48"/>
  <c r="C37" i="82"/>
  <c r="F18" i="111"/>
  <c r="E64" i="111"/>
  <c r="H64" i="111" s="1"/>
  <c r="E61" i="111"/>
  <c r="H61" i="111" s="1"/>
  <c r="J17" i="111"/>
  <c r="J19" i="111" s="1"/>
  <c r="E51" i="111"/>
  <c r="H51" i="111" s="1"/>
  <c r="E39" i="111"/>
  <c r="H39" i="111" s="1"/>
  <c r="E37" i="111"/>
  <c r="H37" i="111" s="1"/>
  <c r="E62" i="111"/>
  <c r="H62" i="111" s="1"/>
  <c r="G35" i="111"/>
  <c r="E34" i="111"/>
  <c r="H34" i="111" s="1"/>
  <c r="J65" i="111"/>
  <c r="J80" i="111" s="1"/>
  <c r="I80" i="111" s="1"/>
  <c r="E42" i="111"/>
  <c r="H42" i="111" s="1"/>
  <c r="E16" i="111"/>
  <c r="H16" i="111" s="1"/>
  <c r="J35" i="111"/>
  <c r="I35" i="111"/>
  <c r="G45" i="111"/>
  <c r="E54" i="111"/>
  <c r="H54" i="111" s="1"/>
  <c r="E38" i="111"/>
  <c r="H38" i="111" s="1"/>
  <c r="F25" i="111"/>
  <c r="E25" i="111" s="1"/>
  <c r="H25" i="111" s="1"/>
  <c r="G65" i="111"/>
  <c r="E75" i="111"/>
  <c r="H75" i="111" s="1"/>
  <c r="E63" i="111"/>
  <c r="H63" i="111" s="1"/>
  <c r="I17" i="111"/>
  <c r="I19" i="111" s="1"/>
  <c r="G17" i="111"/>
  <c r="G19" i="111" s="1"/>
  <c r="F26" i="111"/>
  <c r="E26" i="111" s="1"/>
  <c r="F67" i="111"/>
  <c r="E67" i="111" s="1"/>
  <c r="F71" i="111"/>
  <c r="E71" i="111" s="1"/>
  <c r="F68" i="111"/>
  <c r="E68" i="111" s="1"/>
  <c r="E53" i="111"/>
  <c r="H53" i="111" s="1"/>
  <c r="E27" i="111"/>
  <c r="H27" i="111" s="1"/>
  <c r="E70" i="111"/>
  <c r="F14" i="111"/>
  <c r="F17" i="111" s="1"/>
  <c r="G72" i="111"/>
  <c r="E69" i="111"/>
  <c r="E24" i="111"/>
  <c r="H24" i="111" s="1"/>
  <c r="E15" i="111"/>
  <c r="H15" i="111" s="1"/>
  <c r="J45" i="111"/>
  <c r="J28" i="111"/>
  <c r="G28" i="111"/>
  <c r="F23" i="111"/>
  <c r="E23" i="111" s="1"/>
  <c r="E18" i="111"/>
  <c r="H18" i="111" s="1"/>
  <c r="E60" i="111"/>
  <c r="F65" i="111"/>
  <c r="E43" i="111"/>
  <c r="H43" i="111" s="1"/>
  <c r="F45" i="111"/>
  <c r="I65" i="111"/>
  <c r="E78" i="111"/>
  <c r="E77" i="111"/>
  <c r="I45" i="111"/>
  <c r="I27" i="111"/>
  <c r="I28" i="111" s="1"/>
  <c r="G46" i="111" l="1"/>
  <c r="G48" i="111" s="1"/>
  <c r="G56" i="111" s="1"/>
  <c r="E72" i="111"/>
  <c r="G73" i="111"/>
  <c r="G76" i="111" s="1"/>
  <c r="G80" i="111" s="1"/>
  <c r="F19" i="111"/>
  <c r="E14" i="111"/>
  <c r="E17" i="111" s="1"/>
  <c r="I46" i="111"/>
  <c r="I48" i="111" s="1"/>
  <c r="I56" i="111" s="1"/>
  <c r="I81" i="111" s="1"/>
  <c r="E45" i="111"/>
  <c r="H45" i="111" s="1"/>
  <c r="F28" i="111"/>
  <c r="F72" i="111"/>
  <c r="F73" i="111" s="1"/>
  <c r="F76" i="111" s="1"/>
  <c r="F80" i="111" s="1"/>
  <c r="J46" i="111"/>
  <c r="J48" i="111" s="1"/>
  <c r="J56" i="111" s="1"/>
  <c r="J81" i="111" s="1"/>
  <c r="H23" i="111"/>
  <c r="E28" i="111"/>
  <c r="E65" i="111"/>
  <c r="H60" i="111"/>
  <c r="H14" i="111" l="1"/>
  <c r="H28" i="111"/>
  <c r="H17" i="111"/>
  <c r="E19" i="111"/>
  <c r="H65" i="111"/>
  <c r="E73" i="111"/>
  <c r="E76" i="111" s="1"/>
  <c r="E80" i="111" s="1"/>
  <c r="H80" i="111" s="1"/>
  <c r="H19" i="111" l="1"/>
  <c r="AF10" i="1" l="1"/>
  <c r="AJ72" i="1"/>
  <c r="AG72" i="113" s="1"/>
  <c r="AJ65" i="1"/>
  <c r="AG65" i="113" s="1"/>
  <c r="AJ45" i="1"/>
  <c r="AG45" i="113" s="1"/>
  <c r="AJ35" i="1"/>
  <c r="AG35" i="113" s="1"/>
  <c r="AJ28" i="1"/>
  <c r="AG28" i="113" s="1"/>
  <c r="AJ17" i="1"/>
  <c r="Z72" i="113"/>
  <c r="Z65" i="113"/>
  <c r="Z45" i="113"/>
  <c r="Z35" i="113"/>
  <c r="Z28" i="113"/>
  <c r="Z17" i="113"/>
  <c r="A2" i="114"/>
  <c r="AG10" i="1" l="1"/>
  <c r="AH10" i="1" s="1"/>
  <c r="AI10" i="1" s="1"/>
  <c r="AJ19" i="1"/>
  <c r="AG19" i="113" s="1"/>
  <c r="AG17" i="113"/>
  <c r="AJ73" i="1"/>
  <c r="AJ46" i="1"/>
  <c r="Z19" i="113"/>
  <c r="Z46" i="113"/>
  <c r="AJ48" i="1" l="1"/>
  <c r="AG46" i="113"/>
  <c r="AJ10" i="1"/>
  <c r="A42" i="99" s="1"/>
  <c r="AF10" i="113"/>
  <c r="AJ76" i="1"/>
  <c r="AG73" i="113"/>
  <c r="Z73" i="113"/>
  <c r="Z51" i="113" l="1"/>
  <c r="Z48" i="113"/>
  <c r="AJ80" i="1"/>
  <c r="H42" i="99" s="1"/>
  <c r="K42" i="99" s="1"/>
  <c r="AG76" i="113"/>
  <c r="AJ51" i="1"/>
  <c r="AG51" i="113" s="1"/>
  <c r="AG48" i="113"/>
  <c r="H32" i="99"/>
  <c r="K32" i="99" s="1"/>
  <c r="Z76" i="113"/>
  <c r="AK10" i="1"/>
  <c r="AG10" i="113"/>
  <c r="A42" i="3"/>
  <c r="AL10" i="1" l="1"/>
  <c r="AM10" i="1" s="1"/>
  <c r="AN10" i="1" s="1"/>
  <c r="AO10" i="1" s="1"/>
  <c r="AL10" i="113" s="1"/>
  <c r="A39" i="48"/>
  <c r="B37" i="82"/>
  <c r="AG80" i="113"/>
  <c r="E42" i="3"/>
  <c r="F39" i="48" s="1"/>
  <c r="G39" i="48" s="1"/>
  <c r="Z80" i="113"/>
  <c r="E31" i="3"/>
  <c r="F32" i="48" s="1"/>
  <c r="G32" i="48" s="1"/>
  <c r="A47" i="99" l="1"/>
  <c r="AP10" i="1"/>
  <c r="A47" i="3"/>
  <c r="A48" i="99" l="1"/>
  <c r="AM10" i="113"/>
  <c r="AQ10" i="1"/>
  <c r="B42" i="82"/>
  <c r="A44" i="48"/>
  <c r="A48" i="3"/>
  <c r="F18" i="51"/>
  <c r="F22" i="51"/>
  <c r="F12" i="51"/>
  <c r="F16" i="51" s="1"/>
  <c r="H17" i="114"/>
  <c r="H19" i="114"/>
  <c r="H29" i="114"/>
  <c r="H66" i="114"/>
  <c r="H73" i="114"/>
  <c r="AN10" i="113" l="1"/>
  <c r="A49" i="3"/>
  <c r="A49" i="99"/>
  <c r="B43" i="82"/>
  <c r="A45" i="48"/>
  <c r="F20" i="51"/>
  <c r="F24" i="51" s="1"/>
  <c r="H74" i="114"/>
  <c r="H77" i="114" s="1"/>
  <c r="H81" i="114" s="1"/>
  <c r="B44" i="82" l="1"/>
  <c r="A46" i="48"/>
  <c r="F32" i="51"/>
  <c r="I73" i="114"/>
  <c r="I66" i="114"/>
  <c r="I29" i="114"/>
  <c r="A5" i="114"/>
  <c r="A4" i="114"/>
  <c r="A1" i="114"/>
  <c r="B45" i="82" l="1"/>
  <c r="I74" i="114"/>
  <c r="I77" i="114" s="1"/>
  <c r="I81" i="114" s="1"/>
  <c r="E33" i="50" l="1"/>
  <c r="A33" i="113"/>
  <c r="C33" i="113"/>
  <c r="E33" i="113"/>
  <c r="F33" i="113"/>
  <c r="G33" i="113"/>
  <c r="H33" i="113"/>
  <c r="I33" i="113"/>
  <c r="J33" i="113"/>
  <c r="K33" i="113"/>
  <c r="L33" i="113"/>
  <c r="M33" i="113"/>
  <c r="N33" i="113"/>
  <c r="O33" i="113"/>
  <c r="P33" i="113"/>
  <c r="Q33" i="113"/>
  <c r="R33" i="113"/>
  <c r="S33" i="113"/>
  <c r="T33" i="113"/>
  <c r="U33" i="113"/>
  <c r="V33" i="113"/>
  <c r="Y33" i="113"/>
  <c r="AE33" i="113"/>
  <c r="AA33" i="113"/>
  <c r="AB33" i="113"/>
  <c r="AC33" i="113"/>
  <c r="AD33" i="113"/>
  <c r="AI33" i="113"/>
  <c r="AH33" i="113"/>
  <c r="AJ33" i="113"/>
  <c r="AK33" i="113"/>
  <c r="AC33" i="1"/>
  <c r="AR33" i="1" l="1"/>
  <c r="AT33" i="1" l="1"/>
  <c r="G33" i="50" l="1"/>
  <c r="E34" i="114" l="1"/>
  <c r="G34" i="114" l="1"/>
  <c r="J34" i="114" s="1"/>
  <c r="F33" i="50"/>
  <c r="I33" i="50"/>
  <c r="F34" i="114" l="1"/>
  <c r="AP72" i="1"/>
  <c r="AM72" i="113" s="1"/>
  <c r="AP65" i="1"/>
  <c r="AM65" i="113" s="1"/>
  <c r="AP45" i="1"/>
  <c r="AM45" i="113" s="1"/>
  <c r="AP35" i="1"/>
  <c r="AM35" i="113" s="1"/>
  <c r="AP28" i="1"/>
  <c r="AM28" i="113" s="1"/>
  <c r="AP17" i="1"/>
  <c r="AM17" i="113" s="1"/>
  <c r="AP19" i="1" l="1"/>
  <c r="AM19" i="113" s="1"/>
  <c r="AP73" i="1"/>
  <c r="AM73" i="113" s="1"/>
  <c r="AP46" i="1"/>
  <c r="AM46" i="113" s="1"/>
  <c r="AP76" i="1" l="1"/>
  <c r="AM76" i="113" s="1"/>
  <c r="AP48" i="1"/>
  <c r="AM48" i="113" s="1"/>
  <c r="AP80" i="1" l="1"/>
  <c r="AM80" i="113" s="1"/>
  <c r="AP51" i="1"/>
  <c r="AM51" i="113" s="1"/>
  <c r="H48" i="99" l="1"/>
  <c r="K48" i="99" s="1"/>
  <c r="E48" i="3"/>
  <c r="F45" i="48" s="1"/>
  <c r="G45" i="48" s="1"/>
  <c r="B45" i="99"/>
  <c r="AH16" i="113" l="1"/>
  <c r="AA7" i="113"/>
  <c r="AB7" i="113"/>
  <c r="AC7" i="113"/>
  <c r="AD7" i="113"/>
  <c r="AI7" i="113"/>
  <c r="AH7" i="113"/>
  <c r="AJ7" i="113"/>
  <c r="AK7" i="113"/>
  <c r="AA8" i="113"/>
  <c r="AB8" i="113"/>
  <c r="AC8" i="113"/>
  <c r="AD8" i="113"/>
  <c r="AI8" i="113"/>
  <c r="AH8" i="113"/>
  <c r="AJ8" i="113"/>
  <c r="AK8" i="113"/>
  <c r="AA9" i="113"/>
  <c r="AB9" i="113"/>
  <c r="AC9" i="113"/>
  <c r="AD9" i="113"/>
  <c r="AI9" i="113"/>
  <c r="AH9" i="113"/>
  <c r="AJ9" i="113"/>
  <c r="AK9" i="113"/>
  <c r="AA11" i="113"/>
  <c r="AB11" i="113"/>
  <c r="AC11" i="113"/>
  <c r="AD11" i="113"/>
  <c r="AI11" i="113"/>
  <c r="AH11" i="113"/>
  <c r="AJ11" i="113"/>
  <c r="AK11" i="113"/>
  <c r="AA14" i="113"/>
  <c r="AB14" i="113"/>
  <c r="AC14" i="113"/>
  <c r="AD14" i="113"/>
  <c r="AI14" i="113"/>
  <c r="AH14" i="113"/>
  <c r="AJ14" i="113"/>
  <c r="AK14" i="113"/>
  <c r="AA15" i="113"/>
  <c r="AB15" i="113"/>
  <c r="AC15" i="113"/>
  <c r="AD15" i="113"/>
  <c r="AI15" i="113"/>
  <c r="AH15" i="113"/>
  <c r="AJ15" i="113"/>
  <c r="AK15" i="113"/>
  <c r="AA16" i="113"/>
  <c r="AB16" i="113"/>
  <c r="AC16" i="113"/>
  <c r="AD16" i="113"/>
  <c r="AI16" i="113"/>
  <c r="AJ16" i="113"/>
  <c r="AK16" i="113"/>
  <c r="AA18" i="113"/>
  <c r="AB18" i="113"/>
  <c r="AC18" i="113"/>
  <c r="AD18" i="113"/>
  <c r="AI18" i="113"/>
  <c r="AH18" i="113"/>
  <c r="AJ18" i="113"/>
  <c r="AK18" i="113"/>
  <c r="AA23" i="113"/>
  <c r="AB23" i="113"/>
  <c r="AD23" i="113"/>
  <c r="AI23" i="113"/>
  <c r="AH23" i="113"/>
  <c r="AJ23" i="113"/>
  <c r="AK23" i="113"/>
  <c r="AA24" i="113"/>
  <c r="AB24" i="113"/>
  <c r="AC24" i="113"/>
  <c r="AD24" i="113"/>
  <c r="AI24" i="113"/>
  <c r="AH24" i="113"/>
  <c r="AJ24" i="113"/>
  <c r="AK24" i="113"/>
  <c r="AA25" i="113"/>
  <c r="AB25" i="113"/>
  <c r="AC25" i="113"/>
  <c r="AD25" i="113"/>
  <c r="AI25" i="113"/>
  <c r="AH25" i="113"/>
  <c r="AJ25" i="113"/>
  <c r="AK25" i="113"/>
  <c r="AA26" i="113"/>
  <c r="AB26" i="113"/>
  <c r="AC26" i="113"/>
  <c r="AD26" i="113"/>
  <c r="AI26" i="113"/>
  <c r="AH26" i="113"/>
  <c r="AJ26" i="113"/>
  <c r="AK26" i="113"/>
  <c r="AA27" i="113"/>
  <c r="AB27" i="113"/>
  <c r="AC27" i="113"/>
  <c r="AD27" i="113"/>
  <c r="AI27" i="113"/>
  <c r="AH27" i="113"/>
  <c r="AJ27" i="113"/>
  <c r="AK27" i="113"/>
  <c r="AA31" i="113"/>
  <c r="AB31" i="113"/>
  <c r="AC31" i="113"/>
  <c r="AD31" i="113"/>
  <c r="AI31" i="113"/>
  <c r="AH31" i="113"/>
  <c r="AJ31" i="113"/>
  <c r="AK31" i="113"/>
  <c r="AA32" i="113"/>
  <c r="AB32" i="113"/>
  <c r="AC32" i="113"/>
  <c r="AD32" i="113"/>
  <c r="AI32" i="113"/>
  <c r="AH32" i="113"/>
  <c r="AJ32" i="113"/>
  <c r="AK32" i="113"/>
  <c r="AA34" i="113"/>
  <c r="AB34" i="113"/>
  <c r="AC34" i="113"/>
  <c r="AD34" i="113"/>
  <c r="AI34" i="113"/>
  <c r="AJ34" i="113"/>
  <c r="AK34" i="113"/>
  <c r="AA37" i="113"/>
  <c r="AB37" i="113"/>
  <c r="AC37" i="113"/>
  <c r="AD37" i="113"/>
  <c r="AI37" i="113"/>
  <c r="AJ37" i="113"/>
  <c r="AK37" i="113"/>
  <c r="AA38" i="113"/>
  <c r="AB38" i="113"/>
  <c r="AC38" i="113"/>
  <c r="AD38" i="113"/>
  <c r="AI38" i="113"/>
  <c r="AH38" i="113"/>
  <c r="AJ38" i="113"/>
  <c r="AK38" i="113"/>
  <c r="AA39" i="113"/>
  <c r="AC39" i="113"/>
  <c r="AD39" i="113"/>
  <c r="AI39" i="113"/>
  <c r="AH39" i="113"/>
  <c r="AJ39" i="113"/>
  <c r="AK39" i="113"/>
  <c r="AA42" i="113"/>
  <c r="AB42" i="113"/>
  <c r="AC42" i="113"/>
  <c r="AD42" i="113"/>
  <c r="AI42" i="113"/>
  <c r="AJ42" i="113"/>
  <c r="AK42" i="113"/>
  <c r="AA43" i="113"/>
  <c r="AB43" i="113"/>
  <c r="AC43" i="113"/>
  <c r="AD43" i="113"/>
  <c r="AI43" i="113"/>
  <c r="AH43" i="113"/>
  <c r="AJ43" i="113"/>
  <c r="AK43" i="113"/>
  <c r="AA44" i="113"/>
  <c r="AB44" i="113"/>
  <c r="AC44" i="113"/>
  <c r="AD44" i="113"/>
  <c r="AI44" i="113"/>
  <c r="AH44" i="113"/>
  <c r="AJ44" i="113"/>
  <c r="AK44" i="113"/>
  <c r="AA50" i="113"/>
  <c r="AB50" i="113"/>
  <c r="AC50" i="113"/>
  <c r="AD50" i="113"/>
  <c r="AI50" i="113"/>
  <c r="AH50" i="113"/>
  <c r="AJ50" i="113"/>
  <c r="AK50" i="113"/>
  <c r="AA53" i="113"/>
  <c r="AB53" i="113"/>
  <c r="AC53" i="113"/>
  <c r="AD53" i="113"/>
  <c r="AI53" i="113"/>
  <c r="AH53" i="113"/>
  <c r="AJ53" i="113"/>
  <c r="AK53" i="113"/>
  <c r="AA54" i="113"/>
  <c r="AB54" i="113"/>
  <c r="AC54" i="113"/>
  <c r="AD54" i="113"/>
  <c r="AI54" i="113"/>
  <c r="AH54" i="113"/>
  <c r="AJ54" i="113"/>
  <c r="AK54" i="113"/>
  <c r="AA60" i="113"/>
  <c r="AB60" i="113"/>
  <c r="AC60" i="113"/>
  <c r="AD60" i="113"/>
  <c r="AI60" i="113"/>
  <c r="AH60" i="113"/>
  <c r="AJ60" i="113"/>
  <c r="AK60" i="113"/>
  <c r="AA61" i="113"/>
  <c r="AB61" i="113"/>
  <c r="AC61" i="113"/>
  <c r="AD61" i="113"/>
  <c r="AI61" i="113"/>
  <c r="AH61" i="113"/>
  <c r="AJ61" i="113"/>
  <c r="AK61" i="113"/>
  <c r="AA62" i="113"/>
  <c r="AB62" i="113"/>
  <c r="AC62" i="113"/>
  <c r="AD62" i="113"/>
  <c r="AI62" i="113"/>
  <c r="AH62" i="113"/>
  <c r="AJ62" i="113"/>
  <c r="AK62" i="113"/>
  <c r="AA63" i="113"/>
  <c r="AB63" i="113"/>
  <c r="AC63" i="113"/>
  <c r="AD63" i="113"/>
  <c r="AI63" i="113"/>
  <c r="AH63" i="113"/>
  <c r="AJ63" i="113"/>
  <c r="AK63" i="113"/>
  <c r="AA64" i="113"/>
  <c r="AB64" i="113"/>
  <c r="AC64" i="113"/>
  <c r="AD64" i="113"/>
  <c r="AI64" i="113"/>
  <c r="AH64" i="113"/>
  <c r="AJ64" i="113"/>
  <c r="AK64" i="113"/>
  <c r="AA67" i="113"/>
  <c r="AB67" i="113"/>
  <c r="AC67" i="113"/>
  <c r="AD67" i="113"/>
  <c r="AI67" i="113"/>
  <c r="AH67" i="113"/>
  <c r="AJ67" i="113"/>
  <c r="AK67" i="113"/>
  <c r="AA68" i="113"/>
  <c r="AB68" i="113"/>
  <c r="AC68" i="113"/>
  <c r="AD68" i="113"/>
  <c r="AI68" i="113"/>
  <c r="AH68" i="113"/>
  <c r="AJ68" i="113"/>
  <c r="AK68" i="113"/>
  <c r="AA69" i="113"/>
  <c r="AB69" i="113"/>
  <c r="AC69" i="113"/>
  <c r="AD69" i="113"/>
  <c r="AI69" i="113"/>
  <c r="AH69" i="113"/>
  <c r="AJ69" i="113"/>
  <c r="AK69" i="113"/>
  <c r="AA70" i="113"/>
  <c r="AB70" i="113"/>
  <c r="AC70" i="113"/>
  <c r="AD70" i="113"/>
  <c r="AI70" i="113"/>
  <c r="AH70" i="113"/>
  <c r="AJ70" i="113"/>
  <c r="AK70" i="113"/>
  <c r="AA71" i="113"/>
  <c r="AB71" i="113"/>
  <c r="AC71" i="113"/>
  <c r="AD71" i="113"/>
  <c r="AI71" i="113"/>
  <c r="AH71" i="113"/>
  <c r="AJ71" i="113"/>
  <c r="AK71" i="113"/>
  <c r="AA75" i="113"/>
  <c r="AB75" i="113"/>
  <c r="AC75" i="113"/>
  <c r="AD75" i="113"/>
  <c r="AI75" i="113"/>
  <c r="AH75" i="113"/>
  <c r="AJ75" i="113"/>
  <c r="AK75" i="113"/>
  <c r="AA77" i="113"/>
  <c r="AB77" i="113"/>
  <c r="AC77" i="113"/>
  <c r="AD77" i="113"/>
  <c r="AI77" i="113"/>
  <c r="AH77" i="113"/>
  <c r="AJ77" i="113"/>
  <c r="AK77" i="113"/>
  <c r="AA78" i="113"/>
  <c r="AB78" i="113"/>
  <c r="AC78" i="113"/>
  <c r="AD78" i="113"/>
  <c r="AI78" i="113"/>
  <c r="AH78" i="113"/>
  <c r="AJ78" i="113"/>
  <c r="AK78" i="113"/>
  <c r="AA79" i="113"/>
  <c r="AB79" i="113"/>
  <c r="AC79" i="113"/>
  <c r="AD79" i="113"/>
  <c r="AI79" i="113"/>
  <c r="AH79" i="113"/>
  <c r="AJ79" i="113"/>
  <c r="AK79" i="113"/>
  <c r="U7" i="113"/>
  <c r="V7" i="113"/>
  <c r="Y7" i="113"/>
  <c r="AE7" i="113"/>
  <c r="U8" i="113"/>
  <c r="V8" i="113"/>
  <c r="Y8" i="113"/>
  <c r="AE8" i="113"/>
  <c r="U9" i="113"/>
  <c r="V9" i="113"/>
  <c r="Y9" i="113"/>
  <c r="AE9" i="113"/>
  <c r="U11" i="113"/>
  <c r="V11" i="113"/>
  <c r="Y11" i="113"/>
  <c r="AE11" i="113"/>
  <c r="U14" i="113"/>
  <c r="V14" i="113"/>
  <c r="Y14" i="113"/>
  <c r="AE14" i="113"/>
  <c r="U15" i="113"/>
  <c r="V15" i="113"/>
  <c r="Y15" i="113"/>
  <c r="AE15" i="113"/>
  <c r="U16" i="113"/>
  <c r="V16" i="113"/>
  <c r="Y16" i="113"/>
  <c r="AE16" i="113"/>
  <c r="U18" i="113"/>
  <c r="V18" i="113"/>
  <c r="Y18" i="113"/>
  <c r="AE18" i="113"/>
  <c r="V23" i="113"/>
  <c r="Y23" i="113"/>
  <c r="AE23" i="113"/>
  <c r="U24" i="113"/>
  <c r="V24" i="113"/>
  <c r="Y24" i="113"/>
  <c r="AE24" i="113"/>
  <c r="U25" i="113"/>
  <c r="V25" i="113"/>
  <c r="Y25" i="113"/>
  <c r="AE25" i="113"/>
  <c r="U26" i="113"/>
  <c r="V26" i="113"/>
  <c r="Y26" i="113"/>
  <c r="AE26" i="113"/>
  <c r="U27" i="113"/>
  <c r="V27" i="113"/>
  <c r="Y27" i="113"/>
  <c r="AE27" i="113"/>
  <c r="U31" i="113"/>
  <c r="V31" i="113"/>
  <c r="Y31" i="113"/>
  <c r="AE31" i="113"/>
  <c r="U32" i="113"/>
  <c r="V32" i="113"/>
  <c r="Y32" i="113"/>
  <c r="AE32" i="113"/>
  <c r="V34" i="113"/>
  <c r="Y34" i="113"/>
  <c r="AE34" i="113"/>
  <c r="V37" i="113"/>
  <c r="Y37" i="113"/>
  <c r="AE37" i="113"/>
  <c r="U38" i="113"/>
  <c r="V38" i="113"/>
  <c r="Y38" i="113"/>
  <c r="AE38" i="113"/>
  <c r="U39" i="113"/>
  <c r="V39" i="113"/>
  <c r="Y39" i="113"/>
  <c r="AE39" i="113"/>
  <c r="V42" i="113"/>
  <c r="Y42" i="113"/>
  <c r="AE42" i="113"/>
  <c r="U43" i="113"/>
  <c r="V43" i="113"/>
  <c r="Y43" i="113"/>
  <c r="AE43" i="113"/>
  <c r="U44" i="113"/>
  <c r="V44" i="113"/>
  <c r="Y44" i="113"/>
  <c r="AE44" i="113"/>
  <c r="U50" i="113"/>
  <c r="V50" i="113"/>
  <c r="Y50" i="113"/>
  <c r="AE50" i="113"/>
  <c r="U51" i="113"/>
  <c r="Y52" i="113"/>
  <c r="V53" i="113"/>
  <c r="Y53" i="113"/>
  <c r="AE53" i="113"/>
  <c r="U54" i="113"/>
  <c r="V54" i="113"/>
  <c r="Y54" i="113"/>
  <c r="AE54" i="113"/>
  <c r="U60" i="113"/>
  <c r="V60" i="113"/>
  <c r="Y60" i="113"/>
  <c r="AE60" i="113"/>
  <c r="U61" i="113"/>
  <c r="V61" i="113"/>
  <c r="Y61" i="113"/>
  <c r="AE61" i="113"/>
  <c r="U62" i="113"/>
  <c r="V62" i="113"/>
  <c r="Y62" i="113"/>
  <c r="AE62" i="113"/>
  <c r="U63" i="113"/>
  <c r="V63" i="113"/>
  <c r="Y63" i="113"/>
  <c r="AE63" i="113"/>
  <c r="U64" i="113"/>
  <c r="V64" i="113"/>
  <c r="Y64" i="113"/>
  <c r="AE64" i="113"/>
  <c r="U67" i="113"/>
  <c r="V67" i="113"/>
  <c r="Y67" i="113"/>
  <c r="AE67" i="113"/>
  <c r="U68" i="113"/>
  <c r="V68" i="113"/>
  <c r="Y68" i="113"/>
  <c r="AE68" i="113"/>
  <c r="U69" i="113"/>
  <c r="V69" i="113"/>
  <c r="Y69" i="113"/>
  <c r="AE69" i="113"/>
  <c r="U70" i="113"/>
  <c r="V70" i="113"/>
  <c r="Y70" i="113"/>
  <c r="AE70" i="113"/>
  <c r="U71" i="113"/>
  <c r="V71" i="113"/>
  <c r="Y71" i="113"/>
  <c r="AE71" i="113"/>
  <c r="U75" i="113"/>
  <c r="V75" i="113"/>
  <c r="Y75" i="113"/>
  <c r="AE75" i="113"/>
  <c r="U77" i="113"/>
  <c r="V77" i="113"/>
  <c r="Y77" i="113"/>
  <c r="AE77" i="113"/>
  <c r="U78" i="113"/>
  <c r="V78" i="113"/>
  <c r="Y78" i="113"/>
  <c r="AE78" i="113"/>
  <c r="U79" i="113"/>
  <c r="V79" i="113"/>
  <c r="Y79" i="113"/>
  <c r="AE79" i="113"/>
  <c r="U23" i="113" l="1"/>
  <c r="AN28" i="1"/>
  <c r="AK28" i="113" l="1"/>
  <c r="E18" i="52"/>
  <c r="E20" i="52" s="1"/>
  <c r="L25" i="1"/>
  <c r="B30" i="99" l="1"/>
  <c r="C29" i="3"/>
  <c r="B29" i="3"/>
  <c r="B30" i="48" l="1"/>
  <c r="C28" i="82"/>
  <c r="AM17" i="1"/>
  <c r="AJ17" i="113" s="1"/>
  <c r="AM28" i="1"/>
  <c r="AJ28" i="113" s="1"/>
  <c r="AM35" i="1"/>
  <c r="AJ35" i="113" s="1"/>
  <c r="AM45" i="1"/>
  <c r="AM65" i="1"/>
  <c r="AJ65" i="113" s="1"/>
  <c r="AM72" i="1"/>
  <c r="AJ72" i="113" s="1"/>
  <c r="AJ45" i="113" l="1"/>
  <c r="AM46" i="1"/>
  <c r="AJ46" i="113" s="1"/>
  <c r="AM19" i="1"/>
  <c r="AJ19" i="113" s="1"/>
  <c r="AM73" i="1"/>
  <c r="AJ73" i="113" s="1"/>
  <c r="AM76" i="1" l="1"/>
  <c r="AM48" i="1"/>
  <c r="AJ48" i="113" s="1"/>
  <c r="AJ76" i="113" l="1"/>
  <c r="AM80" i="1"/>
  <c r="AM51" i="1"/>
  <c r="AJ51" i="113" s="1"/>
  <c r="X72" i="1"/>
  <c r="X72" i="113" s="1"/>
  <c r="X65" i="1"/>
  <c r="X65" i="113" s="1"/>
  <c r="X45" i="1"/>
  <c r="X45" i="113" s="1"/>
  <c r="X35" i="1"/>
  <c r="X35" i="113" s="1"/>
  <c r="X28" i="1"/>
  <c r="X28" i="113" s="1"/>
  <c r="X17" i="1"/>
  <c r="X17" i="113" s="1"/>
  <c r="AJ80" i="113" l="1"/>
  <c r="H45" i="99"/>
  <c r="K45" i="99" s="1"/>
  <c r="X19" i="1"/>
  <c r="X19" i="113" s="1"/>
  <c r="X73" i="1"/>
  <c r="X73" i="113" s="1"/>
  <c r="X46" i="1"/>
  <c r="X46" i="113" s="1"/>
  <c r="R44" i="116" l="1"/>
  <c r="X76" i="1"/>
  <c r="X76" i="113" s="1"/>
  <c r="X48" i="1"/>
  <c r="X48" i="113" s="1"/>
  <c r="X51" i="1" l="1"/>
  <c r="X51" i="113" s="1"/>
  <c r="X80" i="1"/>
  <c r="X80" i="113" s="1"/>
  <c r="H30" i="99" l="1"/>
  <c r="K30" i="99" s="1"/>
  <c r="E29" i="3"/>
  <c r="F30" i="48" s="1"/>
  <c r="G30" i="48" s="1"/>
  <c r="AK42" i="1" l="1"/>
  <c r="AH42" i="113" s="1"/>
  <c r="AK37" i="1"/>
  <c r="AH37" i="113" s="1"/>
  <c r="AK34" i="1"/>
  <c r="AH34" i="113" s="1"/>
  <c r="U42" i="1"/>
  <c r="U42" i="113" s="1"/>
  <c r="U37" i="113"/>
  <c r="U34" i="1"/>
  <c r="U34" i="113" s="1"/>
  <c r="S42" i="1"/>
  <c r="S37" i="1"/>
  <c r="R42" i="1"/>
  <c r="R37" i="1"/>
  <c r="S34" i="1" l="1"/>
  <c r="B43" i="99" l="1"/>
  <c r="C43" i="3" l="1"/>
  <c r="B43"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4" i="113"/>
  <c r="T44" i="113"/>
  <c r="S50" i="113"/>
  <c r="T50" i="113"/>
  <c r="S53" i="113"/>
  <c r="T53" i="113"/>
  <c r="S54" i="113"/>
  <c r="T54" i="113"/>
  <c r="S60" i="113"/>
  <c r="T60" i="113"/>
  <c r="S61" i="113"/>
  <c r="T61" i="113"/>
  <c r="S62" i="113"/>
  <c r="T62" i="113"/>
  <c r="S63" i="113"/>
  <c r="T63" i="113"/>
  <c r="S64" i="113"/>
  <c r="T64" i="113"/>
  <c r="S67" i="113"/>
  <c r="T67" i="113"/>
  <c r="S68" i="113"/>
  <c r="T68" i="113"/>
  <c r="S69" i="113"/>
  <c r="T69" i="113"/>
  <c r="S70" i="113"/>
  <c r="T70" i="113"/>
  <c r="S71" i="113"/>
  <c r="T71" i="113"/>
  <c r="S75" i="113"/>
  <c r="T75" i="113"/>
  <c r="S77" i="113"/>
  <c r="T77" i="113"/>
  <c r="S78" i="113"/>
  <c r="T78" i="113"/>
  <c r="S79" i="113"/>
  <c r="T79" i="113"/>
  <c r="AK72" i="1"/>
  <c r="AH72" i="113" s="1"/>
  <c r="AK65" i="1"/>
  <c r="AH65" i="113" s="1"/>
  <c r="AK45" i="1"/>
  <c r="AH45" i="113" s="1"/>
  <c r="AK35" i="1"/>
  <c r="AH35" i="113" s="1"/>
  <c r="AK28" i="1"/>
  <c r="AH28" i="113" s="1"/>
  <c r="B40" i="48" l="1"/>
  <c r="C38" i="82"/>
  <c r="AK73" i="1"/>
  <c r="AH73" i="113" s="1"/>
  <c r="AK46" i="1"/>
  <c r="AH46" i="113" s="1"/>
  <c r="AK76" i="1" l="1"/>
  <c r="AH76" i="113" s="1"/>
  <c r="B25" i="99"/>
  <c r="AK80" i="1" l="1"/>
  <c r="AH80" i="113" s="1"/>
  <c r="J24" i="82"/>
  <c r="I24" i="82"/>
  <c r="H24" i="82"/>
  <c r="G24" i="82"/>
  <c r="E24" i="82"/>
  <c r="C24" i="3"/>
  <c r="B26" i="48" s="1"/>
  <c r="B24" i="3"/>
  <c r="S72" i="1"/>
  <c r="S72" i="113" s="1"/>
  <c r="S65" i="1"/>
  <c r="S65" i="113" s="1"/>
  <c r="S45" i="1"/>
  <c r="S45" i="113" s="1"/>
  <c r="S35" i="1"/>
  <c r="S35" i="113" s="1"/>
  <c r="S28" i="1"/>
  <c r="S17" i="1"/>
  <c r="H43" i="99" l="1"/>
  <c r="K43" i="99" s="1"/>
  <c r="E43" i="3"/>
  <c r="C24" i="82"/>
  <c r="S19" i="1"/>
  <c r="S19" i="113" s="1"/>
  <c r="S17" i="113"/>
  <c r="F24" i="82"/>
  <c r="S28" i="113"/>
  <c r="S73" i="1"/>
  <c r="S46" i="1"/>
  <c r="F82" i="82"/>
  <c r="F80" i="82"/>
  <c r="R9" i="113"/>
  <c r="F40" i="48" l="1"/>
  <c r="G40" i="48" s="1"/>
  <c r="S48" i="1"/>
  <c r="S46" i="113"/>
  <c r="S76" i="1"/>
  <c r="S73" i="113"/>
  <c r="I12" i="82"/>
  <c r="S51" i="1" l="1"/>
  <c r="S51" i="113" s="1"/>
  <c r="S48" i="113"/>
  <c r="S80" i="1"/>
  <c r="S80" i="113" s="1"/>
  <c r="S76" i="113"/>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4" i="113"/>
  <c r="H34" i="113"/>
  <c r="I34" i="113"/>
  <c r="J34" i="113"/>
  <c r="K34" i="113"/>
  <c r="L34" i="113"/>
  <c r="M34" i="113"/>
  <c r="N34" i="113"/>
  <c r="O34" i="113"/>
  <c r="P34" i="113"/>
  <c r="Q34" i="113"/>
  <c r="R34" i="113"/>
  <c r="G37" i="113"/>
  <c r="H37" i="113"/>
  <c r="I37" i="113"/>
  <c r="J37" i="113"/>
  <c r="L37" i="113"/>
  <c r="M37" i="113"/>
  <c r="N37" i="113"/>
  <c r="O37" i="113"/>
  <c r="P37" i="113"/>
  <c r="Q37" i="113"/>
  <c r="R37" i="113"/>
  <c r="G38" i="113"/>
  <c r="H38" i="113"/>
  <c r="I38" i="113"/>
  <c r="J38" i="113"/>
  <c r="K38" i="113"/>
  <c r="L38" i="113"/>
  <c r="M38" i="113"/>
  <c r="N38" i="113"/>
  <c r="O38" i="113"/>
  <c r="P38" i="113"/>
  <c r="Q38" i="113"/>
  <c r="R38" i="113"/>
  <c r="G39" i="113"/>
  <c r="H39" i="113"/>
  <c r="I39" i="113"/>
  <c r="J39" i="113"/>
  <c r="K39" i="113"/>
  <c r="L39" i="113"/>
  <c r="M39" i="113"/>
  <c r="N39" i="113"/>
  <c r="O39" i="113"/>
  <c r="P39" i="113"/>
  <c r="Q39" i="113"/>
  <c r="R39"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4" i="113"/>
  <c r="H44" i="113"/>
  <c r="I44" i="113"/>
  <c r="J44" i="113"/>
  <c r="K44" i="113"/>
  <c r="L44" i="113"/>
  <c r="M44" i="113"/>
  <c r="N44" i="113"/>
  <c r="O44" i="113"/>
  <c r="P44" i="113"/>
  <c r="Q44" i="113"/>
  <c r="R44" i="113"/>
  <c r="G50" i="113"/>
  <c r="H50" i="113"/>
  <c r="I50" i="113"/>
  <c r="J50" i="113"/>
  <c r="K50" i="113"/>
  <c r="L50" i="113"/>
  <c r="M50" i="113"/>
  <c r="N50" i="113"/>
  <c r="O50" i="113"/>
  <c r="P50" i="113"/>
  <c r="Q50" i="113"/>
  <c r="R50" i="113"/>
  <c r="N51" i="113"/>
  <c r="G53" i="113"/>
  <c r="H53" i="113"/>
  <c r="I53" i="113"/>
  <c r="J53" i="113"/>
  <c r="K53" i="113"/>
  <c r="L53" i="113"/>
  <c r="M53" i="113"/>
  <c r="N53" i="113"/>
  <c r="O53" i="113"/>
  <c r="P53" i="113"/>
  <c r="Q53" i="113"/>
  <c r="R53" i="113"/>
  <c r="G54" i="113"/>
  <c r="H54" i="113"/>
  <c r="I54" i="113"/>
  <c r="J54" i="113"/>
  <c r="K54" i="113"/>
  <c r="L54" i="113"/>
  <c r="M54" i="113"/>
  <c r="N54" i="113"/>
  <c r="O54" i="113"/>
  <c r="P54" i="113"/>
  <c r="Q54" i="113"/>
  <c r="R54"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4" i="113"/>
  <c r="H64" i="113"/>
  <c r="I64" i="113"/>
  <c r="J64" i="113"/>
  <c r="K64" i="113"/>
  <c r="L64" i="113"/>
  <c r="M64" i="113"/>
  <c r="N64" i="113"/>
  <c r="O64" i="113"/>
  <c r="P64" i="113"/>
  <c r="Q64" i="113"/>
  <c r="R64"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1" i="113"/>
  <c r="H71" i="113"/>
  <c r="I71" i="113"/>
  <c r="J71" i="113"/>
  <c r="K71" i="113"/>
  <c r="L71" i="113"/>
  <c r="M71" i="113"/>
  <c r="N71" i="113"/>
  <c r="O71" i="113"/>
  <c r="P71" i="113"/>
  <c r="Q71" i="113"/>
  <c r="R71" i="113"/>
  <c r="G75" i="113"/>
  <c r="H75" i="113"/>
  <c r="I75" i="113"/>
  <c r="J75" i="113"/>
  <c r="K75" i="113"/>
  <c r="L75" i="113"/>
  <c r="M75" i="113"/>
  <c r="N75" i="113"/>
  <c r="O75" i="113"/>
  <c r="P75" i="113"/>
  <c r="Q75" i="113"/>
  <c r="R75"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G79" i="113"/>
  <c r="H79" i="113"/>
  <c r="I79" i="113"/>
  <c r="J79" i="113"/>
  <c r="K79" i="113"/>
  <c r="L79" i="113"/>
  <c r="M79" i="113"/>
  <c r="N79" i="113"/>
  <c r="O79" i="113"/>
  <c r="P79" i="113"/>
  <c r="Q79" i="113"/>
  <c r="R79" i="113"/>
  <c r="AB39" i="113"/>
  <c r="J15" i="82" l="1"/>
  <c r="I15" i="82"/>
  <c r="H15" i="82"/>
  <c r="G15" i="82"/>
  <c r="E15" i="82"/>
  <c r="B16" i="99"/>
  <c r="J10" i="1"/>
  <c r="C15" i="3"/>
  <c r="B17" i="48" s="1"/>
  <c r="B15" i="3"/>
  <c r="J72" i="1"/>
  <c r="J72" i="113" s="1"/>
  <c r="J65" i="1"/>
  <c r="J65" i="113" s="1"/>
  <c r="J45" i="1"/>
  <c r="J45" i="113" s="1"/>
  <c r="J35" i="1"/>
  <c r="J35" i="113" s="1"/>
  <c r="J28" i="1"/>
  <c r="J17" i="1"/>
  <c r="C15" i="82" l="1"/>
  <c r="F15" i="82"/>
  <c r="N15" i="82" s="1"/>
  <c r="J28" i="113"/>
  <c r="J19" i="1"/>
  <c r="J19" i="113" s="1"/>
  <c r="J17" i="113"/>
  <c r="A16" i="99"/>
  <c r="J10" i="113"/>
  <c r="J73" i="1"/>
  <c r="J73" i="113" s="1"/>
  <c r="L15" i="82"/>
  <c r="K10" i="1"/>
  <c r="K10" i="113" s="1"/>
  <c r="A15" i="3"/>
  <c r="A17" i="48" s="1"/>
  <c r="J46" i="1"/>
  <c r="J46" i="113" s="1"/>
  <c r="K80" i="82"/>
  <c r="B15" i="82" l="1"/>
  <c r="L10" i="1"/>
  <c r="L10" i="113" s="1"/>
  <c r="J48" i="1"/>
  <c r="J48" i="113" s="1"/>
  <c r="J76" i="1"/>
  <c r="J76" i="113" s="1"/>
  <c r="M10" i="1" l="1"/>
  <c r="M10" i="113" s="1"/>
  <c r="J51" i="1"/>
  <c r="J51" i="113" s="1"/>
  <c r="J80" i="1"/>
  <c r="J80" i="113" s="1"/>
  <c r="G98" i="82"/>
  <c r="G100" i="82" s="1"/>
  <c r="H16" i="99" l="1"/>
  <c r="K16" i="99" s="1"/>
  <c r="N10" i="1"/>
  <c r="N10" i="113" s="1"/>
  <c r="E15" i="3"/>
  <c r="F17" i="48" s="1"/>
  <c r="G17" i="48" s="1"/>
  <c r="O10" i="1" l="1"/>
  <c r="O10" i="113" s="1"/>
  <c r="AN72" i="1"/>
  <c r="AK72" i="113" l="1"/>
  <c r="P10" i="1"/>
  <c r="P10" i="113" s="1"/>
  <c r="Q10" i="1" l="1"/>
  <c r="Q10" i="113" s="1"/>
  <c r="N10" i="51"/>
  <c r="J11" i="82"/>
  <c r="I11" i="82"/>
  <c r="H11" i="82"/>
  <c r="G11" i="82"/>
  <c r="E11" i="82"/>
  <c r="B46" i="99"/>
  <c r="F11" i="113"/>
  <c r="F9" i="113"/>
  <c r="F8" i="113"/>
  <c r="F7" i="113"/>
  <c r="C46" i="3"/>
  <c r="B46" i="3"/>
  <c r="B43" i="48" l="1"/>
  <c r="C41" i="82"/>
  <c r="R10" i="1"/>
  <c r="S10" i="1" s="1"/>
  <c r="T10" i="1" s="1"/>
  <c r="U10" i="1" s="1"/>
  <c r="V10" i="1" s="1"/>
  <c r="W10" i="1" s="1"/>
  <c r="A29" i="99" s="1"/>
  <c r="AN65" i="1"/>
  <c r="AN45" i="1"/>
  <c r="AN35" i="1"/>
  <c r="AN17" i="1"/>
  <c r="A28" i="3" l="1"/>
  <c r="W10" i="113"/>
  <c r="X10" i="1"/>
  <c r="Y10" i="1" s="1"/>
  <c r="Z10" i="1" s="1"/>
  <c r="AK65" i="113"/>
  <c r="AK45" i="113"/>
  <c r="AK35" i="113"/>
  <c r="AK17" i="113"/>
  <c r="AN46" i="1"/>
  <c r="R10" i="113"/>
  <c r="S10" i="113"/>
  <c r="AN19" i="1"/>
  <c r="AN73" i="1"/>
  <c r="AK73" i="113" s="1"/>
  <c r="T35" i="1"/>
  <c r="T35" i="113" s="1"/>
  <c r="T28" i="1"/>
  <c r="T28" i="113" s="1"/>
  <c r="T17" i="1"/>
  <c r="T17" i="113" s="1"/>
  <c r="AA72" i="1"/>
  <c r="AA65" i="1"/>
  <c r="AA45" i="1"/>
  <c r="AA35" i="1"/>
  <c r="AA28" i="1"/>
  <c r="AA17" i="1"/>
  <c r="X10" i="113" l="1"/>
  <c r="Z10" i="113"/>
  <c r="A32" i="99"/>
  <c r="AK46" i="113"/>
  <c r="AK19" i="113"/>
  <c r="A25" i="99"/>
  <c r="A24" i="3"/>
  <c r="A26" i="48" s="1"/>
  <c r="AA73" i="1"/>
  <c r="AN76" i="1"/>
  <c r="AK76" i="113" s="1"/>
  <c r="AN48" i="1"/>
  <c r="AA19" i="1"/>
  <c r="T19" i="1"/>
  <c r="T19" i="113" s="1"/>
  <c r="AA46" i="1"/>
  <c r="AK48" i="113" l="1"/>
  <c r="AN51" i="1"/>
  <c r="U10" i="113"/>
  <c r="T10" i="113"/>
  <c r="B24" i="82"/>
  <c r="AN80" i="1"/>
  <c r="AK80" i="113" s="1"/>
  <c r="AA76" i="1"/>
  <c r="AA48" i="1"/>
  <c r="A9" i="99"/>
  <c r="B9" i="99"/>
  <c r="E11" i="113"/>
  <c r="AK51" i="113" l="1"/>
  <c r="V10" i="113"/>
  <c r="E46" i="3"/>
  <c r="F43" i="48" s="1"/>
  <c r="G43" i="48" s="1"/>
  <c r="H46" i="99"/>
  <c r="K46" i="99" s="1"/>
  <c r="AA80" i="1"/>
  <c r="AA51" i="1"/>
  <c r="C10" i="3"/>
  <c r="B10" i="3"/>
  <c r="A10" i="3"/>
  <c r="B10" i="82" s="1"/>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5" i="113"/>
  <c r="B37" i="113"/>
  <c r="B38" i="113"/>
  <c r="B39" i="113"/>
  <c r="B41"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4" i="113"/>
  <c r="F37" i="113"/>
  <c r="F38" i="113"/>
  <c r="F39" i="113"/>
  <c r="F42" i="113"/>
  <c r="F43"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6" i="113"/>
  <c r="A3" i="113"/>
  <c r="F10" i="1"/>
  <c r="F17" i="1"/>
  <c r="F17" i="113" s="1"/>
  <c r="G17" i="1"/>
  <c r="G17" i="113" s="1"/>
  <c r="H17" i="1"/>
  <c r="H17" i="113" s="1"/>
  <c r="I17" i="1"/>
  <c r="I17" i="113" s="1"/>
  <c r="AF17" i="113"/>
  <c r="K17" i="1"/>
  <c r="K17" i="113" s="1"/>
  <c r="L17" i="1"/>
  <c r="L17" i="113" s="1"/>
  <c r="M17" i="1"/>
  <c r="M17" i="113" s="1"/>
  <c r="N17" i="1"/>
  <c r="N17" i="113" s="1"/>
  <c r="U17" i="1"/>
  <c r="U17" i="113" s="1"/>
  <c r="V17" i="1"/>
  <c r="V17" i="113" s="1"/>
  <c r="AB17" i="1"/>
  <c r="O17" i="1"/>
  <c r="O17" i="113" s="1"/>
  <c r="P17" i="1"/>
  <c r="P17" i="113" s="1"/>
  <c r="Q17" i="1"/>
  <c r="Q17" i="113" s="1"/>
  <c r="R17" i="1"/>
  <c r="R17" i="113" s="1"/>
  <c r="AH17" i="1"/>
  <c r="AE17" i="113" s="1"/>
  <c r="Y17" i="1"/>
  <c r="Y17" i="113" s="1"/>
  <c r="AD17" i="1"/>
  <c r="AA17" i="113" s="1"/>
  <c r="AB17" i="113"/>
  <c r="AF17" i="1"/>
  <c r="AC17" i="113" s="1"/>
  <c r="AD17" i="113"/>
  <c r="AI17" i="113"/>
  <c r="AR22" i="1"/>
  <c r="F28" i="1"/>
  <c r="G28" i="1"/>
  <c r="G28" i="113" s="1"/>
  <c r="H28" i="1"/>
  <c r="H28" i="113" s="1"/>
  <c r="I28" i="1"/>
  <c r="I28" i="113" s="1"/>
  <c r="AF28" i="113"/>
  <c r="K28" i="1"/>
  <c r="K28" i="113" s="1"/>
  <c r="L28" i="1"/>
  <c r="L28" i="113" s="1"/>
  <c r="M28" i="1"/>
  <c r="M28" i="113" s="1"/>
  <c r="N28" i="1"/>
  <c r="N28" i="113" s="1"/>
  <c r="U28" i="1"/>
  <c r="U28" i="113" s="1"/>
  <c r="V28" i="1"/>
  <c r="AB28" i="1"/>
  <c r="O28" i="1"/>
  <c r="O28" i="113" s="1"/>
  <c r="P28" i="1"/>
  <c r="P28" i="113" s="1"/>
  <c r="Q28" i="1"/>
  <c r="Q28" i="113" s="1"/>
  <c r="R28" i="1"/>
  <c r="R28" i="113" s="1"/>
  <c r="AH28" i="1"/>
  <c r="AE28" i="113" s="1"/>
  <c r="Y28" i="1"/>
  <c r="AD28" i="1"/>
  <c r="AB28" i="113"/>
  <c r="AF28" i="1"/>
  <c r="AC28" i="113" s="1"/>
  <c r="AD28" i="113"/>
  <c r="AI28" i="113"/>
  <c r="AR30" i="1"/>
  <c r="F35" i="1"/>
  <c r="F35" i="113" s="1"/>
  <c r="G35" i="1"/>
  <c r="G35" i="113" s="1"/>
  <c r="H35" i="1"/>
  <c r="H35" i="113" s="1"/>
  <c r="I35" i="1"/>
  <c r="I35" i="113" s="1"/>
  <c r="AF35" i="113"/>
  <c r="K35" i="1"/>
  <c r="K35" i="113" s="1"/>
  <c r="L35" i="1"/>
  <c r="L35" i="113" s="1"/>
  <c r="M35" i="1"/>
  <c r="M35" i="113" s="1"/>
  <c r="N35" i="1"/>
  <c r="N35" i="113" s="1"/>
  <c r="U35" i="1"/>
  <c r="U35" i="113" s="1"/>
  <c r="V35" i="1"/>
  <c r="V35" i="113" s="1"/>
  <c r="AB35" i="1"/>
  <c r="O35" i="1"/>
  <c r="O35" i="113" s="1"/>
  <c r="P35" i="1"/>
  <c r="P35" i="113" s="1"/>
  <c r="Q35" i="1"/>
  <c r="Q35" i="113" s="1"/>
  <c r="R35" i="1"/>
  <c r="R35" i="113" s="1"/>
  <c r="AH35" i="1"/>
  <c r="AE35" i="113" s="1"/>
  <c r="Y35" i="1"/>
  <c r="Y35" i="113" s="1"/>
  <c r="AD35" i="1"/>
  <c r="AA35" i="113" s="1"/>
  <c r="AB35" i="113"/>
  <c r="AF35" i="1"/>
  <c r="AC35" i="113" s="1"/>
  <c r="AD35" i="113"/>
  <c r="AI35" i="113"/>
  <c r="E44" i="1"/>
  <c r="AC44" i="1" s="1"/>
  <c r="F45" i="1"/>
  <c r="G45" i="1"/>
  <c r="G45" i="113" s="1"/>
  <c r="H45" i="1"/>
  <c r="H45" i="113" s="1"/>
  <c r="I45" i="1"/>
  <c r="I45" i="113" s="1"/>
  <c r="AF45" i="113"/>
  <c r="K45" i="1"/>
  <c r="K45" i="113" s="1"/>
  <c r="L45" i="1"/>
  <c r="L45" i="113" s="1"/>
  <c r="M45" i="1"/>
  <c r="M45" i="113" s="1"/>
  <c r="N45" i="1"/>
  <c r="N45" i="113" s="1"/>
  <c r="U45" i="1"/>
  <c r="U45" i="113" s="1"/>
  <c r="V45" i="1"/>
  <c r="V45" i="113" s="1"/>
  <c r="AB45" i="1"/>
  <c r="O45" i="1"/>
  <c r="O45" i="113" s="1"/>
  <c r="P45" i="1"/>
  <c r="P45" i="113" s="1"/>
  <c r="Q45" i="1"/>
  <c r="Q45" i="113" s="1"/>
  <c r="R45" i="1"/>
  <c r="R45" i="113" s="1"/>
  <c r="T45" i="1"/>
  <c r="T45" i="113" s="1"/>
  <c r="AH45" i="1"/>
  <c r="AE45" i="113" s="1"/>
  <c r="Y45" i="1"/>
  <c r="Y45" i="113" s="1"/>
  <c r="AD45" i="1"/>
  <c r="AA45" i="113" s="1"/>
  <c r="AB45" i="113"/>
  <c r="AF45" i="1"/>
  <c r="AC45" i="113" s="1"/>
  <c r="AD45" i="113"/>
  <c r="AI45" i="113"/>
  <c r="E52" i="1"/>
  <c r="E52" i="113" s="1"/>
  <c r="F65" i="1"/>
  <c r="G65" i="1"/>
  <c r="G65" i="113" s="1"/>
  <c r="H65" i="1"/>
  <c r="H65" i="113" s="1"/>
  <c r="I65" i="1"/>
  <c r="I65" i="113" s="1"/>
  <c r="AF65" i="113"/>
  <c r="K65" i="1"/>
  <c r="K65" i="113" s="1"/>
  <c r="L65" i="1"/>
  <c r="L65" i="113" s="1"/>
  <c r="M65" i="1"/>
  <c r="M65" i="113" s="1"/>
  <c r="N65" i="1"/>
  <c r="N65" i="113" s="1"/>
  <c r="U65" i="1"/>
  <c r="U65" i="113" s="1"/>
  <c r="V65" i="1"/>
  <c r="V65" i="113" s="1"/>
  <c r="AB65" i="1"/>
  <c r="O65" i="1"/>
  <c r="O65" i="113" s="1"/>
  <c r="P65" i="1"/>
  <c r="P65" i="113" s="1"/>
  <c r="Q65" i="1"/>
  <c r="Q65" i="113" s="1"/>
  <c r="R65" i="1"/>
  <c r="R65" i="113" s="1"/>
  <c r="T65" i="1"/>
  <c r="T65" i="113" s="1"/>
  <c r="AH65" i="1"/>
  <c r="AE65" i="113" s="1"/>
  <c r="Y65" i="1"/>
  <c r="Y65" i="113" s="1"/>
  <c r="AD65" i="1"/>
  <c r="AA65" i="113" s="1"/>
  <c r="AB65" i="113"/>
  <c r="AF65" i="1"/>
  <c r="AC65" i="113" s="1"/>
  <c r="AD65" i="113"/>
  <c r="AI65" i="113"/>
  <c r="F72" i="1"/>
  <c r="F72" i="113" s="1"/>
  <c r="G72" i="1"/>
  <c r="G72" i="113" s="1"/>
  <c r="H72" i="1"/>
  <c r="H72" i="113" s="1"/>
  <c r="I72" i="1"/>
  <c r="I72" i="113" s="1"/>
  <c r="AF72" i="113"/>
  <c r="K72" i="1"/>
  <c r="K72" i="113" s="1"/>
  <c r="L72" i="1"/>
  <c r="L72" i="113" s="1"/>
  <c r="M72" i="1"/>
  <c r="M72" i="113" s="1"/>
  <c r="N72" i="1"/>
  <c r="N72" i="113" s="1"/>
  <c r="U72" i="1"/>
  <c r="U72" i="113" s="1"/>
  <c r="V72" i="1"/>
  <c r="V72" i="113" s="1"/>
  <c r="AB72" i="1"/>
  <c r="O72" i="1"/>
  <c r="O72" i="113" s="1"/>
  <c r="P72" i="1"/>
  <c r="P72" i="113" s="1"/>
  <c r="Q72" i="1"/>
  <c r="Q72" i="113" s="1"/>
  <c r="R72" i="1"/>
  <c r="R72" i="113" s="1"/>
  <c r="T72" i="1"/>
  <c r="T72" i="113" s="1"/>
  <c r="AH72" i="1"/>
  <c r="AE72" i="113" s="1"/>
  <c r="Y72" i="1"/>
  <c r="Y72" i="113" s="1"/>
  <c r="AD72" i="1"/>
  <c r="AA72" i="113" s="1"/>
  <c r="AB72" i="113"/>
  <c r="AF72" i="1"/>
  <c r="AC72" i="113" s="1"/>
  <c r="AD72" i="113"/>
  <c r="AI72" i="113"/>
  <c r="B45" i="3"/>
  <c r="B44" i="3"/>
  <c r="B39" i="3"/>
  <c r="B38" i="3"/>
  <c r="B37" i="3"/>
  <c r="B36" i="3"/>
  <c r="B52" i="3"/>
  <c r="B30" i="3"/>
  <c r="B40" i="3"/>
  <c r="B25" i="3"/>
  <c r="B23" i="3"/>
  <c r="B22" i="3"/>
  <c r="B21" i="3"/>
  <c r="B20" i="3"/>
  <c r="B32" i="3"/>
  <c r="B27" i="3"/>
  <c r="B26" i="3"/>
  <c r="B19" i="3"/>
  <c r="B18" i="3"/>
  <c r="B17" i="3"/>
  <c r="B16" i="3"/>
  <c r="B41" i="3"/>
  <c r="B14" i="3"/>
  <c r="B13" i="3"/>
  <c r="B12" i="3"/>
  <c r="B11" i="3"/>
  <c r="F10" i="116" l="1"/>
  <c r="AT22" i="1"/>
  <c r="AA28" i="113"/>
  <c r="N41" i="82"/>
  <c r="N33" i="82"/>
  <c r="N35" i="82"/>
  <c r="N36" i="82"/>
  <c r="N38" i="82"/>
  <c r="N40" i="82"/>
  <c r="N32" i="82"/>
  <c r="N34" i="82"/>
  <c r="N37" i="82"/>
  <c r="N39" i="82"/>
  <c r="V28" i="113"/>
  <c r="F28" i="82"/>
  <c r="N28" i="82" s="1"/>
  <c r="Y28" i="113"/>
  <c r="F30" i="82"/>
  <c r="N30" i="82" s="1"/>
  <c r="AI73" i="113"/>
  <c r="AF73" i="1"/>
  <c r="AC73" i="113" s="1"/>
  <c r="AF73" i="113"/>
  <c r="AD73" i="113"/>
  <c r="AD73" i="1"/>
  <c r="AA73" i="113" s="1"/>
  <c r="AB73" i="113"/>
  <c r="P73" i="1"/>
  <c r="P73" i="113" s="1"/>
  <c r="K73" i="1"/>
  <c r="K73" i="113" s="1"/>
  <c r="Q73" i="1"/>
  <c r="Q73" i="113" s="1"/>
  <c r="L73" i="1"/>
  <c r="L73" i="113" s="1"/>
  <c r="H73" i="1"/>
  <c r="H73" i="113" s="1"/>
  <c r="Y73" i="1"/>
  <c r="Y73" i="113" s="1"/>
  <c r="T73" i="1"/>
  <c r="T73" i="113" s="1"/>
  <c r="O73" i="1"/>
  <c r="O73" i="113" s="1"/>
  <c r="N73" i="1"/>
  <c r="N73" i="113" s="1"/>
  <c r="G73" i="1"/>
  <c r="G73" i="113" s="1"/>
  <c r="AH73" i="1"/>
  <c r="AE73" i="113" s="1"/>
  <c r="U73" i="1"/>
  <c r="U73" i="113" s="1"/>
  <c r="V73" i="1"/>
  <c r="V73" i="113" s="1"/>
  <c r="R73" i="1"/>
  <c r="R73" i="113" s="1"/>
  <c r="AB73" i="1"/>
  <c r="M73" i="1"/>
  <c r="M73" i="113" s="1"/>
  <c r="I73" i="1"/>
  <c r="I73" i="113" s="1"/>
  <c r="F65" i="113"/>
  <c r="F73" i="1"/>
  <c r="N19" i="1"/>
  <c r="N19" i="113" s="1"/>
  <c r="O19" i="1"/>
  <c r="O19" i="113" s="1"/>
  <c r="F28" i="113"/>
  <c r="F11" i="82"/>
  <c r="N11" i="82" s="1"/>
  <c r="Y19" i="1"/>
  <c r="Y19" i="113" s="1"/>
  <c r="G10" i="1"/>
  <c r="G10" i="113" s="1"/>
  <c r="F10" i="113"/>
  <c r="AB10" i="113"/>
  <c r="P19" i="1"/>
  <c r="P19" i="113" s="1"/>
  <c r="AF19" i="113"/>
  <c r="G19" i="1"/>
  <c r="G19" i="113" s="1"/>
  <c r="U46" i="1"/>
  <c r="U46" i="113" s="1"/>
  <c r="AH46" i="1"/>
  <c r="AE46" i="113" s="1"/>
  <c r="AB19" i="1"/>
  <c r="U19" i="1"/>
  <c r="U19" i="113" s="1"/>
  <c r="AB46" i="113"/>
  <c r="R46" i="1"/>
  <c r="R46" i="113" s="1"/>
  <c r="AB46" i="1"/>
  <c r="M46" i="1"/>
  <c r="M46" i="113" s="1"/>
  <c r="I46" i="1"/>
  <c r="I46" i="113" s="1"/>
  <c r="F46" i="1"/>
  <c r="F46" i="113" s="1"/>
  <c r="K19" i="1"/>
  <c r="K19" i="113" s="1"/>
  <c r="AB19" i="113"/>
  <c r="I19" i="1"/>
  <c r="I19" i="113" s="1"/>
  <c r="R19" i="1"/>
  <c r="R19" i="113" s="1"/>
  <c r="F19" i="1"/>
  <c r="F19" i="113" s="1"/>
  <c r="M19" i="1"/>
  <c r="M19" i="113" s="1"/>
  <c r="AH19" i="1"/>
  <c r="AE19" i="113" s="1"/>
  <c r="AI46" i="113"/>
  <c r="AD46" i="113"/>
  <c r="Q46" i="1"/>
  <c r="Q46" i="113" s="1"/>
  <c r="L46" i="1"/>
  <c r="L46" i="113" s="1"/>
  <c r="AF46" i="1"/>
  <c r="AC46" i="113" s="1"/>
  <c r="AF19" i="1"/>
  <c r="AC19" i="113" s="1"/>
  <c r="Q19" i="1"/>
  <c r="Q19" i="113" s="1"/>
  <c r="V19" i="1"/>
  <c r="V19" i="113" s="1"/>
  <c r="L19" i="1"/>
  <c r="L19" i="113" s="1"/>
  <c r="H19" i="1"/>
  <c r="H19" i="113" s="1"/>
  <c r="V46" i="1"/>
  <c r="V46" i="113" s="1"/>
  <c r="H46" i="1"/>
  <c r="H46" i="113" s="1"/>
  <c r="AD46" i="1"/>
  <c r="AA46" i="113" s="1"/>
  <c r="P46" i="1"/>
  <c r="P46" i="113" s="1"/>
  <c r="K46" i="1"/>
  <c r="K46" i="113" s="1"/>
  <c r="AR44" i="1"/>
  <c r="AT44" i="1" s="1"/>
  <c r="Y46" i="1"/>
  <c r="Y46" i="113" s="1"/>
  <c r="T46" i="1"/>
  <c r="T46" i="113" s="1"/>
  <c r="O46" i="1"/>
  <c r="O46" i="113" s="1"/>
  <c r="N46" i="1"/>
  <c r="N46" i="113" s="1"/>
  <c r="AF46" i="113"/>
  <c r="G46" i="1"/>
  <c r="G46" i="113" s="1"/>
  <c r="AI19" i="113"/>
  <c r="AD19" i="1"/>
  <c r="AA19" i="113" s="1"/>
  <c r="A11" i="3"/>
  <c r="E44" i="113"/>
  <c r="F45" i="113"/>
  <c r="AD19" i="113"/>
  <c r="G31" i="82"/>
  <c r="G46" i="82"/>
  <c r="G13" i="82"/>
  <c r="G14" i="82"/>
  <c r="G16" i="82"/>
  <c r="G17" i="82"/>
  <c r="G18" i="82"/>
  <c r="G19" i="82"/>
  <c r="G26" i="82"/>
  <c r="G27" i="82"/>
  <c r="G20" i="82"/>
  <c r="G21" i="82"/>
  <c r="G22" i="82"/>
  <c r="G23" i="82"/>
  <c r="G25" i="82"/>
  <c r="G29" i="82"/>
  <c r="G12" i="82"/>
  <c r="J31" i="82"/>
  <c r="I31" i="82"/>
  <c r="H31" i="82"/>
  <c r="J46" i="82"/>
  <c r="I46" i="82"/>
  <c r="H46" i="82"/>
  <c r="J29" i="82"/>
  <c r="I29" i="82"/>
  <c r="H29" i="82"/>
  <c r="E29" i="82"/>
  <c r="J25" i="82"/>
  <c r="I25" i="82"/>
  <c r="H25" i="82"/>
  <c r="E25" i="82"/>
  <c r="J23" i="82"/>
  <c r="I23" i="82"/>
  <c r="H23" i="82"/>
  <c r="E23" i="82"/>
  <c r="J22" i="82"/>
  <c r="I22" i="82"/>
  <c r="H22" i="82"/>
  <c r="E22" i="82"/>
  <c r="J21" i="82"/>
  <c r="I21" i="82"/>
  <c r="H21" i="82"/>
  <c r="E21" i="82"/>
  <c r="J20" i="82"/>
  <c r="I20" i="82"/>
  <c r="H20" i="82"/>
  <c r="E20" i="82"/>
  <c r="J27" i="82"/>
  <c r="I27" i="82"/>
  <c r="H27" i="82"/>
  <c r="E27" i="82"/>
  <c r="J26" i="82"/>
  <c r="I26" i="82"/>
  <c r="H26" i="82"/>
  <c r="E26" i="82"/>
  <c r="J19" i="82"/>
  <c r="I19" i="82"/>
  <c r="H19" i="82"/>
  <c r="E19" i="82"/>
  <c r="J18" i="82"/>
  <c r="I18" i="82"/>
  <c r="H18" i="82"/>
  <c r="E18" i="82"/>
  <c r="J17" i="82"/>
  <c r="I17" i="82"/>
  <c r="H17" i="82"/>
  <c r="E17" i="82"/>
  <c r="J16" i="82"/>
  <c r="I16" i="82"/>
  <c r="H16" i="82"/>
  <c r="E16" i="82"/>
  <c r="J14" i="82"/>
  <c r="I14" i="82"/>
  <c r="H14" i="82"/>
  <c r="E14" i="82"/>
  <c r="J13" i="82"/>
  <c r="I13" i="82"/>
  <c r="H13" i="82"/>
  <c r="E13" i="82"/>
  <c r="E12" i="82"/>
  <c r="J12" i="82"/>
  <c r="H12" i="82"/>
  <c r="L11" i="82"/>
  <c r="I10" i="48"/>
  <c r="G55" i="48"/>
  <c r="E24" i="1"/>
  <c r="E27" i="1"/>
  <c r="AC27" i="1" s="1"/>
  <c r="E34" i="1"/>
  <c r="AC34" i="1" s="1"/>
  <c r="E37" i="1"/>
  <c r="AC37" i="1" s="1"/>
  <c r="E38" i="1"/>
  <c r="E38" i="113" s="1"/>
  <c r="E39" i="1"/>
  <c r="E39" i="113" s="1"/>
  <c r="E42" i="1"/>
  <c r="AC42" i="1" s="1"/>
  <c r="E43" i="1"/>
  <c r="AC43" i="1" s="1"/>
  <c r="E51" i="1"/>
  <c r="E53" i="1"/>
  <c r="E54" i="1"/>
  <c r="AC54" i="1" s="1"/>
  <c r="E64" i="1"/>
  <c r="E75" i="1"/>
  <c r="F23" i="116" l="1"/>
  <c r="F21" i="116"/>
  <c r="F11" i="116"/>
  <c r="F15" i="116"/>
  <c r="G44" i="50"/>
  <c r="E18" i="1"/>
  <c r="E77" i="1"/>
  <c r="E51" i="113"/>
  <c r="AE10" i="113"/>
  <c r="Y10" i="113"/>
  <c r="E26" i="1"/>
  <c r="E15" i="1"/>
  <c r="E15" i="113" s="1"/>
  <c r="E14" i="1"/>
  <c r="AF76" i="1"/>
  <c r="AC76" i="113" s="1"/>
  <c r="AD76" i="1"/>
  <c r="AA76" i="113" s="1"/>
  <c r="H76" i="1"/>
  <c r="H76" i="113" s="1"/>
  <c r="AI76" i="113"/>
  <c r="N76" i="1"/>
  <c r="N76" i="113" s="1"/>
  <c r="V76" i="1"/>
  <c r="V76" i="113" s="1"/>
  <c r="Q76" i="1"/>
  <c r="Q76" i="113" s="1"/>
  <c r="L76" i="1"/>
  <c r="L76" i="113" s="1"/>
  <c r="AC39" i="1"/>
  <c r="AC24" i="1"/>
  <c r="E24" i="113"/>
  <c r="E53" i="113"/>
  <c r="AC38" i="1"/>
  <c r="E45" i="1"/>
  <c r="E45" i="113" s="1"/>
  <c r="E42" i="113"/>
  <c r="E43" i="113"/>
  <c r="M48" i="1"/>
  <c r="M48" i="113" s="1"/>
  <c r="AR54" i="1"/>
  <c r="AT54" i="1" s="1"/>
  <c r="AR43" i="1"/>
  <c r="AT43" i="1" s="1"/>
  <c r="AC45" i="1"/>
  <c r="E37" i="113"/>
  <c r="T76" i="1"/>
  <c r="T76" i="113" s="1"/>
  <c r="AR37" i="1"/>
  <c r="AT37" i="1" s="1"/>
  <c r="AR42" i="1"/>
  <c r="AD76" i="113"/>
  <c r="E54" i="113"/>
  <c r="I48" i="1"/>
  <c r="I48" i="113" s="1"/>
  <c r="AR34" i="1"/>
  <c r="AT34" i="1" s="1"/>
  <c r="AR27" i="1"/>
  <c r="AT27" i="1" s="1"/>
  <c r="P48" i="1"/>
  <c r="P48" i="113" s="1"/>
  <c r="E34" i="113"/>
  <c r="E27" i="113"/>
  <c r="AB48" i="113"/>
  <c r="AH76" i="1"/>
  <c r="AE76" i="113" s="1"/>
  <c r="K76" i="1"/>
  <c r="K76" i="113" s="1"/>
  <c r="AC10" i="113"/>
  <c r="K48" i="1"/>
  <c r="K48" i="113" s="1"/>
  <c r="U76" i="1"/>
  <c r="U76" i="113" s="1"/>
  <c r="H10" i="1"/>
  <c r="AF48" i="1"/>
  <c r="AC48" i="113" s="1"/>
  <c r="P76" i="1"/>
  <c r="P76" i="113" s="1"/>
  <c r="AF76" i="113"/>
  <c r="U48" i="1"/>
  <c r="U48" i="113" s="1"/>
  <c r="AB48" i="1"/>
  <c r="F48" i="1"/>
  <c r="F51" i="1" s="1"/>
  <c r="Y76" i="1"/>
  <c r="Y76" i="113" s="1"/>
  <c r="O76" i="1"/>
  <c r="O76" i="113" s="1"/>
  <c r="G76" i="1"/>
  <c r="G76" i="113" s="1"/>
  <c r="R48" i="1"/>
  <c r="R48" i="113" s="1"/>
  <c r="AH48" i="1"/>
  <c r="AE48" i="113" s="1"/>
  <c r="V48" i="1"/>
  <c r="V48" i="113" s="1"/>
  <c r="F73" i="113"/>
  <c r="F76" i="1"/>
  <c r="R76" i="1"/>
  <c r="R76" i="113" s="1"/>
  <c r="L48" i="1"/>
  <c r="L48" i="113" s="1"/>
  <c r="AB76" i="1"/>
  <c r="H48" i="1"/>
  <c r="H48" i="113" s="1"/>
  <c r="M76" i="1"/>
  <c r="M76" i="113" s="1"/>
  <c r="AB76" i="113"/>
  <c r="Q48" i="1"/>
  <c r="Q48" i="113" s="1"/>
  <c r="I76" i="1"/>
  <c r="I76" i="113" s="1"/>
  <c r="AI48" i="113"/>
  <c r="N48" i="1"/>
  <c r="N48" i="113" s="1"/>
  <c r="AD48" i="113"/>
  <c r="AD48" i="1"/>
  <c r="AA48" i="113" s="1"/>
  <c r="AF48" i="113"/>
  <c r="Y48" i="1"/>
  <c r="Y48" i="113" s="1"/>
  <c r="G48" i="1"/>
  <c r="G51" i="1" s="1"/>
  <c r="T48" i="1"/>
  <c r="T48" i="113" s="1"/>
  <c r="O48" i="1"/>
  <c r="O48" i="113" s="1"/>
  <c r="L14" i="82"/>
  <c r="L18" i="82"/>
  <c r="L20" i="82"/>
  <c r="L25" i="82"/>
  <c r="L46" i="82"/>
  <c r="L31" i="82"/>
  <c r="L16" i="82"/>
  <c r="L27" i="82"/>
  <c r="L22" i="82"/>
  <c r="L12" i="82"/>
  <c r="L13" i="82"/>
  <c r="L17" i="82"/>
  <c r="L26" i="82"/>
  <c r="L29" i="82"/>
  <c r="L23" i="82"/>
  <c r="L21" i="82"/>
  <c r="L19" i="82"/>
  <c r="E23" i="1"/>
  <c r="A1" i="3"/>
  <c r="A2" i="50"/>
  <c r="A1" i="50"/>
  <c r="A5" i="50"/>
  <c r="A4" i="50"/>
  <c r="A4" i="51"/>
  <c r="A4" i="3"/>
  <c r="A4" i="48" s="1"/>
  <c r="F25" i="116" l="1"/>
  <c r="F16" i="116"/>
  <c r="F17" i="116"/>
  <c r="F20" i="116"/>
  <c r="F28" i="116"/>
  <c r="F27" i="116"/>
  <c r="F14" i="116"/>
  <c r="F13" i="116"/>
  <c r="F19" i="116"/>
  <c r="F30" i="116"/>
  <c r="F24" i="116"/>
  <c r="F26" i="116"/>
  <c r="F18" i="116"/>
  <c r="F12" i="116"/>
  <c r="F22" i="116"/>
  <c r="F29" i="116"/>
  <c r="G34" i="50"/>
  <c r="G37" i="50"/>
  <c r="E38" i="114" s="1"/>
  <c r="G43" i="50"/>
  <c r="G54" i="50"/>
  <c r="E55" i="114" s="1"/>
  <c r="G27" i="50"/>
  <c r="E28" i="114" s="1"/>
  <c r="AT42" i="1"/>
  <c r="E45" i="114"/>
  <c r="H10" i="113"/>
  <c r="U53" i="113"/>
  <c r="AC15" i="1"/>
  <c r="AR15" i="1" s="1"/>
  <c r="G48" i="113"/>
  <c r="G51" i="113"/>
  <c r="AF80" i="1"/>
  <c r="AC80" i="113" s="1"/>
  <c r="AF51" i="1"/>
  <c r="AC51" i="113" s="1"/>
  <c r="AD80" i="1"/>
  <c r="AA80" i="113" s="1"/>
  <c r="Q80" i="1"/>
  <c r="Q80" i="113" s="1"/>
  <c r="AR38" i="1"/>
  <c r="AT38" i="1" s="1"/>
  <c r="I51" i="1"/>
  <c r="I51" i="113" s="1"/>
  <c r="L80" i="1"/>
  <c r="L80" i="113" s="1"/>
  <c r="V80" i="1"/>
  <c r="V80" i="113" s="1"/>
  <c r="N80" i="1"/>
  <c r="H80" i="1"/>
  <c r="H80" i="113" s="1"/>
  <c r="AI80" i="113"/>
  <c r="AD80" i="113"/>
  <c r="AR39" i="1"/>
  <c r="AT39" i="1" s="1"/>
  <c r="P51" i="1"/>
  <c r="P51" i="113" s="1"/>
  <c r="AB51" i="113"/>
  <c r="M51" i="1"/>
  <c r="M51" i="113" s="1"/>
  <c r="AH80" i="1"/>
  <c r="AE80" i="113" s="1"/>
  <c r="AC14" i="1"/>
  <c r="E14" i="113"/>
  <c r="AR24" i="1"/>
  <c r="AT24" i="1" s="1"/>
  <c r="AC26" i="1"/>
  <c r="E26" i="113"/>
  <c r="AR45" i="1"/>
  <c r="AT45" i="1" s="1"/>
  <c r="AC18" i="1"/>
  <c r="E18" i="113"/>
  <c r="AC23" i="1"/>
  <c r="E23" i="113"/>
  <c r="F48" i="113"/>
  <c r="E25" i="1"/>
  <c r="E28" i="1" s="1"/>
  <c r="T80" i="1"/>
  <c r="T80" i="113" s="1"/>
  <c r="AB51" i="1"/>
  <c r="G80" i="1"/>
  <c r="G80" i="113" s="1"/>
  <c r="U80" i="1"/>
  <c r="U80" i="113" s="1"/>
  <c r="K51" i="1"/>
  <c r="K51" i="113" s="1"/>
  <c r="P80" i="1"/>
  <c r="K80" i="1"/>
  <c r="K80" i="113" s="1"/>
  <c r="AF80" i="113"/>
  <c r="R51" i="1"/>
  <c r="R51" i="113" s="1"/>
  <c r="O80" i="1"/>
  <c r="O80" i="113" s="1"/>
  <c r="Y80" i="1"/>
  <c r="Y80" i="113" s="1"/>
  <c r="AH51" i="1"/>
  <c r="AE51" i="113" s="1"/>
  <c r="Q51" i="1"/>
  <c r="Q51" i="113" s="1"/>
  <c r="M80" i="1"/>
  <c r="M80" i="113" s="1"/>
  <c r="H51" i="1"/>
  <c r="H51" i="113" s="1"/>
  <c r="L51" i="1"/>
  <c r="R80" i="1"/>
  <c r="R80" i="113" s="1"/>
  <c r="V51" i="1"/>
  <c r="V51" i="113" s="1"/>
  <c r="I80" i="1"/>
  <c r="I80" i="113" s="1"/>
  <c r="AB80" i="113"/>
  <c r="AB80" i="1"/>
  <c r="F76" i="113"/>
  <c r="F80" i="1"/>
  <c r="F51" i="113"/>
  <c r="AD51" i="1"/>
  <c r="AA51" i="113" s="1"/>
  <c r="T51" i="1"/>
  <c r="T51" i="113" s="1"/>
  <c r="AF51" i="113"/>
  <c r="O51" i="1"/>
  <c r="O51" i="113" s="1"/>
  <c r="AD51" i="113"/>
  <c r="AI51" i="113"/>
  <c r="H72" i="50"/>
  <c r="G39" i="50" l="1"/>
  <c r="G38" i="50"/>
  <c r="G24" i="50"/>
  <c r="E25" i="114" s="1"/>
  <c r="G42" i="50"/>
  <c r="E43" i="114" s="1"/>
  <c r="AT15" i="1"/>
  <c r="AR14" i="1"/>
  <c r="N80" i="113"/>
  <c r="E35" i="114"/>
  <c r="E44" i="114"/>
  <c r="AD10" i="113"/>
  <c r="L51" i="113"/>
  <c r="AC53" i="1"/>
  <c r="AR53" i="1" s="1"/>
  <c r="AT53" i="1" s="1"/>
  <c r="P80" i="113"/>
  <c r="E21" i="3"/>
  <c r="F23" i="48" s="1"/>
  <c r="G23" i="48" s="1"/>
  <c r="AA10" i="1"/>
  <c r="H25" i="99"/>
  <c r="K25" i="99" s="1"/>
  <c r="E24" i="3"/>
  <c r="F26" i="48" s="1"/>
  <c r="G26" i="48" s="1"/>
  <c r="H37" i="99"/>
  <c r="K37" i="99" s="1"/>
  <c r="H38" i="99"/>
  <c r="K38" i="99" s="1"/>
  <c r="H39" i="99"/>
  <c r="K39" i="99" s="1"/>
  <c r="H36" i="99"/>
  <c r="K36" i="99" s="1"/>
  <c r="H44" i="99"/>
  <c r="K44" i="99" s="1"/>
  <c r="H50" i="99"/>
  <c r="K50" i="99" s="1"/>
  <c r="E13" i="3"/>
  <c r="H12" i="99"/>
  <c r="K12" i="99" s="1"/>
  <c r="H23" i="99"/>
  <c r="K23" i="99" s="1"/>
  <c r="H28" i="99"/>
  <c r="K28" i="99" s="1"/>
  <c r="E12" i="3"/>
  <c r="H40" i="99"/>
  <c r="K40" i="99" s="1"/>
  <c r="H18" i="99"/>
  <c r="K18" i="99" s="1"/>
  <c r="H20" i="99"/>
  <c r="K20" i="99" s="1"/>
  <c r="H11" i="99"/>
  <c r="K11" i="99" s="1"/>
  <c r="H26" i="99"/>
  <c r="K26" i="99" s="1"/>
  <c r="AR23" i="1"/>
  <c r="E28" i="113"/>
  <c r="E25" i="113"/>
  <c r="AC25" i="1"/>
  <c r="AR18" i="1"/>
  <c r="AR26" i="1"/>
  <c r="AT26" i="1" s="1"/>
  <c r="H17" i="99"/>
  <c r="K17" i="99" s="1"/>
  <c r="H22" i="99"/>
  <c r="K22" i="99" s="1"/>
  <c r="H27" i="99"/>
  <c r="K27" i="99" s="1"/>
  <c r="H41" i="99"/>
  <c r="K41" i="99" s="1"/>
  <c r="H31" i="99"/>
  <c r="K31" i="99" s="1"/>
  <c r="H21" i="99"/>
  <c r="K21" i="99" s="1"/>
  <c r="H10" i="99"/>
  <c r="K10" i="99" s="1"/>
  <c r="H15" i="99"/>
  <c r="K15" i="99" s="1"/>
  <c r="H24" i="99"/>
  <c r="K24" i="99" s="1"/>
  <c r="H19" i="99"/>
  <c r="K19" i="99" s="1"/>
  <c r="F80" i="113"/>
  <c r="H28" i="50"/>
  <c r="H65" i="50"/>
  <c r="H73" i="50" s="1"/>
  <c r="E52" i="50"/>
  <c r="AB10" i="1" l="1"/>
  <c r="F44" i="116"/>
  <c r="F41" i="116"/>
  <c r="F46" i="116"/>
  <c r="F37" i="116"/>
  <c r="F35" i="116"/>
  <c r="F48" i="116"/>
  <c r="F45" i="116"/>
  <c r="F40" i="116"/>
  <c r="F49" i="116"/>
  <c r="F38" i="116"/>
  <c r="F47" i="116"/>
  <c r="F43" i="116"/>
  <c r="F39" i="116"/>
  <c r="F36" i="116"/>
  <c r="F42" i="116"/>
  <c r="G26" i="50"/>
  <c r="E27" i="114" s="1"/>
  <c r="G53" i="50"/>
  <c r="E54" i="114" s="1"/>
  <c r="G15" i="50"/>
  <c r="E16" i="114" s="1"/>
  <c r="AT14" i="1"/>
  <c r="G35" i="114"/>
  <c r="F35" i="114" s="1"/>
  <c r="AT23" i="1"/>
  <c r="AT18" i="1"/>
  <c r="AI10" i="113"/>
  <c r="E40" i="114"/>
  <c r="E46" i="114"/>
  <c r="E39" i="114"/>
  <c r="AR25" i="1"/>
  <c r="AT25" i="1" s="1"/>
  <c r="AC28" i="1"/>
  <c r="H76" i="50"/>
  <c r="H80" i="50" s="1"/>
  <c r="G18" i="50" l="1"/>
  <c r="G23" i="50"/>
  <c r="G14" i="50"/>
  <c r="E15" i="114" s="1"/>
  <c r="E26" i="51"/>
  <c r="G25" i="50"/>
  <c r="E26" i="114" s="1"/>
  <c r="AA10" i="113"/>
  <c r="C45" i="3"/>
  <c r="C44" i="3"/>
  <c r="C39" i="3"/>
  <c r="C38" i="3"/>
  <c r="C37" i="3"/>
  <c r="C36" i="3"/>
  <c r="B33" i="48" s="1"/>
  <c r="E24" i="114" l="1"/>
  <c r="E29" i="114" s="1"/>
  <c r="E19" i="114"/>
  <c r="B42" i="48"/>
  <c r="C40" i="82"/>
  <c r="B35" i="48"/>
  <c r="C33" i="82"/>
  <c r="B41" i="48"/>
  <c r="C39" i="82"/>
  <c r="B34" i="48"/>
  <c r="C32" i="82"/>
  <c r="B36" i="48"/>
  <c r="C34" i="82"/>
  <c r="E54" i="50"/>
  <c r="E53" i="50"/>
  <c r="C31" i="82"/>
  <c r="E26" i="50"/>
  <c r="A37" i="3"/>
  <c r="A36" i="3"/>
  <c r="A33" i="48" s="1"/>
  <c r="A34" i="48" l="1"/>
  <c r="B32" i="82"/>
  <c r="AH10" i="113"/>
  <c r="A43" i="99"/>
  <c r="A43" i="3"/>
  <c r="E44" i="50"/>
  <c r="B31" i="82"/>
  <c r="A38" i="3"/>
  <c r="A40" i="48" l="1"/>
  <c r="B38" i="82"/>
  <c r="A35" i="48"/>
  <c r="B33" i="82"/>
  <c r="A39" i="3"/>
  <c r="A36" i="48" l="1"/>
  <c r="B34" i="82"/>
  <c r="I26" i="50"/>
  <c r="F26" i="50"/>
  <c r="A44" i="3"/>
  <c r="A41" i="48" l="1"/>
  <c r="B39" i="82"/>
  <c r="AJ10" i="113"/>
  <c r="A45" i="99"/>
  <c r="A45" i="3"/>
  <c r="A42" i="48" l="1"/>
  <c r="B40" i="82"/>
  <c r="AK10" i="113"/>
  <c r="A46" i="3"/>
  <c r="A46" i="99"/>
  <c r="A43" i="48" l="1"/>
  <c r="B41" i="82"/>
  <c r="A31" i="3"/>
  <c r="E8" i="48"/>
  <c r="E61" i="48" s="1"/>
  <c r="B30" i="82" l="1"/>
  <c r="A32" i="48"/>
  <c r="A30" i="99"/>
  <c r="A29" i="3"/>
  <c r="A44" i="99"/>
  <c r="A30" i="48" l="1"/>
  <c r="B28" i="82"/>
  <c r="B40" i="99"/>
  <c r="C40" i="3"/>
  <c r="C35" i="82" s="1"/>
  <c r="B31" i="99"/>
  <c r="B12" i="99"/>
  <c r="A12" i="99"/>
  <c r="C13" i="3"/>
  <c r="A13" i="3"/>
  <c r="B13" i="82" s="1"/>
  <c r="D13" i="99"/>
  <c r="D34" i="99" s="1"/>
  <c r="D52" i="99" s="1"/>
  <c r="A86" i="48"/>
  <c r="F72" i="82"/>
  <c r="C67" i="48"/>
  <c r="E74" i="48" s="1"/>
  <c r="A83" i="48"/>
  <c r="A84" i="48"/>
  <c r="A127" i="48"/>
  <c r="B127" i="48"/>
  <c r="F127" i="48"/>
  <c r="B130" i="48"/>
  <c r="F130" i="48"/>
  <c r="C143" i="48"/>
  <c r="C144" i="48"/>
  <c r="B11" i="48"/>
  <c r="C11" i="3"/>
  <c r="C11" i="82" s="1"/>
  <c r="A12" i="3"/>
  <c r="C12" i="3"/>
  <c r="C12" i="82" s="1"/>
  <c r="A14" i="3"/>
  <c r="C14" i="3"/>
  <c r="A41" i="3"/>
  <c r="C41" i="3"/>
  <c r="A16" i="3"/>
  <c r="A18" i="48" s="1"/>
  <c r="C16" i="3"/>
  <c r="B18" i="48" s="1"/>
  <c r="A17" i="3"/>
  <c r="A19" i="48" s="1"/>
  <c r="C17" i="3"/>
  <c r="B19" i="48" s="1"/>
  <c r="A18" i="3"/>
  <c r="A20" i="48" s="1"/>
  <c r="C18" i="3"/>
  <c r="B20" i="48" s="1"/>
  <c r="A19" i="3"/>
  <c r="A21" i="48" s="1"/>
  <c r="C19" i="3"/>
  <c r="B21" i="48" s="1"/>
  <c r="A26" i="3"/>
  <c r="A28" i="48" s="1"/>
  <c r="C26" i="3"/>
  <c r="B28" i="48" s="1"/>
  <c r="A27" i="3"/>
  <c r="A29" i="48" s="1"/>
  <c r="C27" i="3"/>
  <c r="B29" i="48" s="1"/>
  <c r="C32" i="3"/>
  <c r="C20" i="3"/>
  <c r="B22" i="48" s="1"/>
  <c r="C21" i="3"/>
  <c r="B23" i="48" s="1"/>
  <c r="C22" i="3"/>
  <c r="B24" i="48" s="1"/>
  <c r="C23" i="3"/>
  <c r="B25" i="48" s="1"/>
  <c r="C25" i="3"/>
  <c r="B27" i="48" s="1"/>
  <c r="C30" i="3"/>
  <c r="B31" i="48" s="1"/>
  <c r="A52" i="3"/>
  <c r="A47" i="48" s="1"/>
  <c r="C52" i="3"/>
  <c r="B47" i="48" s="1"/>
  <c r="A90" i="48"/>
  <c r="B90" i="48"/>
  <c r="A91" i="48"/>
  <c r="B91" i="48"/>
  <c r="A92" i="48"/>
  <c r="B92" i="48"/>
  <c r="A93" i="48"/>
  <c r="B93" i="48"/>
  <c r="A94" i="48"/>
  <c r="B94" i="48"/>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2" i="48"/>
  <c r="B112" i="48"/>
  <c r="A113" i="48"/>
  <c r="B113"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A126" i="48"/>
  <c r="B126" i="48"/>
  <c r="E39" i="50"/>
  <c r="E42" i="50"/>
  <c r="E22" i="52"/>
  <c r="E24" i="52" s="1"/>
  <c r="U14" i="51"/>
  <c r="U16" i="51"/>
  <c r="S18" i="51"/>
  <c r="T18" i="51"/>
  <c r="T22" i="51"/>
  <c r="A10" i="99"/>
  <c r="B10" i="99"/>
  <c r="A11" i="99"/>
  <c r="B11" i="99"/>
  <c r="A15" i="99"/>
  <c r="B15" i="99"/>
  <c r="A41" i="99"/>
  <c r="B41" i="99"/>
  <c r="A17" i="99"/>
  <c r="B17" i="99"/>
  <c r="A18" i="99"/>
  <c r="B18" i="99"/>
  <c r="A19" i="99"/>
  <c r="B19" i="99"/>
  <c r="A20" i="99"/>
  <c r="B20" i="99"/>
  <c r="A27" i="99"/>
  <c r="B27" i="99"/>
  <c r="A28" i="99"/>
  <c r="B28" i="99"/>
  <c r="B21" i="99"/>
  <c r="B22" i="99"/>
  <c r="B23" i="99"/>
  <c r="B24" i="99"/>
  <c r="B26" i="99"/>
  <c r="A50" i="99"/>
  <c r="B50" i="99"/>
  <c r="A37" i="99"/>
  <c r="B37" i="99"/>
  <c r="A38" i="99"/>
  <c r="B38" i="99"/>
  <c r="A36" i="99"/>
  <c r="B36" i="99"/>
  <c r="A39" i="99"/>
  <c r="B39" i="99"/>
  <c r="B44" i="99"/>
  <c r="D60" i="99"/>
  <c r="D64" i="99"/>
  <c r="A69" i="99"/>
  <c r="B69" i="99"/>
  <c r="A70" i="99"/>
  <c r="B70" i="99"/>
  <c r="A71" i="99"/>
  <c r="B71" i="99"/>
  <c r="A72" i="99"/>
  <c r="B72" i="99"/>
  <c r="A73" i="99"/>
  <c r="B73" i="99"/>
  <c r="A74" i="99"/>
  <c r="B74" i="99"/>
  <c r="A75" i="99"/>
  <c r="B75" i="99"/>
  <c r="A76" i="99"/>
  <c r="B76" i="99"/>
  <c r="A81" i="99"/>
  <c r="B81" i="99"/>
  <c r="A82" i="99"/>
  <c r="B82" i="99"/>
  <c r="A83" i="99"/>
  <c r="B83" i="99"/>
  <c r="A84" i="99"/>
  <c r="B84" i="99"/>
  <c r="A85" i="99"/>
  <c r="B85" i="99"/>
  <c r="A86" i="99"/>
  <c r="B86" i="99"/>
  <c r="A87" i="99"/>
  <c r="B87" i="99"/>
  <c r="A88" i="99"/>
  <c r="B88" i="99"/>
  <c r="A89" i="99"/>
  <c r="B89" i="99"/>
  <c r="A90" i="99"/>
  <c r="B90" i="99"/>
  <c r="A91" i="99"/>
  <c r="B91" i="99"/>
  <c r="A92" i="99"/>
  <c r="B92" i="99"/>
  <c r="A93" i="99"/>
  <c r="B93" i="99"/>
  <c r="A94" i="99"/>
  <c r="B94" i="99"/>
  <c r="A99" i="99"/>
  <c r="B99" i="99"/>
  <c r="A100" i="99"/>
  <c r="B100" i="99"/>
  <c r="A101" i="99"/>
  <c r="B101" i="99"/>
  <c r="A102" i="99"/>
  <c r="B102" i="99"/>
  <c r="A103" i="99"/>
  <c r="B103" i="99"/>
  <c r="A104" i="99"/>
  <c r="B104" i="99"/>
  <c r="A105" i="99"/>
  <c r="B105" i="99"/>
  <c r="A106" i="99"/>
  <c r="B106" i="99"/>
  <c r="A107" i="99"/>
  <c r="B107" i="99"/>
  <c r="A108" i="99"/>
  <c r="B108" i="99"/>
  <c r="A109" i="99"/>
  <c r="B109" i="99"/>
  <c r="A110" i="99"/>
  <c r="B110" i="99"/>
  <c r="A111" i="99"/>
  <c r="B111" i="99"/>
  <c r="A112" i="99"/>
  <c r="B112" i="99"/>
  <c r="A113" i="99"/>
  <c r="B113" i="99"/>
  <c r="A114" i="99"/>
  <c r="B114" i="99"/>
  <c r="G113" i="99"/>
  <c r="F126" i="48"/>
  <c r="F125" i="48"/>
  <c r="G112" i="99"/>
  <c r="C81" i="48"/>
  <c r="C159" i="48" s="1"/>
  <c r="C73" i="48"/>
  <c r="C151" i="48" s="1"/>
  <c r="C77" i="48"/>
  <c r="C155" i="48" s="1"/>
  <c r="C76" i="48"/>
  <c r="C154" i="48" s="1"/>
  <c r="C72" i="48"/>
  <c r="C150" i="48" s="1"/>
  <c r="C80" i="48"/>
  <c r="C158" i="48" s="1"/>
  <c r="C71" i="48"/>
  <c r="C149" i="48" s="1"/>
  <c r="G92" i="99"/>
  <c r="F108" i="48"/>
  <c r="G86" i="99"/>
  <c r="F122" i="48"/>
  <c r="F124" i="48"/>
  <c r="F114" i="48"/>
  <c r="F98" i="48"/>
  <c r="G82" i="99"/>
  <c r="F106" i="48"/>
  <c r="G90" i="99"/>
  <c r="G109" i="99"/>
  <c r="F120" i="48"/>
  <c r="G107" i="99"/>
  <c r="G101" i="99"/>
  <c r="G114" i="99"/>
  <c r="G111" i="99"/>
  <c r="F114" i="99"/>
  <c r="G105" i="99"/>
  <c r="F118" i="48"/>
  <c r="F121" i="48"/>
  <c r="G108" i="99"/>
  <c r="F93" i="48"/>
  <c r="G72" i="99"/>
  <c r="F102" i="48"/>
  <c r="F109" i="99"/>
  <c r="F100" i="48"/>
  <c r="G84" i="99"/>
  <c r="F104" i="48"/>
  <c r="G88" i="99"/>
  <c r="F115" i="48"/>
  <c r="G102" i="99"/>
  <c r="F92" i="99"/>
  <c r="F108" i="99"/>
  <c r="F111" i="99"/>
  <c r="F123" i="48"/>
  <c r="G110" i="99"/>
  <c r="F103" i="48"/>
  <c r="G87" i="99"/>
  <c r="F119" i="48"/>
  <c r="G106" i="99"/>
  <c r="G73" i="99"/>
  <c r="F94" i="48"/>
  <c r="F97" i="48"/>
  <c r="G76" i="99"/>
  <c r="F101" i="48"/>
  <c r="G85" i="99"/>
  <c r="F99" i="48"/>
  <c r="G83" i="99"/>
  <c r="F105" i="48"/>
  <c r="G89" i="99"/>
  <c r="F116" i="48"/>
  <c r="G103" i="99"/>
  <c r="F105" i="99"/>
  <c r="G81" i="99"/>
  <c r="F110" i="99"/>
  <c r="F99" i="99"/>
  <c r="G71" i="99"/>
  <c r="F96" i="48"/>
  <c r="G75" i="99"/>
  <c r="F109" i="48"/>
  <c r="G93" i="99"/>
  <c r="F117" i="48"/>
  <c r="G104" i="99"/>
  <c r="F91" i="99"/>
  <c r="G91" i="99"/>
  <c r="F112" i="99"/>
  <c r="F101" i="99"/>
  <c r="F102" i="99"/>
  <c r="F110" i="48"/>
  <c r="G94" i="99"/>
  <c r="F90" i="48"/>
  <c r="F128" i="48" s="1"/>
  <c r="G69" i="99"/>
  <c r="G79" i="99" s="1"/>
  <c r="G97" i="99" s="1"/>
  <c r="G116" i="99" s="1"/>
  <c r="F91" i="48"/>
  <c r="G70" i="99"/>
  <c r="F95" i="48"/>
  <c r="G74" i="99"/>
  <c r="F81" i="99"/>
  <c r="F90" i="99"/>
  <c r="F104" i="99"/>
  <c r="G99" i="99"/>
  <c r="F112" i="48"/>
  <c r="F92" i="48"/>
  <c r="F69" i="99"/>
  <c r="F79" i="99" s="1"/>
  <c r="F87" i="99"/>
  <c r="F107" i="48"/>
  <c r="F113" i="99"/>
  <c r="F107" i="99"/>
  <c r="F89" i="99"/>
  <c r="F82" i="99"/>
  <c r="F86" i="99"/>
  <c r="F94" i="99"/>
  <c r="F93" i="99"/>
  <c r="F106" i="99"/>
  <c r="F103" i="99"/>
  <c r="F73" i="99"/>
  <c r="F71" i="99"/>
  <c r="F70" i="99"/>
  <c r="F76" i="99"/>
  <c r="F85" i="99"/>
  <c r="F84" i="99"/>
  <c r="F74" i="99"/>
  <c r="F83" i="99"/>
  <c r="F75" i="99"/>
  <c r="F72" i="99"/>
  <c r="F88" i="99"/>
  <c r="F113" i="48"/>
  <c r="G100" i="99"/>
  <c r="F100" i="99"/>
  <c r="E24" i="50"/>
  <c r="E13" i="99"/>
  <c r="E34" i="99" s="1"/>
  <c r="E52" i="99" s="1"/>
  <c r="B38" i="48" l="1"/>
  <c r="C36" i="82"/>
  <c r="A38" i="48"/>
  <c r="B36" i="82"/>
  <c r="E22" i="51"/>
  <c r="B37" i="48"/>
  <c r="U18" i="51"/>
  <c r="W18" i="51" s="1"/>
  <c r="B46" i="82"/>
  <c r="F18" i="82"/>
  <c r="N18" i="82" s="1"/>
  <c r="F17" i="82"/>
  <c r="N17" i="82" s="1"/>
  <c r="C25" i="82"/>
  <c r="C23" i="82"/>
  <c r="C22" i="82"/>
  <c r="C21" i="82"/>
  <c r="C20" i="82"/>
  <c r="C27" i="82"/>
  <c r="C26" i="82"/>
  <c r="C19" i="82"/>
  <c r="C18" i="82"/>
  <c r="C17" i="82"/>
  <c r="C16" i="82"/>
  <c r="B16" i="48"/>
  <c r="C14" i="82"/>
  <c r="C46" i="82"/>
  <c r="C29" i="82"/>
  <c r="B27" i="82"/>
  <c r="B26" i="82"/>
  <c r="B19" i="82"/>
  <c r="B18" i="82"/>
  <c r="B17" i="82"/>
  <c r="B16" i="82"/>
  <c r="A16" i="48"/>
  <c r="B14" i="82"/>
  <c r="A13" i="48"/>
  <c r="B12" i="82"/>
  <c r="A12" i="48"/>
  <c r="B11" i="82"/>
  <c r="B14" i="48"/>
  <c r="C13" i="82"/>
  <c r="B13" i="48"/>
  <c r="B12" i="48"/>
  <c r="A14" i="48"/>
  <c r="C78" i="48"/>
  <c r="D77" i="48" s="1"/>
  <c r="C152" i="48"/>
  <c r="D149" i="48" s="1"/>
  <c r="C82" i="48"/>
  <c r="D80" i="48" s="1"/>
  <c r="D82" i="48" s="1"/>
  <c r="E14" i="50"/>
  <c r="E51" i="50"/>
  <c r="E27" i="50"/>
  <c r="E34" i="50"/>
  <c r="E43" i="50"/>
  <c r="E45" i="50" s="1"/>
  <c r="E25" i="50"/>
  <c r="E38" i="50"/>
  <c r="E37" i="50"/>
  <c r="E18" i="50"/>
  <c r="E5" i="82"/>
  <c r="A4" i="52"/>
  <c r="E15" i="50"/>
  <c r="F97" i="99"/>
  <c r="H79" i="99"/>
  <c r="C156" i="48"/>
  <c r="D154" i="48" s="1"/>
  <c r="C145" i="48"/>
  <c r="E152" i="48" s="1"/>
  <c r="C160" i="48"/>
  <c r="D158" i="48" s="1"/>
  <c r="C74" i="48"/>
  <c r="D71" i="48" s="1"/>
  <c r="F132" i="48"/>
  <c r="F136" i="48" s="1"/>
  <c r="F139" i="48" s="1"/>
  <c r="D76" i="48" l="1"/>
  <c r="D78" i="48" s="1"/>
  <c r="V18" i="51"/>
  <c r="D155" i="48"/>
  <c r="D156" i="48" s="1"/>
  <c r="F21" i="82"/>
  <c r="N21" i="82" s="1"/>
  <c r="F27" i="82"/>
  <c r="N27" i="82" s="1"/>
  <c r="F16" i="82"/>
  <c r="N16" i="82" s="1"/>
  <c r="F29" i="82"/>
  <c r="N29" i="82" s="1"/>
  <c r="F12" i="82"/>
  <c r="N12" i="82" s="1"/>
  <c r="F19" i="82"/>
  <c r="N19" i="82" s="1"/>
  <c r="F14" i="82"/>
  <c r="N14" i="82" s="1"/>
  <c r="F23" i="82"/>
  <c r="N23" i="82" s="1"/>
  <c r="F20" i="82"/>
  <c r="N20" i="82" s="1"/>
  <c r="A32" i="3"/>
  <c r="F22" i="82"/>
  <c r="N22" i="82" s="1"/>
  <c r="F26" i="82"/>
  <c r="N26" i="82" s="1"/>
  <c r="N46" i="82"/>
  <c r="F13" i="82"/>
  <c r="N13" i="82" s="1"/>
  <c r="F25" i="82"/>
  <c r="N25" i="82" s="1"/>
  <c r="D150" i="48"/>
  <c r="E150" i="48" s="1"/>
  <c r="E160" i="48" s="1"/>
  <c r="E158" i="48" s="1"/>
  <c r="D151" i="48"/>
  <c r="E151" i="48" s="1"/>
  <c r="D81" i="48"/>
  <c r="E23" i="50"/>
  <c r="E28" i="50" s="1"/>
  <c r="F116" i="99"/>
  <c r="H116" i="99" s="1"/>
  <c r="H97" i="99"/>
  <c r="D160" i="48"/>
  <c r="E71" i="48"/>
  <c r="E78" i="48" s="1"/>
  <c r="D159" i="48"/>
  <c r="D73" i="48"/>
  <c r="E73" i="48" s="1"/>
  <c r="D72" i="48"/>
  <c r="E72" i="48" s="1"/>
  <c r="E82" i="48" s="1"/>
  <c r="E149" i="48"/>
  <c r="E156" i="48" s="1"/>
  <c r="M8" i="99" l="1"/>
  <c r="E87" i="1"/>
  <c r="F34" i="50"/>
  <c r="A20" i="3"/>
  <c r="A22" i="48" s="1"/>
  <c r="A21" i="99"/>
  <c r="F37" i="50"/>
  <c r="F10" i="82"/>
  <c r="I15" i="50"/>
  <c r="D152" i="48"/>
  <c r="E159" i="48"/>
  <c r="E80" i="48"/>
  <c r="E81" i="48"/>
  <c r="E77" i="48"/>
  <c r="E76" i="48"/>
  <c r="D74" i="48"/>
  <c r="E154" i="48"/>
  <c r="E155" i="48"/>
  <c r="F15" i="50" l="1"/>
  <c r="E18" i="3"/>
  <c r="F20" i="48" s="1"/>
  <c r="G20" i="48" s="1"/>
  <c r="G45" i="50"/>
  <c r="F42" i="50"/>
  <c r="I27" i="50"/>
  <c r="F27" i="50"/>
  <c r="I43" i="50"/>
  <c r="F43" i="50"/>
  <c r="I39" i="50"/>
  <c r="F39" i="50"/>
  <c r="I54" i="50"/>
  <c r="F54" i="50"/>
  <c r="A22" i="99"/>
  <c r="A21" i="3"/>
  <c r="A23" i="48" s="1"/>
  <c r="I24" i="50"/>
  <c r="F24" i="50"/>
  <c r="I25" i="50"/>
  <c r="F25" i="50"/>
  <c r="I53" i="50"/>
  <c r="F53" i="50"/>
  <c r="F18" i="50"/>
  <c r="I18" i="50"/>
  <c r="I44" i="50"/>
  <c r="F44" i="50"/>
  <c r="B20" i="82"/>
  <c r="I38" i="50"/>
  <c r="F38" i="50"/>
  <c r="E17" i="3"/>
  <c r="F19" i="48" s="1"/>
  <c r="G19" i="48" s="1"/>
  <c r="E39" i="3"/>
  <c r="F36" i="48" s="1"/>
  <c r="G36" i="48" s="1"/>
  <c r="E37" i="3"/>
  <c r="F34" i="48" s="1"/>
  <c r="G34" i="48" s="1"/>
  <c r="E32" i="3"/>
  <c r="E30" i="3"/>
  <c r="F31" i="48" s="1"/>
  <c r="G31" i="48" s="1"/>
  <c r="E14" i="3"/>
  <c r="F16" i="48" s="1"/>
  <c r="E40" i="3"/>
  <c r="F37" i="48" s="1"/>
  <c r="G37" i="48" s="1"/>
  <c r="E52" i="3" l="1"/>
  <c r="F47" i="48" s="1"/>
  <c r="G47" i="48" s="1"/>
  <c r="E38" i="3"/>
  <c r="F35" i="48" s="1"/>
  <c r="G35" i="48" s="1"/>
  <c r="E23" i="3"/>
  <c r="F25" i="48" s="1"/>
  <c r="G25" i="48" s="1"/>
  <c r="E16" i="3"/>
  <c r="F18" i="48" s="1"/>
  <c r="G18" i="48" s="1"/>
  <c r="E36" i="3"/>
  <c r="F33" i="48" s="1"/>
  <c r="G33" i="48" s="1"/>
  <c r="E20" i="3"/>
  <c r="F22" i="48" s="1"/>
  <c r="G22" i="48" s="1"/>
  <c r="F14" i="48"/>
  <c r="E45" i="3"/>
  <c r="F42" i="48" s="1"/>
  <c r="G42" i="48" s="1"/>
  <c r="E44" i="3"/>
  <c r="F41" i="48" s="1"/>
  <c r="G41" i="48" s="1"/>
  <c r="E26" i="3"/>
  <c r="F28" i="48" s="1"/>
  <c r="G28" i="48" s="1"/>
  <c r="E19" i="3"/>
  <c r="F21" i="48" s="1"/>
  <c r="G21" i="48" s="1"/>
  <c r="E25" i="3"/>
  <c r="F27" i="48" s="1"/>
  <c r="G27" i="48" s="1"/>
  <c r="B21" i="82"/>
  <c r="F45" i="50"/>
  <c r="E27" i="3"/>
  <c r="F29" i="48" s="1"/>
  <c r="G29" i="48" s="1"/>
  <c r="F13" i="48"/>
  <c r="A22" i="3"/>
  <c r="A24" i="48" s="1"/>
  <c r="A23" i="99"/>
  <c r="E22" i="3"/>
  <c r="E11" i="3"/>
  <c r="F12" i="48" s="1"/>
  <c r="E41" i="3"/>
  <c r="F38" i="48" s="1"/>
  <c r="G38" i="48" s="1"/>
  <c r="G16" i="48"/>
  <c r="F24" i="48" l="1"/>
  <c r="G24" i="48" s="1"/>
  <c r="G12" i="48"/>
  <c r="B22" i="82"/>
  <c r="G13" i="48"/>
  <c r="A24" i="99"/>
  <c r="A23" i="3"/>
  <c r="A25" i="48" s="1"/>
  <c r="G14" i="48"/>
  <c r="F49" i="48" l="1"/>
  <c r="B23" i="82"/>
  <c r="A25" i="3"/>
  <c r="A27" i="48" s="1"/>
  <c r="A26" i="99"/>
  <c r="A40" i="3" l="1"/>
  <c r="B35" i="82" s="1"/>
  <c r="A40" i="99"/>
  <c r="B25" i="82"/>
  <c r="A37" i="48" l="1"/>
  <c r="A30" i="3"/>
  <c r="A31" i="48" s="1"/>
  <c r="A31" i="99" l="1"/>
  <c r="B29" i="82" l="1"/>
  <c r="S22" i="51"/>
  <c r="U22" i="51" s="1"/>
  <c r="L14" i="51"/>
  <c r="N14" i="51" l="1"/>
  <c r="O13" i="51"/>
  <c r="AL52" i="1" l="1"/>
  <c r="AL56" i="1" s="1"/>
  <c r="AM52" i="1"/>
  <c r="Z52" i="1"/>
  <c r="Z56" i="1" s="1"/>
  <c r="AQ52" i="1"/>
  <c r="AS52" i="1"/>
  <c r="AO52" i="1"/>
  <c r="N52" i="1"/>
  <c r="N52" i="113" s="1"/>
  <c r="W52" i="1"/>
  <c r="E51" i="48"/>
  <c r="AJ52" i="1"/>
  <c r="E14" i="51"/>
  <c r="AP52" i="1"/>
  <c r="AM52" i="113" s="1"/>
  <c r="AJ52" i="113"/>
  <c r="X52" i="1"/>
  <c r="X52" i="113" s="1"/>
  <c r="AK52" i="1"/>
  <c r="AH52" i="113" s="1"/>
  <c r="S52" i="1"/>
  <c r="I52" i="1"/>
  <c r="I52" i="113" s="1"/>
  <c r="K52" i="1"/>
  <c r="K52" i="113" s="1"/>
  <c r="AF52" i="113"/>
  <c r="R52" i="1"/>
  <c r="R52" i="113" s="1"/>
  <c r="T52" i="1"/>
  <c r="T52" i="113" s="1"/>
  <c r="J52" i="1"/>
  <c r="J52" i="113" s="1"/>
  <c r="G57" i="82"/>
  <c r="P52" i="1"/>
  <c r="P52" i="113" s="1"/>
  <c r="AD52" i="113"/>
  <c r="F52" i="1"/>
  <c r="F52" i="113" s="1"/>
  <c r="M52" i="1"/>
  <c r="M52" i="113" s="1"/>
  <c r="Q52" i="1"/>
  <c r="Q52" i="113" s="1"/>
  <c r="O52" i="1"/>
  <c r="O52" i="113" s="1"/>
  <c r="AH52" i="1"/>
  <c r="AE52" i="113" s="1"/>
  <c r="L52" i="1"/>
  <c r="L52" i="113" s="1"/>
  <c r="AD52" i="1"/>
  <c r="AA52" i="113" s="1"/>
  <c r="U52" i="1"/>
  <c r="U52" i="113" s="1"/>
  <c r="AB52" i="1"/>
  <c r="H52" i="1"/>
  <c r="H52" i="113" s="1"/>
  <c r="G52" i="1"/>
  <c r="G52" i="113" s="1"/>
  <c r="V52" i="1"/>
  <c r="V52" i="113" s="1"/>
  <c r="AF52" i="1"/>
  <c r="AC52" i="113" s="1"/>
  <c r="AN52" i="1"/>
  <c r="AA52" i="1"/>
  <c r="F57" i="82"/>
  <c r="N8" i="99"/>
  <c r="P43" i="116" l="1"/>
  <c r="T43" i="116" s="1"/>
  <c r="M43" i="116"/>
  <c r="P30" i="116"/>
  <c r="T30" i="116" s="1"/>
  <c r="M30" i="116"/>
  <c r="I32" i="48"/>
  <c r="I47" i="48"/>
  <c r="AP52" i="113"/>
  <c r="AO52" i="113"/>
  <c r="AS56" i="1"/>
  <c r="AN52" i="113"/>
  <c r="AQ56" i="1"/>
  <c r="AB52" i="113"/>
  <c r="AO56" i="1"/>
  <c r="AL52" i="113"/>
  <c r="N29" i="99"/>
  <c r="N49" i="99"/>
  <c r="I39" i="48"/>
  <c r="I46" i="48"/>
  <c r="I44" i="48"/>
  <c r="I45" i="48"/>
  <c r="N48" i="99"/>
  <c r="N47" i="99"/>
  <c r="N56" i="1"/>
  <c r="W52" i="113"/>
  <c r="W56" i="1"/>
  <c r="AP56" i="1"/>
  <c r="AG52" i="113"/>
  <c r="AJ56" i="1"/>
  <c r="N42" i="99"/>
  <c r="Z52" i="113"/>
  <c r="N32" i="99"/>
  <c r="N23" i="99"/>
  <c r="N30" i="99"/>
  <c r="N37" i="99"/>
  <c r="N15" i="99"/>
  <c r="N46" i="99"/>
  <c r="N41" i="99"/>
  <c r="N50" i="99"/>
  <c r="N12" i="99"/>
  <c r="N20" i="99"/>
  <c r="N31" i="99"/>
  <c r="N45" i="99"/>
  <c r="N39" i="99"/>
  <c r="N27" i="99"/>
  <c r="N10" i="99"/>
  <c r="N25" i="99"/>
  <c r="N24" i="99"/>
  <c r="N43" i="99"/>
  <c r="N38" i="99"/>
  <c r="N22" i="99"/>
  <c r="N36" i="99"/>
  <c r="N17" i="99"/>
  <c r="N26" i="99"/>
  <c r="N44" i="99"/>
  <c r="N19" i="99"/>
  <c r="N16" i="99"/>
  <c r="N28" i="99"/>
  <c r="N11" i="99"/>
  <c r="N21" i="99"/>
  <c r="N18" i="99"/>
  <c r="N40" i="99"/>
  <c r="I12" i="48"/>
  <c r="I31" i="48"/>
  <c r="I21" i="48"/>
  <c r="I17" i="48"/>
  <c r="I18" i="48"/>
  <c r="I19" i="48"/>
  <c r="I23" i="48"/>
  <c r="I24" i="48"/>
  <c r="I27" i="48"/>
  <c r="I22" i="48"/>
  <c r="I29" i="48"/>
  <c r="I25" i="48"/>
  <c r="I26" i="48"/>
  <c r="I28" i="48"/>
  <c r="I37" i="48"/>
  <c r="I20" i="48"/>
  <c r="I30" i="48"/>
  <c r="I43" i="48"/>
  <c r="I42" i="48"/>
  <c r="AI52" i="113"/>
  <c r="AK52" i="113"/>
  <c r="AM56" i="1"/>
  <c r="X56" i="1"/>
  <c r="AN56" i="1"/>
  <c r="I40" i="48"/>
  <c r="S56" i="1"/>
  <c r="S52" i="113"/>
  <c r="E85" i="1"/>
  <c r="I56" i="1"/>
  <c r="AB56" i="113"/>
  <c r="AF56" i="1"/>
  <c r="R56" i="1"/>
  <c r="K56" i="1"/>
  <c r="O56" i="1"/>
  <c r="AD56" i="113"/>
  <c r="AF56" i="113"/>
  <c r="AB56" i="1"/>
  <c r="V56" i="1"/>
  <c r="AH56" i="1"/>
  <c r="J56" i="1"/>
  <c r="L56" i="1"/>
  <c r="P56" i="1"/>
  <c r="T56" i="1"/>
  <c r="M56" i="1"/>
  <c r="AI56" i="113"/>
  <c r="Q56" i="1"/>
  <c r="H56" i="1"/>
  <c r="AC52" i="1"/>
  <c r="F56" i="1"/>
  <c r="AD56" i="1"/>
  <c r="G56" i="1"/>
  <c r="AA56" i="1"/>
  <c r="U56" i="1"/>
  <c r="I16" i="48"/>
  <c r="I13" i="48"/>
  <c r="F51" i="48"/>
  <c r="F53" i="48" s="1"/>
  <c r="F57" i="48" s="1"/>
  <c r="F60" i="48" s="1"/>
  <c r="I14" i="48"/>
  <c r="I41" i="48"/>
  <c r="I38" i="48"/>
  <c r="I35" i="48"/>
  <c r="I33" i="48"/>
  <c r="I36" i="48"/>
  <c r="I34" i="48"/>
  <c r="O14" i="99"/>
  <c r="O35" i="99"/>
  <c r="Q56" i="113" l="1"/>
  <c r="G56" i="113"/>
  <c r="T56" i="113"/>
  <c r="V56" i="113"/>
  <c r="AA56" i="113"/>
  <c r="P56" i="113"/>
  <c r="O56" i="113"/>
  <c r="S56" i="113"/>
  <c r="N56" i="113"/>
  <c r="P10" i="116"/>
  <c r="M10" i="116"/>
  <c r="L56" i="113"/>
  <c r="K56" i="113"/>
  <c r="P14" i="116"/>
  <c r="T14" i="116" s="1"/>
  <c r="M14" i="116"/>
  <c r="R56" i="113"/>
  <c r="M45" i="116"/>
  <c r="P45" i="116"/>
  <c r="T45" i="116" s="1"/>
  <c r="D47" i="3"/>
  <c r="H56" i="113"/>
  <c r="AE56" i="113"/>
  <c r="AC56" i="113"/>
  <c r="X56" i="113"/>
  <c r="M41" i="116"/>
  <c r="P41" i="116"/>
  <c r="T41" i="116" s="1"/>
  <c r="M44" i="116"/>
  <c r="P44" i="116"/>
  <c r="T44" i="116" s="1"/>
  <c r="P48" i="116"/>
  <c r="T48" i="116" s="1"/>
  <c r="M48" i="116"/>
  <c r="U56" i="113"/>
  <c r="I56" i="113"/>
  <c r="AM56" i="113"/>
  <c r="M56" i="113"/>
  <c r="G29" i="99"/>
  <c r="AO56" i="113"/>
  <c r="AL89" i="1"/>
  <c r="AL90" i="1" s="1"/>
  <c r="AL82" i="1" s="1"/>
  <c r="AI89" i="1"/>
  <c r="AI90" i="1" s="1"/>
  <c r="AI82" i="1" s="1"/>
  <c r="AE89" i="1"/>
  <c r="AE90" i="1" s="1"/>
  <c r="AE82" i="1" s="1"/>
  <c r="AG89" i="1"/>
  <c r="AG90" i="1" s="1"/>
  <c r="AG82" i="1" s="1"/>
  <c r="G49" i="99"/>
  <c r="AN56" i="113"/>
  <c r="D49" i="3"/>
  <c r="AP56" i="113"/>
  <c r="AS89" i="1"/>
  <c r="AS90" i="1" s="1"/>
  <c r="AS82" i="1" s="1"/>
  <c r="AS84" i="1" s="1"/>
  <c r="Z89" i="1"/>
  <c r="Z90" i="1" s="1"/>
  <c r="Z82" i="1" s="1"/>
  <c r="AQ89" i="1"/>
  <c r="AQ90" i="1" s="1"/>
  <c r="AQ82" i="1" s="1"/>
  <c r="G47" i="99"/>
  <c r="AL56" i="113"/>
  <c r="J29" i="99"/>
  <c r="M29" i="99" s="1"/>
  <c r="P29" i="99" s="1"/>
  <c r="O29" i="99"/>
  <c r="G48" i="99"/>
  <c r="D19" i="3"/>
  <c r="G20" i="99"/>
  <c r="J20" i="99" s="1"/>
  <c r="M20" i="99" s="1"/>
  <c r="P20" i="99" s="1"/>
  <c r="AO89" i="1"/>
  <c r="AO90" i="1" s="1"/>
  <c r="W56" i="113"/>
  <c r="D28" i="3"/>
  <c r="D48" i="3"/>
  <c r="W89" i="1"/>
  <c r="W90" i="1" s="1"/>
  <c r="G32" i="99"/>
  <c r="Z56" i="113"/>
  <c r="D31" i="3"/>
  <c r="G42" i="99"/>
  <c r="AG56" i="113"/>
  <c r="D42" i="3"/>
  <c r="AJ89" i="1"/>
  <c r="AJ90" i="1" s="1"/>
  <c r="AP89" i="1"/>
  <c r="AP90" i="1" s="1"/>
  <c r="AJ56" i="113"/>
  <c r="G45" i="99"/>
  <c r="J45" i="99" s="1"/>
  <c r="M45" i="99" s="1"/>
  <c r="AK56" i="113"/>
  <c r="G30" i="99"/>
  <c r="J30" i="99" s="1"/>
  <c r="M30" i="99" s="1"/>
  <c r="D29" i="3"/>
  <c r="AM89" i="1"/>
  <c r="AM90" i="1" s="1"/>
  <c r="X89" i="1"/>
  <c r="X90" i="1" s="1"/>
  <c r="X82" i="1" s="1"/>
  <c r="G25" i="99"/>
  <c r="D24" i="3"/>
  <c r="D14" i="3"/>
  <c r="G15" i="99"/>
  <c r="S89" i="1"/>
  <c r="S90" i="1" s="1"/>
  <c r="N89" i="1"/>
  <c r="N90" i="1" s="1"/>
  <c r="I89" i="1"/>
  <c r="I90" i="1" s="1"/>
  <c r="G36" i="99"/>
  <c r="G39" i="99"/>
  <c r="G38" i="99"/>
  <c r="G44" i="99"/>
  <c r="G37" i="99"/>
  <c r="J89" i="1"/>
  <c r="J90" i="1" s="1"/>
  <c r="J82" i="1" s="1"/>
  <c r="J56" i="113"/>
  <c r="D16" i="3"/>
  <c r="D37" i="3"/>
  <c r="AD89" i="1"/>
  <c r="AD90" i="1" s="1"/>
  <c r="K89" i="1"/>
  <c r="K90" i="1" s="1"/>
  <c r="G17" i="99"/>
  <c r="D27" i="3"/>
  <c r="G19" i="99"/>
  <c r="O89" i="1"/>
  <c r="O90" i="1" s="1"/>
  <c r="D13" i="3"/>
  <c r="AF89" i="1"/>
  <c r="AF90" i="1" s="1"/>
  <c r="G24" i="99"/>
  <c r="D38" i="3"/>
  <c r="D23" i="3"/>
  <c r="R89" i="1"/>
  <c r="R90" i="1" s="1"/>
  <c r="M89" i="1"/>
  <c r="M90" i="1" s="1"/>
  <c r="H89" i="1"/>
  <c r="H90" i="1" s="1"/>
  <c r="G40" i="99"/>
  <c r="D12" i="3"/>
  <c r="D20" i="3"/>
  <c r="V89" i="1"/>
  <c r="V90" i="1" s="1"/>
  <c r="D18" i="3"/>
  <c r="G21" i="99"/>
  <c r="G50" i="99"/>
  <c r="G12" i="99"/>
  <c r="G28" i="99"/>
  <c r="G23" i="99"/>
  <c r="D40" i="3"/>
  <c r="D39" i="3"/>
  <c r="AH89" i="1"/>
  <c r="AH90" i="1" s="1"/>
  <c r="AB89" i="1"/>
  <c r="AB90" i="1" s="1"/>
  <c r="G22" i="99"/>
  <c r="G27" i="99"/>
  <c r="G41" i="99"/>
  <c r="P89" i="1"/>
  <c r="P90" i="1" s="1"/>
  <c r="D11" i="3"/>
  <c r="Q89" i="1"/>
  <c r="Q90" i="1" s="1"/>
  <c r="T89" i="1"/>
  <c r="T90" i="1" s="1"/>
  <c r="G26" i="99"/>
  <c r="D32" i="3"/>
  <c r="D41" i="3"/>
  <c r="D22" i="3"/>
  <c r="D21" i="3"/>
  <c r="G18" i="99"/>
  <c r="J18" i="99" s="1"/>
  <c r="M18" i="99" s="1"/>
  <c r="G10" i="99"/>
  <c r="AA89" i="1"/>
  <c r="AA90" i="1" s="1"/>
  <c r="AA82" i="1" s="1"/>
  <c r="F89" i="1"/>
  <c r="F90" i="1" s="1"/>
  <c r="F56" i="113"/>
  <c r="D15" i="3"/>
  <c r="G16" i="99"/>
  <c r="J16" i="99" s="1"/>
  <c r="M16" i="99" s="1"/>
  <c r="G89" i="1"/>
  <c r="G90" i="1" s="1"/>
  <c r="U89" i="1"/>
  <c r="U90" i="1" s="1"/>
  <c r="D25" i="3"/>
  <c r="D45" i="3"/>
  <c r="D17" i="3"/>
  <c r="D46" i="3"/>
  <c r="L89" i="1"/>
  <c r="L90" i="1" s="1"/>
  <c r="D44" i="3"/>
  <c r="G11" i="99"/>
  <c r="D52" i="3"/>
  <c r="D36" i="3"/>
  <c r="D26" i="3"/>
  <c r="AN89" i="1"/>
  <c r="AN90" i="1" s="1"/>
  <c r="AN82" i="1" s="1"/>
  <c r="G46" i="99"/>
  <c r="AR52" i="1"/>
  <c r="AT52" i="1" s="1"/>
  <c r="N31" i="82"/>
  <c r="P23" i="116" l="1"/>
  <c r="T23" i="116" s="1"/>
  <c r="M23" i="116"/>
  <c r="P26" i="116"/>
  <c r="T26" i="116" s="1"/>
  <c r="M26" i="116"/>
  <c r="P17" i="116"/>
  <c r="T17" i="116" s="1"/>
  <c r="M17" i="116"/>
  <c r="P37" i="116"/>
  <c r="T37" i="116" s="1"/>
  <c r="M37" i="116"/>
  <c r="P16" i="116"/>
  <c r="T16" i="116" s="1"/>
  <c r="M16" i="116"/>
  <c r="P19" i="116"/>
  <c r="T19" i="116" s="1"/>
  <c r="M19" i="116"/>
  <c r="P24" i="116"/>
  <c r="T24" i="116" s="1"/>
  <c r="M24" i="116"/>
  <c r="P47" i="116"/>
  <c r="T47" i="116" s="1"/>
  <c r="M47" i="116"/>
  <c r="P39" i="116"/>
  <c r="T39" i="116" s="1"/>
  <c r="M39" i="116"/>
  <c r="P22" i="116"/>
  <c r="T22" i="116" s="1"/>
  <c r="M22" i="116"/>
  <c r="P20" i="116"/>
  <c r="T20" i="116" s="1"/>
  <c r="M20" i="116"/>
  <c r="M11" i="116"/>
  <c r="P11" i="116"/>
  <c r="T11" i="116" s="1"/>
  <c r="P49" i="116"/>
  <c r="T49" i="116" s="1"/>
  <c r="M49" i="116"/>
  <c r="P13" i="116"/>
  <c r="T13" i="116" s="1"/>
  <c r="M13" i="116"/>
  <c r="P12" i="116"/>
  <c r="T12" i="116" s="1"/>
  <c r="M12" i="116"/>
  <c r="T10" i="116"/>
  <c r="P18" i="116"/>
  <c r="T18" i="116" s="1"/>
  <c r="M18" i="116"/>
  <c r="P35" i="116"/>
  <c r="T35" i="116" s="1"/>
  <c r="M35" i="116"/>
  <c r="P21" i="116"/>
  <c r="T21" i="116" s="1"/>
  <c r="M21" i="116"/>
  <c r="P27" i="116"/>
  <c r="T27" i="116" s="1"/>
  <c r="M27" i="116"/>
  <c r="P25" i="116"/>
  <c r="T25" i="116" s="1"/>
  <c r="M25" i="116"/>
  <c r="P28" i="116"/>
  <c r="T28" i="116" s="1"/>
  <c r="M28" i="116"/>
  <c r="M46" i="116"/>
  <c r="P46" i="116"/>
  <c r="T46" i="116" s="1"/>
  <c r="M15" i="116"/>
  <c r="P15" i="116"/>
  <c r="T15" i="116" s="1"/>
  <c r="J49" i="99"/>
  <c r="M49" i="99" s="1"/>
  <c r="P49" i="99" s="1"/>
  <c r="O49" i="99"/>
  <c r="J47" i="99"/>
  <c r="M47" i="99" s="1"/>
  <c r="P47" i="99" s="1"/>
  <c r="O47" i="99"/>
  <c r="J48" i="99"/>
  <c r="M48" i="99" s="1"/>
  <c r="P48" i="99" s="1"/>
  <c r="O48" i="99"/>
  <c r="G52" i="50"/>
  <c r="O20" i="99"/>
  <c r="AO82" i="1"/>
  <c r="W82" i="1"/>
  <c r="J32" i="99"/>
  <c r="M32" i="99" s="1"/>
  <c r="P32" i="99" s="1"/>
  <c r="O32" i="99"/>
  <c r="J42" i="99"/>
  <c r="M42" i="99" s="1"/>
  <c r="P42" i="99" s="1"/>
  <c r="O42" i="99"/>
  <c r="AJ82" i="1"/>
  <c r="J41" i="99"/>
  <c r="M41" i="99" s="1"/>
  <c r="P41" i="99" s="1"/>
  <c r="J21" i="99"/>
  <c r="M21" i="99" s="1"/>
  <c r="P21" i="99" s="1"/>
  <c r="J24" i="99"/>
  <c r="M24" i="99" s="1"/>
  <c r="P24" i="99" s="1"/>
  <c r="J36" i="99"/>
  <c r="M36" i="99" s="1"/>
  <c r="P36" i="99" s="1"/>
  <c r="J26" i="99"/>
  <c r="M26" i="99" s="1"/>
  <c r="P26" i="99" s="1"/>
  <c r="J22" i="99"/>
  <c r="M22" i="99" s="1"/>
  <c r="P22" i="99" s="1"/>
  <c r="J23" i="99"/>
  <c r="M23" i="99" s="1"/>
  <c r="P23" i="99" s="1"/>
  <c r="J50" i="99"/>
  <c r="M50" i="99" s="1"/>
  <c r="P50" i="99" s="1"/>
  <c r="J40" i="99"/>
  <c r="M40" i="99" s="1"/>
  <c r="P40" i="99" s="1"/>
  <c r="J39" i="99"/>
  <c r="M39" i="99" s="1"/>
  <c r="P39" i="99" s="1"/>
  <c r="J37" i="99"/>
  <c r="M37" i="99" s="1"/>
  <c r="P37" i="99" s="1"/>
  <c r="J15" i="99"/>
  <c r="M15" i="99" s="1"/>
  <c r="P15" i="99" s="1"/>
  <c r="J11" i="99"/>
  <c r="M11" i="99" s="1"/>
  <c r="P11" i="99" s="1"/>
  <c r="J27" i="99"/>
  <c r="M27" i="99" s="1"/>
  <c r="P27" i="99" s="1"/>
  <c r="J28" i="99"/>
  <c r="M28" i="99" s="1"/>
  <c r="P28" i="99" s="1"/>
  <c r="J19" i="99"/>
  <c r="M19" i="99" s="1"/>
  <c r="P19" i="99" s="1"/>
  <c r="J44" i="99"/>
  <c r="M44" i="99" s="1"/>
  <c r="P44" i="99" s="1"/>
  <c r="J25" i="99"/>
  <c r="M25" i="99" s="1"/>
  <c r="P25" i="99" s="1"/>
  <c r="J46" i="99"/>
  <c r="M46" i="99" s="1"/>
  <c r="P46" i="99" s="1"/>
  <c r="O10" i="99"/>
  <c r="J10" i="99"/>
  <c r="M10" i="99" s="1"/>
  <c r="J12" i="99"/>
  <c r="M12" i="99" s="1"/>
  <c r="P12" i="99" s="1"/>
  <c r="J17" i="99"/>
  <c r="M17" i="99" s="1"/>
  <c r="P17" i="99" s="1"/>
  <c r="J38" i="99"/>
  <c r="M38" i="99" s="1"/>
  <c r="P38" i="99" s="1"/>
  <c r="AP82" i="1"/>
  <c r="P45" i="99"/>
  <c r="O45" i="99"/>
  <c r="P30" i="99"/>
  <c r="O30" i="99"/>
  <c r="AM82" i="1"/>
  <c r="O25" i="99"/>
  <c r="O15" i="99"/>
  <c r="O17" i="99"/>
  <c r="S82" i="1"/>
  <c r="O37" i="99"/>
  <c r="O38" i="99"/>
  <c r="O19" i="99"/>
  <c r="O24" i="99"/>
  <c r="O12" i="99"/>
  <c r="O41" i="99"/>
  <c r="O40" i="99"/>
  <c r="O39" i="99"/>
  <c r="O50" i="99"/>
  <c r="O28" i="99"/>
  <c r="O21" i="99"/>
  <c r="O26" i="99"/>
  <c r="O46" i="99"/>
  <c r="O44" i="99"/>
  <c r="O23" i="99"/>
  <c r="O22" i="99"/>
  <c r="O27" i="99"/>
  <c r="O36" i="99"/>
  <c r="P18" i="99"/>
  <c r="O18" i="99"/>
  <c r="O11" i="99"/>
  <c r="P16" i="99"/>
  <c r="O16" i="99"/>
  <c r="T82" i="1"/>
  <c r="H82" i="1"/>
  <c r="K82" i="1"/>
  <c r="U82" i="1"/>
  <c r="L82" i="1"/>
  <c r="AF82" i="1"/>
  <c r="AD82" i="1"/>
  <c r="O82" i="1"/>
  <c r="Q82" i="1"/>
  <c r="N82" i="1"/>
  <c r="F82" i="1"/>
  <c r="AB82" i="1"/>
  <c r="G82" i="1"/>
  <c r="I82" i="1"/>
  <c r="P82" i="1"/>
  <c r="V82" i="1"/>
  <c r="M82" i="1"/>
  <c r="R82" i="1"/>
  <c r="AH82" i="1"/>
  <c r="AC49" i="116" l="1"/>
  <c r="Y51" i="116"/>
  <c r="AC51" i="116" s="1"/>
  <c r="E53" i="114"/>
  <c r="P10" i="99"/>
  <c r="F52" i="50" l="1"/>
  <c r="I52" i="50" l="1"/>
  <c r="AR28" i="1" l="1"/>
  <c r="AT28" i="1" s="1"/>
  <c r="F48" i="82" l="1"/>
  <c r="G28" i="50"/>
  <c r="F23" i="50"/>
  <c r="F28" i="50" s="1"/>
  <c r="I23" i="50"/>
  <c r="I28" i="50" s="1"/>
  <c r="F14" i="50" l="1"/>
  <c r="E77" i="113" l="1"/>
  <c r="E62" i="1"/>
  <c r="E62" i="113" s="1"/>
  <c r="E75" i="113"/>
  <c r="E69" i="1"/>
  <c r="E69" i="113" s="1"/>
  <c r="E68" i="1"/>
  <c r="E68" i="50" s="1"/>
  <c r="E63" i="1"/>
  <c r="E63" i="113" s="1"/>
  <c r="E64" i="113"/>
  <c r="E71" i="1"/>
  <c r="E70" i="1"/>
  <c r="AC70" i="1" s="1"/>
  <c r="AR70" i="1" s="1"/>
  <c r="AT70" i="1" s="1"/>
  <c r="E67" i="1"/>
  <c r="E67" i="50" s="1"/>
  <c r="E78" i="1"/>
  <c r="E61" i="1"/>
  <c r="E60" i="1"/>
  <c r="G70" i="50" l="1"/>
  <c r="E16" i="1"/>
  <c r="E16" i="113" s="1"/>
  <c r="E63" i="50"/>
  <c r="E69" i="50"/>
  <c r="AC63" i="1"/>
  <c r="AR63" i="1" s="1"/>
  <c r="AT63" i="1" s="1"/>
  <c r="E70" i="113"/>
  <c r="AC62" i="1"/>
  <c r="AR62" i="1" s="1"/>
  <c r="AT62" i="1" s="1"/>
  <c r="AC69" i="1"/>
  <c r="AR69" i="1" s="1"/>
  <c r="AT69" i="1" s="1"/>
  <c r="AC75" i="1"/>
  <c r="AR75" i="1" s="1"/>
  <c r="AT75" i="1" s="1"/>
  <c r="E68" i="113"/>
  <c r="E67" i="113"/>
  <c r="AC67" i="1"/>
  <c r="AR67" i="1" s="1"/>
  <c r="E64" i="50"/>
  <c r="AC64" i="1"/>
  <c r="AR64" i="1" s="1"/>
  <c r="AT64" i="1" s="1"/>
  <c r="AC61" i="1"/>
  <c r="AR61" i="1" s="1"/>
  <c r="AT61" i="1" s="1"/>
  <c r="E61" i="113"/>
  <c r="E61" i="50"/>
  <c r="G10" i="82"/>
  <c r="E78" i="50"/>
  <c r="AC78" i="1"/>
  <c r="AR78" i="1" s="1"/>
  <c r="E78" i="113"/>
  <c r="E65" i="1"/>
  <c r="AC60" i="1"/>
  <c r="AR60" i="1" s="1"/>
  <c r="E60" i="50"/>
  <c r="E60" i="113"/>
  <c r="E71" i="113"/>
  <c r="E71" i="50"/>
  <c r="AC71" i="1"/>
  <c r="AR71" i="1" s="1"/>
  <c r="AT71" i="1" s="1"/>
  <c r="AC68" i="1"/>
  <c r="AR68" i="1" s="1"/>
  <c r="AT68" i="1" s="1"/>
  <c r="E70" i="50"/>
  <c r="E77" i="50"/>
  <c r="E75" i="50"/>
  <c r="E62" i="50"/>
  <c r="E72" i="1"/>
  <c r="E72" i="113" s="1"/>
  <c r="J10" i="82"/>
  <c r="J48" i="82" s="1"/>
  <c r="AC77" i="1"/>
  <c r="AR77" i="1" s="1"/>
  <c r="AT77" i="1" s="1"/>
  <c r="I10" i="82"/>
  <c r="I48" i="82" s="1"/>
  <c r="H10" i="82"/>
  <c r="H48" i="82" s="1"/>
  <c r="G75" i="50" l="1"/>
  <c r="G61" i="50"/>
  <c r="E62" i="114" s="1"/>
  <c r="G62" i="50"/>
  <c r="G64" i="50"/>
  <c r="E65" i="114" s="1"/>
  <c r="G68" i="50"/>
  <c r="E69" i="114" s="1"/>
  <c r="G63" i="50"/>
  <c r="G77" i="50"/>
  <c r="G71" i="50"/>
  <c r="E72" i="114" s="1"/>
  <c r="G69" i="50"/>
  <c r="AT78" i="1"/>
  <c r="AT67" i="1"/>
  <c r="E71" i="114"/>
  <c r="AC16" i="1"/>
  <c r="AC17" i="1" s="1"/>
  <c r="E16" i="50"/>
  <c r="E17" i="50" s="1"/>
  <c r="E19" i="50" s="1"/>
  <c r="E17" i="1"/>
  <c r="E19" i="1" s="1"/>
  <c r="E10" i="82"/>
  <c r="N10" i="82" s="1"/>
  <c r="N48" i="82" s="1"/>
  <c r="E72" i="50"/>
  <c r="G48" i="82"/>
  <c r="F55" i="82" s="1"/>
  <c r="L10" i="82"/>
  <c r="L48" i="82" s="1"/>
  <c r="AC72" i="1"/>
  <c r="AR72" i="1" s="1"/>
  <c r="AT72" i="1" s="1"/>
  <c r="E65" i="113"/>
  <c r="E73" i="1"/>
  <c r="AC65" i="1"/>
  <c r="AT60" i="1"/>
  <c r="E65" i="50"/>
  <c r="G78" i="50" l="1"/>
  <c r="G67" i="50"/>
  <c r="G60" i="50"/>
  <c r="E61" i="114" s="1"/>
  <c r="F70" i="50"/>
  <c r="E64" i="114"/>
  <c r="E63" i="114"/>
  <c r="E70" i="114"/>
  <c r="I70" i="50"/>
  <c r="AR16" i="1"/>
  <c r="I71" i="50"/>
  <c r="F64" i="50"/>
  <c r="I61" i="50"/>
  <c r="I68" i="50"/>
  <c r="E17" i="113"/>
  <c r="E48" i="82"/>
  <c r="F64" i="82" s="1"/>
  <c r="F67" i="82" s="1"/>
  <c r="E73" i="50"/>
  <c r="E76" i="50" s="1"/>
  <c r="E80" i="50" s="1"/>
  <c r="E73" i="113"/>
  <c r="E76" i="1"/>
  <c r="AC73" i="1"/>
  <c r="AC76" i="1" s="1"/>
  <c r="AC80" i="1" s="1"/>
  <c r="AR65" i="1"/>
  <c r="AT65" i="1" s="1"/>
  <c r="F61" i="82"/>
  <c r="F59" i="82"/>
  <c r="AC19" i="1"/>
  <c r="E19" i="113"/>
  <c r="E79" i="114" l="1"/>
  <c r="E68" i="114"/>
  <c r="E73" i="114" s="1"/>
  <c r="E76" i="114"/>
  <c r="AT73" i="1"/>
  <c r="AT16" i="1"/>
  <c r="F69" i="50"/>
  <c r="F62" i="50"/>
  <c r="E66" i="114"/>
  <c r="F63" i="50"/>
  <c r="I63" i="50"/>
  <c r="F61" i="50"/>
  <c r="F68" i="50"/>
  <c r="I64" i="50"/>
  <c r="F71" i="50"/>
  <c r="I69" i="50"/>
  <c r="I62" i="50"/>
  <c r="I60" i="50"/>
  <c r="F70" i="82"/>
  <c r="F74" i="82" s="1"/>
  <c r="F78" i="82" s="1"/>
  <c r="G106" i="82" s="1"/>
  <c r="G108" i="82" s="1"/>
  <c r="AR73" i="1"/>
  <c r="E76" i="113"/>
  <c r="E80" i="1"/>
  <c r="K7" i="116" s="1"/>
  <c r="R7" i="116" l="1"/>
  <c r="K32" i="116"/>
  <c r="K51" i="116" s="1"/>
  <c r="AK16" i="116" s="1"/>
  <c r="AK18" i="116" s="1"/>
  <c r="G16" i="50"/>
  <c r="AT76" i="1"/>
  <c r="AT80" i="1" s="1"/>
  <c r="E12" i="51" s="1"/>
  <c r="F75" i="50"/>
  <c r="F78" i="50"/>
  <c r="I78" i="50"/>
  <c r="G72" i="50"/>
  <c r="I75" i="50"/>
  <c r="I67" i="50"/>
  <c r="I72" i="50" s="1"/>
  <c r="F67" i="50"/>
  <c r="F72" i="50" s="1"/>
  <c r="E74" i="114"/>
  <c r="E77" i="114" s="1"/>
  <c r="G65" i="50"/>
  <c r="I65" i="50"/>
  <c r="F60" i="50"/>
  <c r="F65" i="50" s="1"/>
  <c r="AR76" i="1"/>
  <c r="AR80" i="1" s="1"/>
  <c r="F84" i="82"/>
  <c r="G102" i="82" s="1"/>
  <c r="G104" i="82" s="1"/>
  <c r="G110" i="82" s="1"/>
  <c r="E80" i="113"/>
  <c r="E10" i="3"/>
  <c r="H9" i="99"/>
  <c r="R32" i="116" l="1"/>
  <c r="R51" i="116" s="1"/>
  <c r="G73" i="50"/>
  <c r="G76" i="50" s="1"/>
  <c r="E17" i="114"/>
  <c r="E18" i="114" s="1"/>
  <c r="E20" i="114" s="1"/>
  <c r="G17" i="50"/>
  <c r="G19" i="50" s="1"/>
  <c r="I73" i="50"/>
  <c r="I76" i="50" s="1"/>
  <c r="H13" i="99"/>
  <c r="K9" i="99"/>
  <c r="N9" i="99" s="1"/>
  <c r="F73" i="50"/>
  <c r="F76" i="50" s="1"/>
  <c r="E11" i="48"/>
  <c r="E34" i="3"/>
  <c r="I11" i="48" l="1"/>
  <c r="I53" i="48" s="1"/>
  <c r="I60" i="48" s="1"/>
  <c r="E49" i="48"/>
  <c r="E53" i="48" s="1"/>
  <c r="E50" i="3"/>
  <c r="E54" i="3" s="1"/>
  <c r="I16" i="50"/>
  <c r="F16" i="50"/>
  <c r="F17" i="50" s="1"/>
  <c r="F19" i="50" s="1"/>
  <c r="H34" i="99"/>
  <c r="G11" i="48"/>
  <c r="G49" i="48" s="1"/>
  <c r="N13" i="99"/>
  <c r="N34" i="99" s="1"/>
  <c r="N52" i="99" s="1"/>
  <c r="K13" i="99"/>
  <c r="K34" i="99" s="1"/>
  <c r="K52" i="99" s="1"/>
  <c r="K49" i="48" l="1"/>
  <c r="E57" i="48"/>
  <c r="G53" i="48"/>
  <c r="H52" i="99"/>
  <c r="E16" i="51" l="1"/>
  <c r="E60" i="48"/>
  <c r="G57" i="48"/>
  <c r="E78" i="114" l="1"/>
  <c r="E81" i="114" s="1"/>
  <c r="F77" i="50"/>
  <c r="F80" i="50" s="1"/>
  <c r="I77" i="50"/>
  <c r="I80" i="50" s="1"/>
  <c r="G80" i="50"/>
  <c r="Y51" i="1"/>
  <c r="K60" i="48" s="1"/>
  <c r="G60" i="48"/>
  <c r="Y51" i="113" l="1"/>
  <c r="AC51" i="1"/>
  <c r="Y56" i="1"/>
  <c r="Y56" i="113" l="1"/>
  <c r="G31" i="99"/>
  <c r="J31" i="99" s="1"/>
  <c r="M31" i="99" s="1"/>
  <c r="D30" i="3"/>
  <c r="Y89" i="1"/>
  <c r="Y90" i="1" s="1"/>
  <c r="P29" i="116" l="1"/>
  <c r="M29" i="116"/>
  <c r="Y82" i="1"/>
  <c r="O31" i="99"/>
  <c r="T29" i="116" l="1"/>
  <c r="P31" i="99"/>
  <c r="G39" i="114" l="1"/>
  <c r="G70" i="114"/>
  <c r="G27" i="114"/>
  <c r="G16" i="114"/>
  <c r="G55" i="114"/>
  <c r="G76" i="114"/>
  <c r="G25" i="114"/>
  <c r="G62" i="114"/>
  <c r="G43" i="114"/>
  <c r="G54" i="114"/>
  <c r="G61" i="114"/>
  <c r="G15" i="114"/>
  <c r="G71" i="114" l="1"/>
  <c r="J71" i="114" s="1"/>
  <c r="G44" i="114"/>
  <c r="J44" i="114" s="1"/>
  <c r="G24" i="114"/>
  <c r="J24" i="114" s="1"/>
  <c r="G64" i="114"/>
  <c r="J64" i="114" s="1"/>
  <c r="G28" i="114"/>
  <c r="F28" i="114" s="1"/>
  <c r="G68" i="114"/>
  <c r="F68" i="114" s="1"/>
  <c r="G26" i="114"/>
  <c r="F26" i="114" s="1"/>
  <c r="G72" i="114"/>
  <c r="F72" i="114" s="1"/>
  <c r="G79" i="114"/>
  <c r="F79" i="114" s="1"/>
  <c r="G78" i="114"/>
  <c r="F78" i="114" s="1"/>
  <c r="G65" i="114"/>
  <c r="F65" i="114" s="1"/>
  <c r="G38" i="114"/>
  <c r="F38" i="114" s="1"/>
  <c r="G40" i="114"/>
  <c r="J40" i="114" s="1"/>
  <c r="G63" i="114"/>
  <c r="F63" i="114" s="1"/>
  <c r="G69" i="114"/>
  <c r="F69" i="114" s="1"/>
  <c r="G45" i="114"/>
  <c r="G53" i="114"/>
  <c r="F53" i="114" s="1"/>
  <c r="G19" i="114"/>
  <c r="J19" i="114" s="1"/>
  <c r="G17" i="114"/>
  <c r="J17" i="114" s="1"/>
  <c r="J62" i="114"/>
  <c r="F62" i="114"/>
  <c r="J25" i="114"/>
  <c r="F25" i="114"/>
  <c r="J55" i="114"/>
  <c r="F55" i="114"/>
  <c r="J76" i="114"/>
  <c r="F76" i="114"/>
  <c r="J70" i="114"/>
  <c r="F70" i="114"/>
  <c r="J54" i="114"/>
  <c r="F54" i="114"/>
  <c r="F43" i="114"/>
  <c r="J61" i="114"/>
  <c r="F61" i="114"/>
  <c r="J27" i="114"/>
  <c r="F27" i="114"/>
  <c r="J39" i="114"/>
  <c r="F39" i="114"/>
  <c r="F15" i="114"/>
  <c r="F16" i="114"/>
  <c r="F71" i="114" l="1"/>
  <c r="G46" i="114"/>
  <c r="F44" i="114"/>
  <c r="J65" i="114"/>
  <c r="F40" i="114"/>
  <c r="F24" i="114"/>
  <c r="F29" i="114" s="1"/>
  <c r="F64" i="114"/>
  <c r="J79" i="114"/>
  <c r="J28" i="114"/>
  <c r="J26" i="114"/>
  <c r="J78" i="114"/>
  <c r="J72" i="114"/>
  <c r="J69" i="114"/>
  <c r="G73" i="114"/>
  <c r="J68" i="114"/>
  <c r="G29" i="114"/>
  <c r="F45" i="114"/>
  <c r="J45" i="114"/>
  <c r="J53" i="114"/>
  <c r="J63" i="114"/>
  <c r="G66" i="114"/>
  <c r="G18" i="114"/>
  <c r="G20" i="114" s="1"/>
  <c r="F19" i="114"/>
  <c r="F17" i="114"/>
  <c r="F18" i="114" s="1"/>
  <c r="F66" i="114"/>
  <c r="F73" i="114"/>
  <c r="F46" i="114" l="1"/>
  <c r="J29" i="114"/>
  <c r="J66" i="114"/>
  <c r="J73" i="114"/>
  <c r="G74" i="114"/>
  <c r="G77" i="114" s="1"/>
  <c r="G81" i="114" s="1"/>
  <c r="F20" i="114"/>
  <c r="F74" i="114"/>
  <c r="F77" i="114" s="1"/>
  <c r="F81" i="114" s="1"/>
  <c r="J74" i="114" l="1"/>
  <c r="J77" i="114" s="1"/>
  <c r="J81" i="114" s="1"/>
  <c r="AK17" i="1"/>
  <c r="AH17" i="113" l="1"/>
  <c r="AR17" i="1"/>
  <c r="AK19" i="1"/>
  <c r="AT17" i="1" l="1"/>
  <c r="AR19" i="1"/>
  <c r="AK48" i="1"/>
  <c r="AH19" i="113"/>
  <c r="AT19" i="1" l="1"/>
  <c r="AH48" i="113"/>
  <c r="AK51" i="1"/>
  <c r="AK56" i="1" s="1"/>
  <c r="P42" i="116" l="1"/>
  <c r="M42" i="116"/>
  <c r="AK89" i="1"/>
  <c r="AK90" i="1" s="1"/>
  <c r="AH56" i="113"/>
  <c r="G43" i="99"/>
  <c r="D43" i="3"/>
  <c r="AH51" i="113"/>
  <c r="AR51" i="1"/>
  <c r="T42" i="116" l="1"/>
  <c r="AT51" i="1"/>
  <c r="J43" i="99"/>
  <c r="M43" i="99" s="1"/>
  <c r="O43" i="99"/>
  <c r="AK82" i="1"/>
  <c r="G51" i="50" l="1"/>
  <c r="P43" i="99" l="1"/>
  <c r="G52" i="114" l="1"/>
  <c r="F51" i="50"/>
  <c r="E52" i="114"/>
  <c r="F256" i="111"/>
  <c r="F230" i="111"/>
  <c r="F247" i="111"/>
  <c r="F246" i="111"/>
  <c r="F239" i="111"/>
  <c r="F236" i="111"/>
  <c r="F248" i="111"/>
  <c r="F241" i="111"/>
  <c r="F234" i="111"/>
  <c r="F240" i="111"/>
  <c r="F229" i="111"/>
  <c r="F242" i="111"/>
  <c r="F243" i="111"/>
  <c r="F244" i="111"/>
  <c r="F233" i="111"/>
  <c r="F231" i="111"/>
  <c r="F228" i="111"/>
  <c r="F245" i="111"/>
  <c r="F235" i="111"/>
  <c r="F232" i="111"/>
  <c r="F252" i="111"/>
  <c r="F254" i="111"/>
  <c r="F33" i="111" s="1"/>
  <c r="E33" i="111" s="1"/>
  <c r="H33" i="111" s="1"/>
  <c r="F251" i="111"/>
  <c r="F227" i="111"/>
  <c r="F249" i="111"/>
  <c r="F31" i="111" s="1"/>
  <c r="E31" i="1" s="1"/>
  <c r="F32" i="111" l="1"/>
  <c r="E32" i="1" s="1"/>
  <c r="AC32" i="1" s="1"/>
  <c r="AR32" i="1" s="1"/>
  <c r="AT32" i="1" s="1"/>
  <c r="F52" i="114"/>
  <c r="AC31" i="1"/>
  <c r="E31" i="113"/>
  <c r="E31" i="50"/>
  <c r="E31" i="111"/>
  <c r="E32" i="113" l="1"/>
  <c r="E35" i="1"/>
  <c r="E32" i="50"/>
  <c r="F35" i="111"/>
  <c r="F46" i="111" s="1"/>
  <c r="F48" i="111" s="1"/>
  <c r="F56" i="111" s="1"/>
  <c r="F81" i="111" s="1"/>
  <c r="E32" i="111"/>
  <c r="H32" i="111" s="1"/>
  <c r="G32" i="50"/>
  <c r="AC35" i="1"/>
  <c r="AR31" i="1"/>
  <c r="E35" i="111"/>
  <c r="H31" i="111"/>
  <c r="E46" i="1"/>
  <c r="E35" i="113"/>
  <c r="E35" i="50"/>
  <c r="E46" i="50" s="1"/>
  <c r="E48" i="50" s="1"/>
  <c r="E56" i="50" s="1"/>
  <c r="E81" i="50" s="1"/>
  <c r="F26" i="51" l="1"/>
  <c r="F28" i="51" s="1"/>
  <c r="H16" i="114"/>
  <c r="J16" i="114" s="1"/>
  <c r="F32" i="50"/>
  <c r="AT31" i="1"/>
  <c r="E46" i="113"/>
  <c r="E48" i="1"/>
  <c r="H35" i="111"/>
  <c r="E46" i="111"/>
  <c r="AR35" i="1"/>
  <c r="AC46" i="1"/>
  <c r="G31" i="50" l="1"/>
  <c r="E33" i="114"/>
  <c r="I32" i="50"/>
  <c r="G33" i="114"/>
  <c r="J33" i="114" s="1"/>
  <c r="AT35" i="1"/>
  <c r="E48" i="111"/>
  <c r="H46" i="111"/>
  <c r="AC48" i="1"/>
  <c r="AR46" i="1"/>
  <c r="E48" i="113"/>
  <c r="E56" i="1"/>
  <c r="I7" i="116" s="1"/>
  <c r="P7" i="116" l="1"/>
  <c r="M7" i="116"/>
  <c r="I32" i="116"/>
  <c r="F33" i="114"/>
  <c r="E32" i="114"/>
  <c r="E36" i="114" s="1"/>
  <c r="E47" i="114" s="1"/>
  <c r="E49" i="114" s="1"/>
  <c r="E57" i="114" s="1"/>
  <c r="E82" i="114" s="1"/>
  <c r="AT46" i="1"/>
  <c r="E81" i="1"/>
  <c r="D10" i="3"/>
  <c r="E56" i="113"/>
  <c r="E89" i="1"/>
  <c r="E90" i="1" s="1"/>
  <c r="G9" i="99"/>
  <c r="AC56" i="1"/>
  <c r="AR48" i="1"/>
  <c r="E56" i="111"/>
  <c r="H48" i="111"/>
  <c r="M32" i="116" l="1"/>
  <c r="M51" i="116" s="1"/>
  <c r="M55" i="116" s="1"/>
  <c r="I51" i="116"/>
  <c r="T7" i="116"/>
  <c r="T32" i="116" s="1"/>
  <c r="T51" i="116" s="1"/>
  <c r="P32" i="116"/>
  <c r="P51" i="116" s="1"/>
  <c r="I31" i="50"/>
  <c r="G32" i="114"/>
  <c r="F32" i="114" s="1"/>
  <c r="F36" i="114" s="1"/>
  <c r="F47" i="114" s="1"/>
  <c r="F49" i="114" s="1"/>
  <c r="F57" i="114" s="1"/>
  <c r="G35" i="50"/>
  <c r="G46" i="50" s="1"/>
  <c r="G48" i="50" s="1"/>
  <c r="G56" i="50" s="1"/>
  <c r="G81" i="50" s="1"/>
  <c r="F31" i="50"/>
  <c r="F35" i="50" s="1"/>
  <c r="F46" i="50" s="1"/>
  <c r="F48" i="50" s="1"/>
  <c r="F56" i="50" s="1"/>
  <c r="AT48" i="1"/>
  <c r="D34" i="3"/>
  <c r="F10" i="3"/>
  <c r="E81" i="111"/>
  <c r="H56" i="111"/>
  <c r="AC89" i="1"/>
  <c r="AC90" i="1" s="1"/>
  <c r="AR56" i="1"/>
  <c r="AT56" i="1" s="1"/>
  <c r="O9" i="99"/>
  <c r="G13" i="99"/>
  <c r="J9" i="99"/>
  <c r="E82" i="1"/>
  <c r="V53" i="116" l="1"/>
  <c r="F34" i="3"/>
  <c r="D50" i="3"/>
  <c r="D54" i="3" s="1"/>
  <c r="E18" i="51"/>
  <c r="J32" i="114"/>
  <c r="G36" i="114"/>
  <c r="G47" i="114" s="1"/>
  <c r="G49" i="114" s="1"/>
  <c r="G57" i="114" s="1"/>
  <c r="G82" i="114" s="1"/>
  <c r="AT89" i="1"/>
  <c r="AT90" i="1" s="1"/>
  <c r="AR89" i="1"/>
  <c r="AR90" i="1" s="1"/>
  <c r="AR82" i="1" s="1"/>
  <c r="G34" i="99"/>
  <c r="G52" i="99" s="1"/>
  <c r="O13" i="99"/>
  <c r="AC82" i="1"/>
  <c r="J13" i="99"/>
  <c r="J34" i="99" s="1"/>
  <c r="J52" i="99" s="1"/>
  <c r="M9" i="99"/>
  <c r="E20" i="51" l="1"/>
  <c r="E24" i="51" s="1"/>
  <c r="AR84" i="1"/>
  <c r="AT82" i="1"/>
  <c r="AT84" i="1" s="1"/>
  <c r="AT85" i="1" s="1"/>
  <c r="F50" i="3"/>
  <c r="O34" i="99"/>
  <c r="P9" i="99"/>
  <c r="P52" i="99" s="1"/>
  <c r="M13" i="99"/>
  <c r="M34" i="99" s="1"/>
  <c r="M52" i="99" s="1"/>
  <c r="F54" i="3"/>
  <c r="N55" i="99" l="1"/>
  <c r="N57" i="99" s="1"/>
  <c r="N59" i="99" s="1"/>
  <c r="T53" i="116"/>
  <c r="T55" i="116" s="1"/>
  <c r="E28" i="51" l="1"/>
  <c r="N118" i="99"/>
  <c r="Q118" i="99" s="1"/>
  <c r="E32" i="51"/>
  <c r="J9" i="52"/>
  <c r="J14" i="52" l="1"/>
  <c r="J16" i="52"/>
  <c r="J12" i="52"/>
  <c r="H15" i="114"/>
  <c r="H18" i="114" s="1"/>
  <c r="H20" i="114" s="1"/>
  <c r="H14" i="50"/>
  <c r="H34" i="50" l="1"/>
  <c r="H35" i="114"/>
  <c r="H36" i="114" s="1"/>
  <c r="H42" i="50"/>
  <c r="H43" i="114"/>
  <c r="H46" i="114" s="1"/>
  <c r="I14" i="50"/>
  <c r="I17" i="50" s="1"/>
  <c r="I19" i="50" s="1"/>
  <c r="H17" i="50"/>
  <c r="H19" i="50" s="1"/>
  <c r="K9" i="52"/>
  <c r="H37" i="50"/>
  <c r="I37" i="50" s="1"/>
  <c r="H38" i="114"/>
  <c r="J18" i="52"/>
  <c r="J20" i="52" s="1"/>
  <c r="I15" i="114" l="1"/>
  <c r="K12" i="52"/>
  <c r="K14" i="52"/>
  <c r="I43" i="114" s="1"/>
  <c r="K16" i="52"/>
  <c r="I35" i="114" s="1"/>
  <c r="H45" i="50"/>
  <c r="I42" i="50"/>
  <c r="I45" i="50" s="1"/>
  <c r="H47" i="114"/>
  <c r="H49" i="114" s="1"/>
  <c r="J22" i="52"/>
  <c r="I34" i="50"/>
  <c r="I35" i="50" s="1"/>
  <c r="H35" i="50"/>
  <c r="H46" i="50" l="1"/>
  <c r="H48" i="50" s="1"/>
  <c r="I46" i="50"/>
  <c r="I48" i="50" s="1"/>
  <c r="H51" i="50"/>
  <c r="I51" i="50" s="1"/>
  <c r="H52" i="114"/>
  <c r="H57" i="114" s="1"/>
  <c r="J24" i="52"/>
  <c r="J26" i="52" s="1"/>
  <c r="J43" i="114"/>
  <c r="J46" i="114" s="1"/>
  <c r="I46" i="114"/>
  <c r="I38" i="114"/>
  <c r="J38" i="114" s="1"/>
  <c r="K18" i="52"/>
  <c r="K20" i="52" s="1"/>
  <c r="I36" i="114"/>
  <c r="J35" i="114"/>
  <c r="J36" i="114" s="1"/>
  <c r="I18" i="114"/>
  <c r="I20" i="114" s="1"/>
  <c r="J15" i="114"/>
  <c r="J18" i="114" s="1"/>
  <c r="J20" i="114" s="1"/>
  <c r="I56" i="50" l="1"/>
  <c r="I81" i="50" s="1"/>
  <c r="J47" i="114"/>
  <c r="J49" i="114" s="1"/>
  <c r="I47" i="114"/>
  <c r="I49" i="114" s="1"/>
  <c r="K22" i="52"/>
  <c r="I52" i="114" s="1"/>
  <c r="J52" i="114" s="1"/>
  <c r="H56" i="50"/>
  <c r="J57" i="114" l="1"/>
  <c r="J82" i="114" s="1"/>
  <c r="I57" i="114"/>
  <c r="K24" i="52"/>
  <c r="K26" i="52" s="1"/>
</calcChain>
</file>

<file path=xl/comments1.xml><?xml version="1.0" encoding="utf-8"?>
<comments xmlns="http://schemas.openxmlformats.org/spreadsheetml/2006/main">
  <authors>
    <author>Joe Miller</author>
  </authors>
  <commentList>
    <comment ref="E30" authorId="0" shapeId="0">
      <text>
        <r>
          <rPr>
            <b/>
            <sz val="9"/>
            <color indexed="81"/>
            <rFont val="Tahoma"/>
            <family val="2"/>
          </rPr>
          <t>Joe Miller:</t>
        </r>
        <r>
          <rPr>
            <sz val="9"/>
            <color indexed="81"/>
            <rFont val="Tahoma"/>
            <family val="2"/>
          </rPr>
          <t xml:space="preserve">
From Ehrbar Exhibit</t>
        </r>
      </text>
    </comment>
  </commentList>
</comments>
</file>

<file path=xl/comments2.xml><?xml version="1.0" encoding="utf-8"?>
<comments xmlns="http://schemas.openxmlformats.org/spreadsheetml/2006/main">
  <authors>
    <author>Liz Andrews</author>
  </authors>
  <commentList>
    <comment ref="N51" authorId="0"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1" authorId="0"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Y51" authorId="0" shapeId="0">
      <text>
        <r>
          <rPr>
            <b/>
            <sz val="8"/>
            <color indexed="81"/>
            <rFont val="Tahoma"/>
            <family val="2"/>
          </rPr>
          <t>Liz Andrews:</t>
        </r>
        <r>
          <rPr>
            <sz val="8"/>
            <color indexed="81"/>
            <rFont val="Tahoma"/>
            <family val="2"/>
          </rPr>
          <t xml:space="preserve">
per Debt calc.</t>
        </r>
      </text>
    </comment>
    <comment ref="U53" authorId="0" shapeId="0">
      <text>
        <r>
          <rPr>
            <b/>
            <sz val="9"/>
            <color indexed="81"/>
            <rFont val="Tahoma"/>
            <family val="2"/>
          </rPr>
          <t xml:space="preserve">annette brandon:
</t>
        </r>
        <r>
          <rPr>
            <sz val="9"/>
            <color indexed="81"/>
            <rFont val="Tahoma"/>
            <family val="2"/>
          </rPr>
          <t>use ERM worksheet to input</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5" authorId="0" shapeId="0">
      <text>
        <r>
          <rPr>
            <b/>
            <sz val="10"/>
            <color indexed="81"/>
            <rFont val="Tahoma"/>
            <family val="2"/>
          </rPr>
          <t>revenue from Montana Noxon customers is included in Idaho.  Is reversed out for Commission Basis reports</t>
        </r>
      </text>
    </comment>
    <comment ref="M85" authorId="0" shapeId="0">
      <text>
        <r>
          <rPr>
            <b/>
            <sz val="10"/>
            <color indexed="81"/>
            <rFont val="Tahoma"/>
            <family val="2"/>
          </rPr>
          <t>revenue from Montana Noxon customers is included in Idaho.  Is reversed out for Commission Basis reports</t>
        </r>
      </text>
    </comment>
    <comment ref="B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9" authorId="1" shapeId="0">
      <text>
        <r>
          <rPr>
            <b/>
            <sz val="8"/>
            <color indexed="81"/>
            <rFont val="Tahoma"/>
            <family val="2"/>
          </rPr>
          <t>2/6/04 Account 182.31 is fully offset by 283.17</t>
        </r>
        <r>
          <rPr>
            <sz val="8"/>
            <color indexed="81"/>
            <rFont val="Tahoma"/>
            <family val="2"/>
          </rPr>
          <t xml:space="preserve">
</t>
        </r>
      </text>
    </comment>
    <comment ref="B430" authorId="1" shapeId="0">
      <text>
        <r>
          <rPr>
            <b/>
            <sz val="8"/>
            <color indexed="81"/>
            <rFont val="Tahoma"/>
            <family val="2"/>
          </rPr>
          <t>2/6/04 Account 182.31 is fully offset by 283.17</t>
        </r>
        <r>
          <rPr>
            <sz val="8"/>
            <color indexed="81"/>
            <rFont val="Tahoma"/>
            <family val="2"/>
          </rPr>
          <t xml:space="preserve">
</t>
        </r>
      </text>
    </comment>
    <comment ref="A451" authorId="2" shapeId="0">
      <text>
        <r>
          <rPr>
            <sz val="9"/>
            <color indexed="81"/>
            <rFont val="Tahoma"/>
            <family val="2"/>
          </rPr>
          <t>Acct 0108.02  System amount is from input matrix.  WA and ID amounts are hard coded, and do not change.</t>
        </r>
      </text>
    </comment>
    <comment ref="M452" authorId="1" shapeId="0">
      <text>
        <r>
          <rPr>
            <sz val="8"/>
            <color indexed="81"/>
            <rFont val="Tahoma"/>
            <family val="2"/>
          </rPr>
          <t xml:space="preserve">Write-off recorded 9/04 as the results of the Idaho General Rate Case
</t>
        </r>
      </text>
    </comment>
    <comment ref="B453" authorId="1" shapeId="0">
      <text>
        <r>
          <rPr>
            <sz val="8"/>
            <color indexed="81"/>
            <rFont val="Tahoma"/>
            <family val="2"/>
          </rPr>
          <t xml:space="preserve">Write-off recorded 9/04 as the results of the Idaho General Rate Case
</t>
        </r>
      </text>
    </comment>
    <comment ref="M453" authorId="1" shapeId="0">
      <text>
        <r>
          <rPr>
            <sz val="8"/>
            <color indexed="81"/>
            <rFont val="Tahoma"/>
            <family val="2"/>
          </rPr>
          <t xml:space="preserve">Write-off recorded 9/04 as the results of the Idaho General Rate Case
</t>
        </r>
      </text>
    </comment>
    <comment ref="B454" authorId="1" shapeId="0">
      <text>
        <r>
          <rPr>
            <sz val="8"/>
            <color indexed="81"/>
            <rFont val="Tahoma"/>
            <family val="2"/>
          </rPr>
          <t xml:space="preserve">Write-off recorded 9/04 as the results of the Idaho General Rate Case
</t>
        </r>
      </text>
    </comment>
    <comment ref="M454" authorId="1" shapeId="0">
      <text>
        <r>
          <rPr>
            <sz val="8"/>
            <color indexed="81"/>
            <rFont val="Tahoma"/>
            <family val="2"/>
          </rPr>
          <t xml:space="preserve">Write-off recorded 9/04 as the results of the Idaho General Rate Case
</t>
        </r>
      </text>
    </comment>
    <comment ref="B455"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4"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0"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gzhkw6</author>
  </authors>
  <commentList>
    <comment ref="K10" authorId="0" shapeId="0">
      <text>
        <r>
          <rPr>
            <b/>
            <sz val="8"/>
            <color indexed="81"/>
            <rFont val="Tahoma"/>
            <family val="2"/>
          </rPr>
          <t>gzhkw6:</t>
        </r>
        <r>
          <rPr>
            <sz val="8"/>
            <color indexed="81"/>
            <rFont val="Tahoma"/>
            <family val="2"/>
          </rPr>
          <t xml:space="preserve">
Yellow Highlight indicates requires additional functionalization of some accounts in ROO Input</t>
        </r>
      </text>
    </comment>
  </commentList>
</comments>
</file>

<file path=xl/sharedStrings.xml><?xml version="1.0" encoding="utf-8"?>
<sst xmlns="http://schemas.openxmlformats.org/spreadsheetml/2006/main" count="1462" uniqueCount="830">
  <si>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</si>
  <si>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</si>
  <si>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</si>
  <si>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</si>
  <si>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</si>
  <si>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</si>
  <si>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</si>
  <si>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</si>
  <si>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</si>
  <si>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</si>
  <si>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</si>
  <si>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</si>
  <si>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</si>
  <si>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</si>
  <si>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</si>
  <si>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</si>
  <si>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</si>
  <si>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</si>
  <si>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</si>
  <si>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</si>
  <si>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</si>
  <si>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</si>
  <si>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</si>
  <si>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</si>
  <si>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</si>
  <si>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</si>
  <si>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</si>
  <si>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</si>
  <si>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</si>
  <si>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</si>
  <si>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</si>
  <si>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</si>
  <si>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</si>
  <si>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</si>
  <si>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</si>
  <si>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</si>
  <si>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</si>
  <si>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</si>
  <si>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</si>
  <si>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</si>
  <si>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</si>
  <si>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</si>
  <si>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</si>
  <si>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</si>
  <si>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</si>
  <si>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</si>
  <si>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</si>
  <si>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</si>
  <si>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</si>
  <si>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</si>
  <si>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</si>
  <si>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</si>
  <si>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</si>
  <si>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</si>
  <si>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</si>
  <si>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</si>
  <si>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</si>
  <si>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</si>
  <si>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</si>
  <si>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</si>
  <si>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</si>
  <si>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</si>
  <si>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</si>
  <si>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</si>
  <si>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</si>
  <si>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</si>
  <si>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</si>
  <si>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</si>
  <si>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</si>
  <si>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</si>
  <si>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</si>
  <si>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</si>
  <si>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</si>
  <si>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</si>
  <si>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</si>
  <si>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</si>
  <si>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</si>
  <si>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</si>
  <si>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</si>
  <si>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</si>
  <si>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</si>
  <si>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</si>
  <si>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</si>
  <si>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</si>
  <si>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</si>
  <si>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</si>
  <si>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</si>
  <si>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</si>
  <si>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</si>
  <si>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</si>
  <si>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</si>
  <si>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</si>
  <si>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</si>
  <si>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</si>
  <si>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</si>
  <si>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</si>
  <si>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</si>
  <si>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</si>
  <si>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</si>
  <si>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</si>
  <si>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</si>
  <si>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</si>
  <si>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</si>
  <si>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</si>
  <si>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</si>
  <si>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</si>
  <si>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</si>
  <si>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</si>
  <si>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</si>
  <si>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</si>
  <si>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</si>
  <si>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</si>
  <si>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</si>
  <si>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</si>
  <si>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</si>
  <si>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</si>
  <si>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</si>
  <si>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</si>
  <si>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</si>
  <si>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</si>
  <si>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</si>
  <si>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</si>
  <si>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</si>
  <si>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</si>
  <si>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</si>
  <si>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</si>
  <si>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</si>
  <si>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</si>
  <si>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</si>
  <si>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</si>
  <si>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</si>
  <si>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</si>
  <si>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</si>
  <si>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</si>
  <si>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</si>
  <si>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</si>
  <si>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</si>
  <si>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</si>
  <si>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</si>
  <si>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</si>
  <si>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</si>
  <si>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</si>
  <si>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</si>
  <si>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</si>
  <si>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</si>
  <si>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</si>
  <si>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</si>
  <si>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</si>
  <si>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</si>
  <si>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</si>
  <si>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</si>
  <si>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</si>
  <si>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</si>
  <si>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</si>
  <si>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</si>
  <si>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</si>
  <si>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</si>
  <si>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</si>
  <si>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</si>
  <si>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</si>
  <si>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</si>
  <si>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</si>
  <si>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</si>
  <si>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</si>
  <si>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</si>
  <si>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</si>
  <si>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</si>
  <si>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</si>
  <si>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</si>
  <si>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</si>
  <si>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</si>
  <si>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</si>
  <si>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</si>
  <si>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</si>
  <si>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</si>
  <si>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</si>
  <si>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</si>
  <si>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</si>
  <si>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</si>
  <si>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</si>
  <si>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</si>
  <si>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</si>
  <si>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</si>
  <si>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</si>
  <si>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</si>
  <si>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</si>
  <si>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</si>
  <si>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</si>
  <si>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</si>
  <si>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</si>
  <si>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</si>
  <si>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</si>
  <si>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</si>
  <si>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</si>
  <si>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</si>
  <si>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</si>
  <si>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</si>
  <si>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</si>
  <si>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</si>
  <si>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</si>
  <si>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</si>
  <si>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</si>
  <si>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</si>
  <si>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</si>
  <si>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</si>
  <si>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</si>
  <si>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</si>
  <si>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</si>
  <si>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</si>
  <si>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</si>
  <si>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</si>
  <si>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</si>
  <si>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</si>
  <si>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</si>
  <si>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</si>
  <si>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</si>
  <si>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</si>
  <si>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</si>
  <si>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</si>
  <si>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</si>
  <si>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</si>
  <si>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</si>
  <si>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</si>
  <si>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</si>
  <si>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</si>
  <si>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</si>
  <si>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Revenue</t>
  </si>
  <si>
    <t>Labor</t>
  </si>
  <si>
    <t>Exec</t>
  </si>
  <si>
    <t>Net</t>
  </si>
  <si>
    <t>Excise</t>
  </si>
  <si>
    <t>updated for 2006</t>
  </si>
  <si>
    <t>Debt Cost</t>
  </si>
  <si>
    <t>Tax Effect</t>
  </si>
  <si>
    <t>(Rate Base x Debt Cost x -35%)</t>
  </si>
  <si>
    <t>Net Expense</t>
  </si>
  <si>
    <t>(Expense - Revenue)</t>
  </si>
  <si>
    <t>(Net Expense x -.35%)</t>
  </si>
  <si>
    <t>Total Prod/Trans</t>
  </si>
  <si>
    <t>Conversion Factor (Excl. Rev. Rel. Exp.)</t>
  </si>
  <si>
    <t>1 - Tax Rate</t>
  </si>
  <si>
    <t>Prod/Trans</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</si>
  <si>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</si>
  <si>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</si>
  <si>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</si>
  <si>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</si>
  <si>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</si>
  <si>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</si>
  <si>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</si>
  <si>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</si>
  <si>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</si>
  <si>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</si>
  <si>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</si>
  <si>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</si>
  <si>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</si>
  <si>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</si>
  <si>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AVERAGE PRODUCTION AND TRANSMISSION COST</t>
  </si>
  <si>
    <t>WASHINGTON ELECTRIC</t>
  </si>
  <si>
    <t>($000's)</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</si>
  <si>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</si>
  <si>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</si>
  <si>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</si>
  <si>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</si>
  <si>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</si>
  <si>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</si>
  <si>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</si>
  <si>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</si>
  <si>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</si>
  <si>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</si>
  <si>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Plant</t>
  </si>
  <si>
    <t>Acc Depreciation</t>
  </si>
  <si>
    <t>Deferred Tax</t>
  </si>
  <si>
    <t>Per Results Report</t>
  </si>
  <si>
    <t>Calculation of Retail Revenue Credit Rate</t>
  </si>
  <si>
    <t>Check Net</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</si>
  <si>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</si>
  <si>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</si>
  <si>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</si>
  <si>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</si>
  <si>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</si>
  <si>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</si>
  <si>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</si>
  <si>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</si>
  <si>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</si>
  <si>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</si>
  <si>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</si>
  <si>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</si>
  <si>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</si>
  <si>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</si>
  <si>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Test Year WA Normalized Retail Load MWh</t>
  </si>
  <si>
    <t xml:space="preserve">Tara </t>
  </si>
  <si>
    <t xml:space="preserve">Gains / </t>
  </si>
  <si>
    <t>Losses</t>
  </si>
  <si>
    <t>Production / Transmission</t>
  </si>
  <si>
    <t>Cost of Capital</t>
  </si>
  <si>
    <t>Proposed Production and Transmission Revenue Requirement</t>
  </si>
  <si>
    <t xml:space="preserve">Debits and </t>
  </si>
  <si>
    <t>Credits</t>
  </si>
  <si>
    <t xml:space="preserve">Results of </t>
  </si>
  <si>
    <t xml:space="preserve">Operations </t>
  </si>
  <si>
    <t>Debt Interest</t>
  </si>
  <si>
    <t>ROO</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</si>
  <si>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</si>
  <si>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</si>
  <si>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</si>
  <si>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</si>
  <si>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</si>
  <si>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</si>
  <si>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</si>
  <si>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</si>
  <si>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</si>
  <si>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</si>
  <si>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</si>
  <si>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</si>
  <si>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</si>
  <si>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</si>
  <si>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</si>
  <si>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</si>
  <si>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</si>
  <si>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</si>
  <si>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</si>
  <si>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</si>
  <si>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</si>
  <si>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</si>
  <si>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</si>
  <si>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</si>
  <si>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</si>
  <si>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</si>
  <si>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</si>
  <si>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</si>
  <si>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</si>
  <si>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</si>
  <si>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</si>
  <si>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</si>
  <si>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</si>
  <si>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</si>
  <si>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</si>
  <si>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</si>
  <si>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</si>
  <si>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</si>
  <si>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</si>
  <si>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</si>
  <si>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</si>
  <si>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</si>
  <si>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</si>
  <si>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</si>
  <si>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</si>
  <si>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</si>
  <si>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</si>
  <si>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</si>
  <si>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</si>
  <si>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</si>
  <si>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</si>
  <si>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</si>
  <si>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</si>
  <si>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</si>
  <si>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</si>
  <si>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</si>
  <si>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</si>
  <si>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</si>
  <si>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</si>
  <si>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</si>
  <si>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</si>
  <si>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</si>
  <si>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</si>
  <si>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</si>
  <si>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</si>
  <si>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</si>
  <si>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</si>
  <si>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</si>
  <si>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</si>
  <si>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</si>
  <si>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</si>
  <si>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</si>
  <si>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</si>
  <si>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</si>
  <si>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</si>
  <si>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</si>
  <si>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</si>
  <si>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</si>
  <si>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</si>
  <si>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</si>
  <si>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</si>
  <si>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</si>
  <si>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</si>
  <si>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</si>
  <si>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</si>
  <si>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</si>
  <si>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</si>
  <si>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</si>
  <si>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</si>
  <si>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</si>
  <si>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</si>
  <si>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</si>
  <si>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</si>
  <si>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</si>
  <si>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</si>
  <si>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</si>
  <si>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</si>
  <si>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</si>
  <si>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</si>
  <si>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</si>
  <si>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</si>
  <si>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</si>
  <si>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</si>
  <si>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</si>
  <si>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</si>
  <si>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</si>
  <si>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</si>
  <si>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</si>
  <si>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</si>
  <si>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</si>
  <si>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</si>
  <si>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</si>
  <si>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</si>
  <si>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</si>
  <si>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</si>
  <si>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</si>
  <si>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</si>
  <si>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</si>
  <si>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</si>
  <si>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</si>
  <si>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</si>
  <si>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</si>
  <si>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</si>
  <si>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</si>
  <si>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</si>
  <si>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</si>
  <si>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</si>
  <si>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</si>
  <si>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</si>
  <si>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</si>
  <si>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</si>
  <si>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</si>
  <si>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</si>
  <si>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</si>
  <si>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</si>
  <si>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</si>
  <si>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</si>
  <si>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</si>
  <si>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</si>
  <si>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</si>
  <si>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</si>
  <si>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</si>
  <si>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</si>
  <si>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</si>
  <si>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</si>
  <si>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</si>
  <si>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</si>
  <si>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</si>
  <si>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</si>
  <si>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</si>
  <si>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</si>
  <si>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</si>
  <si>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</si>
  <si>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</si>
  <si>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</si>
  <si>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</si>
  <si>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</si>
  <si>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</si>
  <si>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</si>
  <si>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</si>
  <si>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</si>
  <si>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</si>
  <si>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</si>
  <si>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</si>
  <si>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</si>
  <si>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</si>
  <si>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</si>
  <si>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</si>
  <si>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</si>
  <si>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</si>
  <si>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</si>
  <si>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</si>
  <si>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</si>
  <si>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</si>
  <si>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</si>
  <si>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</si>
  <si>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</si>
  <si>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</si>
  <si>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</si>
  <si>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</si>
  <si>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</si>
  <si>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</si>
  <si>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</si>
  <si>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</si>
  <si>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</si>
  <si>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</si>
  <si>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</si>
  <si>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</si>
  <si>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</si>
  <si>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</si>
  <si>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</si>
  <si>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</si>
  <si>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</si>
  <si>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</si>
  <si>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</si>
  <si>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</si>
  <si>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</si>
  <si>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</si>
  <si>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</si>
  <si>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</si>
  <si>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</si>
  <si>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</si>
  <si>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</si>
  <si>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</si>
  <si>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</si>
  <si>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</si>
  <si>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</si>
  <si>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</si>
  <si>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</si>
  <si>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</si>
  <si>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</si>
  <si>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</si>
  <si>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</si>
  <si>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</si>
  <si>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</si>
  <si>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</si>
  <si>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</si>
  <si>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</si>
  <si>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</si>
  <si>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</si>
  <si>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</si>
  <si>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</si>
  <si>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</si>
  <si>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</si>
  <si>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</si>
  <si>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</si>
  <si>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</si>
  <si>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</si>
  <si>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</si>
  <si>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</si>
  <si>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</si>
  <si>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</si>
  <si>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</si>
  <si>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</si>
  <si>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</si>
  <si>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</si>
  <si>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</si>
  <si>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</si>
  <si>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</si>
  <si>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</si>
  <si>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</si>
  <si>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</si>
  <si>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</si>
  <si>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</si>
  <si>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</si>
  <si>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</si>
  <si>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</si>
  <si>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</si>
  <si>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</si>
  <si>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</si>
  <si>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</si>
  <si>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</si>
  <si>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</si>
  <si>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</si>
  <si>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</si>
  <si>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</si>
  <si>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</si>
  <si>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</si>
  <si>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</si>
  <si>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</si>
  <si>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</si>
  <si>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</si>
  <si>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</si>
  <si>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</si>
  <si>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</si>
  <si>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</si>
  <si>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</si>
  <si>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</si>
  <si>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</si>
  <si>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</si>
  <si>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</si>
  <si>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</si>
  <si>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</si>
  <si>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</si>
  <si>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</si>
  <si>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</si>
  <si>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</si>
  <si>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</si>
  <si>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</si>
  <si>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</si>
  <si>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</si>
  <si>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</si>
  <si>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</si>
  <si>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</si>
  <si>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</si>
  <si>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</si>
  <si>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</si>
  <si>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</si>
  <si>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</si>
  <si>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</si>
  <si>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</si>
  <si>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</si>
  <si>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</si>
  <si>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</si>
  <si>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</si>
  <si>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</si>
  <si>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</si>
  <si>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</si>
  <si>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</si>
  <si>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</si>
  <si>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</si>
  <si>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Deferred D/C</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</si>
  <si>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</si>
  <si>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</si>
  <si>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</si>
  <si>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</si>
  <si>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</si>
  <si>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</si>
  <si>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</si>
  <si>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</si>
  <si>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</si>
  <si>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</si>
  <si>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</si>
  <si>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</si>
  <si>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</si>
  <si>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</si>
  <si>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</si>
  <si>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</si>
  <si>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</si>
  <si>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</si>
  <si>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</si>
  <si>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</si>
  <si>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</si>
  <si>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</si>
  <si>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</si>
  <si>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</si>
  <si>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 xml:space="preserve">Current Accrual </t>
  </si>
  <si>
    <t>Reviewed</t>
  </si>
  <si>
    <t>error?</t>
  </si>
  <si>
    <t>Other</t>
  </si>
  <si>
    <t>CF WA Elec</t>
  </si>
  <si>
    <t xml:space="preserve">All other </t>
  </si>
  <si>
    <t>(Pro Forma Restate Debt)</t>
  </si>
  <si>
    <t xml:space="preserve">O&amp;M </t>
  </si>
  <si>
    <t>R-Ttl</t>
  </si>
  <si>
    <t>Karen</t>
  </si>
  <si>
    <t>Total Debt</t>
  </si>
  <si>
    <t>FIT/DFIT/</t>
  </si>
  <si>
    <t>`</t>
  </si>
  <si>
    <t xml:space="preserve">Prod/Trans Rev Requirement per kWh </t>
  </si>
  <si>
    <t>Cost of Service Energy Classified Production/Transmission Costs</t>
  </si>
  <si>
    <t>Cost of Service Total Production/Transmission Costs</t>
  </si>
  <si>
    <t>Retail Revenue Credit Rate per kWh (Line 11 * Line 12 / Line 13)</t>
  </si>
  <si>
    <t xml:space="preserve">   Test Year WA Normalized Retail Load MWh</t>
  </si>
  <si>
    <t xml:space="preserve">   Proposed Retail Revenue Credit Rate per kWh</t>
  </si>
  <si>
    <t xml:space="preserve">   Full Prod/Trans Rev Requirement per kWh</t>
  </si>
  <si>
    <t>Totals</t>
  </si>
  <si>
    <t>System Load Factor</t>
  </si>
  <si>
    <t>PF-Ttl</t>
  </si>
  <si>
    <t>OPEN</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</si>
  <si>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</si>
  <si>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</si>
  <si>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</si>
  <si>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</si>
  <si>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</si>
  <si>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</si>
  <si>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</si>
  <si>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</si>
  <si>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</si>
  <si>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</si>
  <si>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</si>
  <si>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</si>
  <si>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</si>
  <si>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</si>
  <si>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</si>
  <si>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</si>
  <si>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</si>
  <si>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</si>
  <si>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</si>
  <si>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</si>
  <si>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</si>
  <si>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</si>
  <si>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</si>
  <si>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Sub-Total</t>
  </si>
  <si>
    <t>Tara</t>
  </si>
  <si>
    <t>Expenses</t>
  </si>
  <si>
    <t>Incentive</t>
  </si>
  <si>
    <t>RETAIL REVENUE CREDIT 2015 ERM ADJUSTMENT</t>
  </si>
  <si>
    <t xml:space="preserve">   2015 Forecasted WA Retail Load MWh</t>
  </si>
  <si>
    <t xml:space="preserve">   2015 Estimated Load in Excess of Test Year Load</t>
  </si>
  <si>
    <t xml:space="preserve">   Estimated Proposed Retail Revenue Credit  in 2015 ERM ($000s)</t>
  </si>
  <si>
    <t xml:space="preserve">   Estimated Full Retail Revenue Credit  in 2015 ERM ($000s)</t>
  </si>
  <si>
    <t xml:space="preserve">   Cost of Full vs Proposed Retail Revenue Credit in 2015 ERM ($000s)</t>
  </si>
  <si>
    <t>(1)</t>
  </si>
  <si>
    <t xml:space="preserve">REVENUE REQUIREMENT </t>
  </si>
  <si>
    <t xml:space="preserve">Note - correction revises RRC from that filed, however, waiting on </t>
  </si>
  <si>
    <t xml:space="preserve">notification due to updates in gas costs which will probably occur </t>
  </si>
  <si>
    <t>during the process of this proceeding, also impacting the RRC.</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</si>
  <si>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</si>
  <si>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</si>
  <si>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</si>
  <si>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</si>
  <si>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</si>
  <si>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</si>
  <si>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</si>
  <si>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</si>
  <si>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</si>
  <si>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</si>
  <si>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</si>
  <si>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</si>
  <si>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</si>
  <si>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</si>
  <si>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</si>
  <si>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</si>
  <si>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</si>
  <si>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</si>
  <si>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</si>
  <si>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</si>
  <si>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</si>
  <si>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</si>
  <si>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</si>
  <si>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PRO FORMA ADJUSTMENTS</t>
  </si>
  <si>
    <t>Capital Adds</t>
  </si>
  <si>
    <t xml:space="preserve"> Offsets</t>
  </si>
  <si>
    <t>E-PRA</t>
  </si>
  <si>
    <t>E-PCAP16</t>
  </si>
  <si>
    <t>E-POFF</t>
  </si>
  <si>
    <t>Restating Adjustments</t>
  </si>
  <si>
    <t>Non-Utility</t>
  </si>
  <si>
    <t>2018</t>
  </si>
  <si>
    <t>Misc. Restating</t>
  </si>
  <si>
    <t>Normalize</t>
  </si>
  <si>
    <t>CS2/Colstrip</t>
  </si>
  <si>
    <t>E-CI</t>
  </si>
  <si>
    <t>Joe</t>
  </si>
  <si>
    <t>x</t>
  </si>
  <si>
    <t>Added</t>
  </si>
  <si>
    <t>WITH 2017 PROPOSED RATES</t>
  </si>
  <si>
    <t>6Mos 2018</t>
  </si>
  <si>
    <t>2018 Proposed</t>
  </si>
  <si>
    <t>g</t>
  </si>
  <si>
    <t xml:space="preserve">Revenue Requirement </t>
  </si>
  <si>
    <t>Total General Business Revenues</t>
  </si>
  <si>
    <r>
      <t xml:space="preserve">Total </t>
    </r>
    <r>
      <rPr>
        <u/>
        <sz val="10"/>
        <rFont val="Times New Roman"/>
        <family val="1"/>
      </rPr>
      <t>Billed</t>
    </r>
    <r>
      <rPr>
        <sz val="10"/>
        <rFont val="Times New Roman"/>
        <family val="1"/>
      </rPr>
      <t xml:space="preserve"> General Business Revenues</t>
    </r>
  </si>
  <si>
    <t>Adjusted</t>
  </si>
  <si>
    <t>Total (1)</t>
  </si>
  <si>
    <t>Impact of ROE reduced to x%/ROR/COD</t>
  </si>
  <si>
    <t xml:space="preserve">WASHINGTON ELECTRIC RESULTS - PRO FORMA </t>
  </si>
  <si>
    <t>TWELVE MONTHS ENDED DECEMBER 31, 2016</t>
  </si>
  <si>
    <t>2019</t>
  </si>
  <si>
    <t>Major Maint</t>
  </si>
  <si>
    <t xml:space="preserve">Authorized </t>
  </si>
  <si>
    <t>IS/IT</t>
  </si>
  <si>
    <t>2019 Proposed</t>
  </si>
  <si>
    <t>WITH 2019 PROPOSED RATES</t>
  </si>
  <si>
    <t>E-APS</t>
  </si>
  <si>
    <t>Joel</t>
  </si>
  <si>
    <t>Need W/ps</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</si>
  <si>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</si>
  <si>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</si>
  <si>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</si>
  <si>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</si>
  <si>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</si>
  <si>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</si>
  <si>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</si>
  <si>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</si>
  <si>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</si>
  <si>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 xml:space="preserve">Non-Energy </t>
  </si>
  <si>
    <t>Power Supply</t>
  </si>
  <si>
    <t>&amp; Transm Revs</t>
  </si>
  <si>
    <t>Incentives</t>
  </si>
  <si>
    <t xml:space="preserve">Director </t>
  </si>
  <si>
    <t>Fees Exp</t>
  </si>
  <si>
    <t>E-PDF</t>
  </si>
  <si>
    <t>(Authorized P.S. @ Authorized P/T ratio)</t>
  </si>
  <si>
    <t>PF Normalize</t>
  </si>
  <si>
    <t>E-PNM</t>
  </si>
  <si>
    <t>ERM Power Supply Adj</t>
  </si>
  <si>
    <t>Ttl Pro Forma w/ PS</t>
  </si>
  <si>
    <t>PF-SubTtl</t>
  </si>
  <si>
    <t xml:space="preserve">     Pro Forma Study (Step 1 increase excluding ERM net change)</t>
  </si>
  <si>
    <t>Total Pro Forma Study: Step 1 increases &amp; Change above current P.S.:</t>
  </si>
  <si>
    <t>Base Rate Change</t>
  </si>
  <si>
    <t>Non-Util / Non-</t>
  </si>
  <si>
    <t>Recurring Expenses</t>
  </si>
  <si>
    <t xml:space="preserve">Restating </t>
  </si>
  <si>
    <t>2017 Threshhold</t>
  </si>
  <si>
    <t xml:space="preserve">Including PS </t>
  </si>
  <si>
    <t>Pro Forma Non-Energy</t>
  </si>
  <si>
    <t>NON ERM</t>
  </si>
  <si>
    <t>Underground</t>
  </si>
  <si>
    <t>Equip Inspection</t>
  </si>
  <si>
    <t>E-PUEI</t>
  </si>
  <si>
    <t>Trans/Power Sup</t>
  </si>
  <si>
    <t>Non-ERM Rev/Exp</t>
  </si>
  <si>
    <t>ACTUAL</t>
  </si>
  <si>
    <t>RESULTS</t>
  </si>
  <si>
    <t>SEE EOP Study for Filed case</t>
  </si>
  <si>
    <t>E-PI</t>
  </si>
  <si>
    <t>Per Traditional Pro Forma Study</t>
  </si>
  <si>
    <t>TRADITIONAL PRO FORMA STUDY</t>
  </si>
  <si>
    <t>CALCULATION OF TRADITIONAL PRO FORMA STUDY REVENUE REQUIREMENT</t>
  </si>
  <si>
    <t>TRADITIONAL PRO FORMA COST OF CAPITAL</t>
  </si>
  <si>
    <t xml:space="preserve"> Capital Structure</t>
  </si>
  <si>
    <t>Electric Revenue Requirement Summary ($000)</t>
  </si>
  <si>
    <t>Company Filing (Rev. Req. at ICNU ROR)</t>
  </si>
  <si>
    <t>Rev. Req. Parameters</t>
  </si>
  <si>
    <t xml:space="preserve">Rev. Req. </t>
  </si>
  <si>
    <t>Pre-Tax</t>
  </si>
  <si>
    <t xml:space="preserve">Adj. </t>
  </si>
  <si>
    <t xml:space="preserve">Net Oper. </t>
  </si>
  <si>
    <t xml:space="preserve">Def. / </t>
  </si>
  <si>
    <t>Revenue Conversion</t>
  </si>
  <si>
    <t xml:space="preserve">No. </t>
  </si>
  <si>
    <t>Income</t>
  </si>
  <si>
    <t>(Suf.)</t>
  </si>
  <si>
    <t>Tax Rate</t>
  </si>
  <si>
    <t>Restating Adjustments:</t>
  </si>
  <si>
    <t xml:space="preserve">Filed Return </t>
  </si>
  <si>
    <t>Filed Rate Base</t>
  </si>
  <si>
    <t>Cost of Capital Impact</t>
  </si>
  <si>
    <t>Restated Results</t>
  </si>
  <si>
    <t>Pro Forma Results (Traditional Rev. Req.)</t>
  </si>
  <si>
    <t>Filed Deficiency:</t>
  </si>
  <si>
    <t>ROR Impact:</t>
  </si>
  <si>
    <t>Calculated:</t>
  </si>
  <si>
    <t>``</t>
  </si>
  <si>
    <t>Contested</t>
  </si>
  <si>
    <t>Neutral</t>
  </si>
  <si>
    <t>Oppose</t>
  </si>
  <si>
    <t>Per Book Results (Y/E Dec. 2016)</t>
  </si>
  <si>
    <t>ICNU Position</t>
  </si>
  <si>
    <t>ICNU Proposed</t>
  </si>
  <si>
    <t>Impact of ICNU Adjustments</t>
  </si>
  <si>
    <t>Long-Term</t>
  </si>
  <si>
    <t>$</t>
  </si>
  <si>
    <t>Short-Term</t>
  </si>
  <si>
    <t>Update (Cost of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</si>
</sst>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quot;$&quot;* #,##0.00000_);_(&quot;$&quot;* \(#,##0.00000\);_(&quot;$&quot;* &quot;-&quot;??_);_(@_)"/>
    <numFmt numFmtId="173" formatCode="0.00000"/>
    <numFmt numFmtId="174" formatCode="_(* #,##0.0_);_(* \(#,##0.0\);_(* &quot;-&quot;??_);_(@_)"/>
    <numFmt numFmtId="175" formatCode="#,###.0_);\(#,###.0\)"/>
    <numFmt numFmtId="176" formatCode="&quot;$&quot;#,##0.0_);\(&quot;$&quot;#,##0.0\)"/>
    <numFmt numFmtId="177" formatCode="0000.00"/>
    <numFmt numFmtId="178" formatCode="0000"/>
    <numFmt numFmtId="179" formatCode="_(&quot;$&quot;* #,##0_);_(&quot;$&quot;* \(#,##0\);_(&quot;$&quot;* &quot;-&quot;??_);_(@_)"/>
    <numFmt numFmtId="180" formatCode="0.000"/>
    <numFmt numFmtId="181" formatCode="_(* #,##0.00_);_(* \(#,##0.00\);_(* &quot;-&quot;_);_(@_)"/>
  </numFmts>
  <fonts count="71">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Courier"/>
      <family val="3"/>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b/>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sz val="8"/>
      <color indexed="10"/>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b/>
      <sz val="9"/>
      <color rgb="FFFF0000"/>
      <name val="Times New Roman"/>
      <family val="1"/>
    </font>
    <font>
      <b/>
      <sz val="8"/>
      <name val="Times New Roman"/>
      <family val="1"/>
    </font>
    <font>
      <sz val="9"/>
      <color theme="1"/>
      <name val="Times New Roman"/>
      <family val="1"/>
    </font>
    <font>
      <i/>
      <u/>
      <sz val="10"/>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25">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9"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9" fillId="0" borderId="0"/>
    <xf numFmtId="0" fontId="47" fillId="5" borderId="0"/>
    <xf numFmtId="37" fontId="39" fillId="0" borderId="0"/>
    <xf numFmtId="43" fontId="60"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882">
    <xf numFmtId="0" fontId="0" fillId="0" borderId="0" xfId="0"/>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4"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7"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0" fontId="6" fillId="0" borderId="11" xfId="13" applyFont="1" applyBorder="1" applyAlignment="1">
      <alignment horizontal="center"/>
    </xf>
    <xf numFmtId="0" fontId="7" fillId="0" borderId="0" xfId="13" applyNumberFormat="1" applyFont="1" applyAlignment="1">
      <alignment horizontal="center"/>
    </xf>
    <xf numFmtId="0" fontId="7" fillId="0" borderId="0" xfId="13" applyFont="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0" fontId="5" fillId="0" borderId="0" xfId="0" applyFont="1"/>
    <xf numFmtId="3" fontId="5" fillId="0" borderId="0" xfId="9" applyNumberFormat="1" applyFont="1" applyAlignment="1">
      <alignment horizontal="center"/>
    </xf>
    <xf numFmtId="1" fontId="5" fillId="0" borderId="0" xfId="9" applyNumberFormat="1" applyFont="1" applyAlignment="1">
      <alignment horizontal="center"/>
    </xf>
    <xf numFmtId="0" fontId="10" fillId="0" borderId="0" xfId="0" applyFont="1"/>
    <xf numFmtId="0" fontId="11" fillId="0" borderId="0" xfId="0" applyFont="1" applyAlignment="1">
      <alignment horizontal="center"/>
    </xf>
    <xf numFmtId="0" fontId="10" fillId="0" borderId="0" xfId="0" applyFont="1" applyBorder="1"/>
    <xf numFmtId="0" fontId="11"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2" fillId="0" borderId="0" xfId="0" applyFont="1" applyBorder="1" applyAlignment="1">
      <alignment horizontal="center"/>
    </xf>
    <xf numFmtId="0" fontId="10" fillId="0" borderId="10" xfId="0" applyFont="1" applyBorder="1"/>
    <xf numFmtId="0" fontId="10" fillId="0" borderId="10" xfId="0" applyFont="1" applyBorder="1" applyAlignment="1">
      <alignment horizontal="center"/>
    </xf>
    <xf numFmtId="0" fontId="17" fillId="0" borderId="0" xfId="0" applyFont="1"/>
    <xf numFmtId="5" fontId="10" fillId="0" borderId="0" xfId="0" applyNumberFormat="1" applyFont="1" applyBorder="1"/>
    <xf numFmtId="37" fontId="10" fillId="0" borderId="0" xfId="0" applyNumberFormat="1" applyFont="1" applyBorder="1"/>
    <xf numFmtId="3" fontId="10" fillId="0" borderId="0" xfId="0" applyNumberFormat="1" applyFont="1"/>
    <xf numFmtId="5" fontId="10" fillId="0" borderId="0" xfId="0" applyNumberFormat="1" applyFont="1"/>
    <xf numFmtId="37" fontId="10" fillId="0" borderId="3" xfId="0" applyNumberFormat="1" applyFont="1" applyBorder="1"/>
    <xf numFmtId="37" fontId="10" fillId="0" borderId="0" xfId="0" applyNumberFormat="1" applyFont="1"/>
    <xf numFmtId="10" fontId="10" fillId="0" borderId="0" xfId="0" applyNumberFormat="1" applyFont="1" applyBorder="1"/>
    <xf numFmtId="0" fontId="10" fillId="0" borderId="0" xfId="0" applyFont="1" applyFill="1" applyAlignment="1">
      <alignment horizontal="center"/>
    </xf>
    <xf numFmtId="3" fontId="10" fillId="0" borderId="0" xfId="0" applyNumberFormat="1" applyFont="1" applyBorder="1"/>
    <xf numFmtId="6" fontId="10" fillId="0" borderId="13" xfId="2" applyNumberFormat="1" applyFont="1" applyBorder="1"/>
    <xf numFmtId="10" fontId="11" fillId="0" borderId="0" xfId="0" applyNumberFormat="1" applyFont="1" applyBorder="1"/>
    <xf numFmtId="0" fontId="12" fillId="0" borderId="0" xfId="0" applyFont="1" applyAlignment="1">
      <alignment horizontal="center"/>
    </xf>
    <xf numFmtId="0" fontId="20" fillId="0" borderId="0" xfId="0" applyFont="1"/>
    <xf numFmtId="0" fontId="21" fillId="0" borderId="0" xfId="0" applyFont="1" applyAlignment="1">
      <alignment horizontal="center"/>
    </xf>
    <xf numFmtId="0" fontId="20" fillId="0" borderId="0" xfId="0" applyFont="1" applyBorder="1"/>
    <xf numFmtId="0" fontId="20" fillId="0" borderId="0" xfId="0" applyFont="1" applyBorder="1" applyAlignment="1">
      <alignment horizontal="center"/>
    </xf>
    <xf numFmtId="5" fontId="20" fillId="0" borderId="0" xfId="0" applyNumberFormat="1" applyFont="1" applyBorder="1"/>
    <xf numFmtId="37" fontId="20" fillId="0" borderId="0" xfId="0" applyNumberFormat="1" applyFont="1" applyBorder="1"/>
    <xf numFmtId="3" fontId="22" fillId="0" borderId="0" xfId="0" applyNumberFormat="1" applyFont="1"/>
    <xf numFmtId="0" fontId="22" fillId="0" borderId="0" xfId="0" applyFont="1"/>
    <xf numFmtId="5" fontId="22" fillId="0" borderId="0" xfId="0" applyNumberFormat="1" applyFont="1"/>
    <xf numFmtId="37" fontId="22" fillId="0" borderId="0" xfId="0" applyNumberFormat="1" applyFont="1"/>
    <xf numFmtId="0" fontId="10" fillId="0" borderId="0" xfId="0" applyFont="1" applyAlignment="1">
      <alignment horizontal="left"/>
    </xf>
    <xf numFmtId="0" fontId="10" fillId="0" borderId="10" xfId="0" applyFont="1" applyBorder="1" applyAlignment="1">
      <alignment horizontal="left"/>
    </xf>
    <xf numFmtId="0" fontId="20" fillId="0" borderId="0" xfId="0" applyFont="1" applyAlignment="1">
      <alignment horizontal="left"/>
    </xf>
    <xf numFmtId="10" fontId="10" fillId="0" borderId="0" xfId="0" applyNumberFormat="1" applyFont="1" applyAlignment="1">
      <alignment horizontal="left"/>
    </xf>
    <xf numFmtId="10" fontId="10" fillId="0" borderId="0" xfId="0" applyNumberFormat="1" applyFont="1" applyBorder="1" applyAlignment="1">
      <alignment horizontal="left"/>
    </xf>
    <xf numFmtId="9" fontId="10" fillId="0" borderId="0" xfId="0" applyNumberFormat="1" applyFont="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3" fontId="10" fillId="0" borderId="0" xfId="12" applyNumberFormat="1" applyFont="1" applyAlignment="1">
      <alignment horizontal="centerContinuous"/>
    </xf>
    <xf numFmtId="0" fontId="10" fillId="0" borderId="0" xfId="12" applyFont="1" applyAlignment="1">
      <alignment horizontal="centerContinuous"/>
    </xf>
    <xf numFmtId="3" fontId="10" fillId="0" borderId="0" xfId="12" applyNumberFormat="1" applyFont="1"/>
    <xf numFmtId="3" fontId="10" fillId="0" borderId="0" xfId="12" applyNumberFormat="1" applyFont="1" applyBorder="1" applyAlignment="1">
      <alignment horizontal="centerContinuous"/>
    </xf>
    <xf numFmtId="0" fontId="10" fillId="0" borderId="0" xfId="12" applyFont="1" applyBorder="1" applyAlignment="1">
      <alignment horizontal="centerContinuous"/>
    </xf>
    <xf numFmtId="0" fontId="10" fillId="0" borderId="0" xfId="12" applyFont="1"/>
    <xf numFmtId="3" fontId="10" fillId="0" borderId="0" xfId="12" applyNumberFormat="1" applyFont="1" applyAlignment="1">
      <alignment horizontal="center"/>
    </xf>
    <xf numFmtId="0" fontId="10" fillId="0" borderId="0" xfId="12" applyFont="1" applyAlignment="1">
      <alignment horizontal="center"/>
    </xf>
    <xf numFmtId="3" fontId="10" fillId="0" borderId="10" xfId="12" applyNumberFormat="1" applyFont="1" applyBorder="1" applyAlignment="1">
      <alignment horizontal="center"/>
    </xf>
    <xf numFmtId="164" fontId="10" fillId="0" borderId="0" xfId="12" applyNumberFormat="1" applyFont="1"/>
    <xf numFmtId="164" fontId="10" fillId="0" borderId="3" xfId="12" applyNumberFormat="1" applyFont="1" applyBorder="1"/>
    <xf numFmtId="10" fontId="10" fillId="0" borderId="0" xfId="12" applyNumberFormat="1" applyFont="1"/>
    <xf numFmtId="170" fontId="10" fillId="0" borderId="0" xfId="12" applyNumberFormat="1" applyFont="1"/>
    <xf numFmtId="171" fontId="10" fillId="0" borderId="10" xfId="12" applyNumberFormat="1" applyFont="1" applyBorder="1"/>
    <xf numFmtId="164" fontId="10" fillId="0" borderId="0" xfId="12" applyNumberFormat="1" applyFont="1" applyAlignment="1">
      <alignment horizontal="center"/>
    </xf>
    <xf numFmtId="3" fontId="10" fillId="0" borderId="0" xfId="12" applyNumberFormat="1" applyFont="1" applyBorder="1"/>
    <xf numFmtId="10" fontId="10" fillId="0" borderId="3" xfId="12" applyNumberFormat="1" applyFont="1" applyBorder="1"/>
    <xf numFmtId="168" fontId="10" fillId="0" borderId="0" xfId="15" applyNumberFormat="1" applyFont="1"/>
    <xf numFmtId="168" fontId="10" fillId="0" borderId="0" xfId="12" applyNumberFormat="1" applyFont="1"/>
    <xf numFmtId="168" fontId="10" fillId="0" borderId="3" xfId="12" applyNumberFormat="1" applyFont="1" applyBorder="1"/>
    <xf numFmtId="10" fontId="10" fillId="0" borderId="0" xfId="12" applyNumberFormat="1" applyFont="1" applyBorder="1"/>
    <xf numFmtId="0" fontId="18" fillId="0" borderId="0" xfId="12" applyFont="1"/>
    <xf numFmtId="10" fontId="18" fillId="0" borderId="0" xfId="12" applyNumberFormat="1" applyFont="1"/>
    <xf numFmtId="164" fontId="10" fillId="0" borderId="17" xfId="12" applyNumberFormat="1" applyFont="1" applyBorder="1"/>
    <xf numFmtId="3" fontId="10" fillId="0" borderId="0" xfId="12" applyNumberFormat="1" applyFont="1" applyAlignment="1">
      <alignment horizontal="left"/>
    </xf>
    <xf numFmtId="164" fontId="10" fillId="0" borderId="0" xfId="12" applyNumberFormat="1" applyFont="1" applyFill="1"/>
    <xf numFmtId="10" fontId="10" fillId="0" borderId="0" xfId="12" applyNumberFormat="1" applyFont="1" applyFill="1"/>
    <xf numFmtId="3" fontId="10" fillId="0" borderId="0" xfId="12" applyNumberFormat="1" applyFont="1" applyFill="1" applyBorder="1"/>
    <xf numFmtId="164" fontId="10" fillId="0" borderId="3" xfId="12" applyNumberFormat="1" applyFont="1" applyFill="1" applyBorder="1"/>
    <xf numFmtId="10" fontId="10" fillId="0" borderId="3" xfId="12" applyNumberFormat="1" applyFont="1" applyFill="1" applyBorder="1"/>
    <xf numFmtId="3" fontId="10" fillId="0" borderId="0" xfId="12" applyNumberFormat="1" applyFont="1" applyFill="1"/>
    <xf numFmtId="168" fontId="10" fillId="0" borderId="0" xfId="15" applyNumberFormat="1" applyFont="1" applyFill="1"/>
    <xf numFmtId="168" fontId="10" fillId="0" borderId="0" xfId="12" applyNumberFormat="1" applyFont="1" applyFill="1"/>
    <xf numFmtId="168" fontId="10" fillId="0" borderId="3" xfId="12" applyNumberFormat="1" applyFont="1" applyFill="1" applyBorder="1"/>
    <xf numFmtId="0" fontId="28" fillId="0" borderId="0" xfId="0" applyFont="1" applyBorder="1"/>
    <xf numFmtId="0" fontId="18" fillId="0" borderId="0" xfId="0" applyFont="1"/>
    <xf numFmtId="167" fontId="11" fillId="0" borderId="0" xfId="0" applyNumberFormat="1" applyFont="1"/>
    <xf numFmtId="167" fontId="10" fillId="0" borderId="0" xfId="0" applyNumberFormat="1" applyFont="1"/>
    <xf numFmtId="10" fontId="30" fillId="0" borderId="0" xfId="0" applyNumberFormat="1" applyFont="1"/>
    <xf numFmtId="0" fontId="11" fillId="0" borderId="0" xfId="0" applyFont="1" applyAlignment="1">
      <alignment horizontal="centerContinuous"/>
    </xf>
    <xf numFmtId="169" fontId="10" fillId="0" borderId="0" xfId="1" applyNumberFormat="1" applyFont="1"/>
    <xf numFmtId="169" fontId="11" fillId="0" borderId="0" xfId="1" applyNumberFormat="1" applyFont="1" applyAlignment="1">
      <alignment horizontal="center"/>
    </xf>
    <xf numFmtId="0" fontId="11" fillId="0" borderId="10" xfId="0" applyFont="1" applyBorder="1" applyAlignment="1">
      <alignment horizontal="center"/>
    </xf>
    <xf numFmtId="0" fontId="11" fillId="0" borderId="0" xfId="0" applyFont="1"/>
    <xf numFmtId="5" fontId="10" fillId="0" borderId="0" xfId="1" applyNumberFormat="1" applyFont="1"/>
    <xf numFmtId="169" fontId="10" fillId="0" borderId="12" xfId="1" applyNumberFormat="1" applyFont="1" applyBorder="1"/>
    <xf numFmtId="169" fontId="10" fillId="0" borderId="0" xfId="1" applyNumberFormat="1" applyFont="1" applyBorder="1"/>
    <xf numFmtId="169" fontId="10" fillId="0" borderId="10" xfId="1" applyNumberFormat="1" applyFont="1" applyBorder="1"/>
    <xf numFmtId="0" fontId="11" fillId="0" borderId="1" xfId="0" applyFont="1" applyBorder="1" applyAlignment="1">
      <alignment horizontal="center"/>
    </xf>
    <xf numFmtId="0" fontId="11" fillId="0" borderId="8" xfId="0" applyFont="1" applyBorder="1" applyAlignment="1">
      <alignment horizontal="center"/>
    </xf>
    <xf numFmtId="0" fontId="32" fillId="0" borderId="0" xfId="0" applyFont="1"/>
    <xf numFmtId="37" fontId="32" fillId="0" borderId="0" xfId="0" applyNumberFormat="1" applyFont="1" applyBorder="1"/>
    <xf numFmtId="37" fontId="22" fillId="0" borderId="0" xfId="0" applyNumberFormat="1" applyFont="1" applyBorder="1"/>
    <xf numFmtId="0" fontId="26" fillId="0" borderId="0" xfId="0" applyFont="1" applyAlignment="1">
      <alignment horizontal="left"/>
    </xf>
    <xf numFmtId="0" fontId="29" fillId="0" borderId="0" xfId="0" applyFont="1" applyAlignment="1">
      <alignment horizontal="centerContinuous"/>
    </xf>
    <xf numFmtId="0" fontId="29" fillId="0" borderId="0" xfId="0" applyFont="1" applyBorder="1" applyAlignment="1">
      <alignment horizontal="center"/>
    </xf>
    <xf numFmtId="0" fontId="29" fillId="0" borderId="10" xfId="0" applyFont="1" applyBorder="1" applyAlignment="1">
      <alignment horizontal="center"/>
    </xf>
    <xf numFmtId="167" fontId="18" fillId="0" borderId="0" xfId="0" applyNumberFormat="1" applyFont="1"/>
    <xf numFmtId="167" fontId="18" fillId="0" borderId="0" xfId="0" applyNumberFormat="1" applyFont="1" applyBorder="1"/>
    <xf numFmtId="167" fontId="18" fillId="0" borderId="12" xfId="0" applyNumberFormat="1" applyFont="1" applyBorder="1"/>
    <xf numFmtId="167" fontId="18" fillId="0" borderId="10" xfId="0" applyNumberFormat="1" applyFont="1" applyBorder="1"/>
    <xf numFmtId="3" fontId="22" fillId="0" borderId="0" xfId="12" applyNumberFormat="1" applyFont="1"/>
    <xf numFmtId="164" fontId="22" fillId="0" borderId="0" xfId="12" applyNumberFormat="1" applyFont="1"/>
    <xf numFmtId="6" fontId="10" fillId="0" borderId="0" xfId="2" applyNumberFormat="1" applyFont="1" applyBorder="1"/>
    <xf numFmtId="10" fontId="11" fillId="0" borderId="0" xfId="0" applyNumberFormat="1" applyFont="1" applyBorder="1" applyAlignment="1">
      <alignment horizontal="left"/>
    </xf>
    <xf numFmtId="10" fontId="11" fillId="0" borderId="0" xfId="0" applyNumberFormat="1" applyFont="1" applyBorder="1" applyAlignment="1">
      <alignment horizontal="center"/>
    </xf>
    <xf numFmtId="37" fontId="10" fillId="0" borderId="0" xfId="12" applyNumberFormat="1" applyFont="1" applyAlignment="1">
      <alignment horizontal="right"/>
    </xf>
    <xf numFmtId="37" fontId="22" fillId="0" borderId="10" xfId="0" applyNumberFormat="1" applyFont="1" applyBorder="1"/>
    <xf numFmtId="0" fontId="36" fillId="0" borderId="0" xfId="12" applyFont="1"/>
    <xf numFmtId="6" fontId="10" fillId="0" borderId="0" xfId="0" applyNumberFormat="1" applyFont="1"/>
    <xf numFmtId="0" fontId="24" fillId="0" borderId="0" xfId="0" applyFont="1" applyBorder="1"/>
    <xf numFmtId="0" fontId="24" fillId="0" borderId="0" xfId="0" applyFont="1" applyBorder="1" applyAlignment="1">
      <alignment horizontal="left"/>
    </xf>
    <xf numFmtId="0" fontId="24" fillId="0" borderId="0" xfId="0" applyFont="1" applyAlignment="1">
      <alignment horizontal="center"/>
    </xf>
    <xf numFmtId="0" fontId="24" fillId="0" borderId="0" xfId="0" applyFont="1"/>
    <xf numFmtId="0" fontId="24" fillId="0" borderId="0" xfId="0" applyFont="1" applyAlignment="1">
      <alignment horizontal="left"/>
    </xf>
    <xf numFmtId="37" fontId="24" fillId="0" borderId="0" xfId="0" applyNumberFormat="1" applyFont="1" applyBorder="1"/>
    <xf numFmtId="0" fontId="36" fillId="0" borderId="0" xfId="0" applyFont="1" applyAlignment="1">
      <alignment horizontal="center"/>
    </xf>
    <xf numFmtId="0" fontId="22" fillId="0" borderId="0" xfId="0" applyFont="1" applyAlignment="1">
      <alignment horizontal="left"/>
    </xf>
    <xf numFmtId="0" fontId="22" fillId="0" borderId="0" xfId="0" applyFont="1" applyBorder="1"/>
    <xf numFmtId="0" fontId="19" fillId="0" borderId="0" xfId="0" applyFont="1" applyAlignment="1">
      <alignment horizontal="center"/>
    </xf>
    <xf numFmtId="0" fontId="24" fillId="0" borderId="0" xfId="0" applyFont="1" applyBorder="1" applyAlignment="1">
      <alignment horizontal="center"/>
    </xf>
    <xf numFmtId="0" fontId="27" fillId="0" borderId="0" xfId="0" applyFont="1"/>
    <xf numFmtId="169" fontId="10" fillId="0" borderId="13" xfId="1" applyNumberFormat="1" applyFont="1" applyBorder="1"/>
    <xf numFmtId="3" fontId="35" fillId="0" borderId="0" xfId="12" applyNumberFormat="1" applyFont="1"/>
    <xf numFmtId="169" fontId="22" fillId="0" borderId="0" xfId="1" applyNumberFormat="1" applyFont="1"/>
    <xf numFmtId="37" fontId="22" fillId="0" borderId="0" xfId="0" applyNumberFormat="1" applyFont="1" applyFill="1" applyBorder="1"/>
    <xf numFmtId="0" fontId="22" fillId="0" borderId="0" xfId="0" applyFont="1" applyBorder="1" applyAlignment="1">
      <alignment horizontal="left"/>
    </xf>
    <xf numFmtId="10" fontId="24" fillId="0" borderId="0" xfId="0" applyNumberFormat="1" applyFont="1" applyBorder="1" applyAlignment="1">
      <alignment horizontal="center"/>
    </xf>
    <xf numFmtId="9" fontId="10" fillId="0" borderId="0" xfId="0" applyNumberFormat="1" applyFont="1" applyBorder="1" applyAlignment="1">
      <alignment horizontal="left"/>
    </xf>
    <xf numFmtId="169" fontId="10" fillId="0" borderId="3" xfId="2" applyNumberFormat="1" applyFont="1" applyBorder="1"/>
    <xf numFmtId="0" fontId="10" fillId="0" borderId="0" xfId="0" applyFont="1" applyFill="1" applyBorder="1"/>
    <xf numFmtId="169" fontId="10" fillId="0" borderId="0" xfId="0" applyNumberFormat="1" applyFont="1"/>
    <xf numFmtId="3" fontId="22" fillId="0" borderId="10" xfId="12" applyNumberFormat="1" applyFont="1" applyBorder="1"/>
    <xf numFmtId="0" fontId="11" fillId="0" borderId="0" xfId="0" applyFont="1" applyFill="1"/>
    <xf numFmtId="10" fontId="24" fillId="0" borderId="0" xfId="0" applyNumberFormat="1" applyFont="1" applyFill="1"/>
    <xf numFmtId="10" fontId="10" fillId="0" borderId="0" xfId="0" applyNumberFormat="1" applyFont="1"/>
    <xf numFmtId="37" fontId="10" fillId="0" borderId="10" xfId="0" applyNumberFormat="1" applyFont="1" applyBorder="1"/>
    <xf numFmtId="3" fontId="11" fillId="0" borderId="0" xfId="12" applyNumberFormat="1" applyFont="1"/>
    <xf numFmtId="0" fontId="24" fillId="0" borderId="0" xfId="0" applyFont="1" applyBorder="1" applyAlignment="1">
      <alignment horizontal="right"/>
    </xf>
    <xf numFmtId="0" fontId="37" fillId="0" borderId="0" xfId="0" applyFont="1" applyBorder="1" applyAlignment="1">
      <alignment horizontal="center"/>
    </xf>
    <xf numFmtId="0" fontId="37" fillId="0" borderId="0" xfId="0" applyFont="1" applyAlignment="1">
      <alignment horizontal="center"/>
    </xf>
    <xf numFmtId="0" fontId="10" fillId="0" borderId="0" xfId="0" applyFont="1" applyFill="1"/>
    <xf numFmtId="169" fontId="22" fillId="0" borderId="0" xfId="1" applyNumberFormat="1" applyFont="1" applyFill="1" applyBorder="1"/>
    <xf numFmtId="10" fontId="10" fillId="0" borderId="0" xfId="15" applyNumberFormat="1" applyFont="1" applyFill="1"/>
    <xf numFmtId="10" fontId="10" fillId="0" borderId="0" xfId="15" applyNumberFormat="1" applyFont="1"/>
    <xf numFmtId="3" fontId="22" fillId="0" borderId="0" xfId="0" applyNumberFormat="1" applyFont="1" applyFill="1"/>
    <xf numFmtId="0" fontId="22" fillId="0" borderId="0" xfId="0" applyFont="1" applyFill="1"/>
    <xf numFmtId="0" fontId="24" fillId="0" borderId="0" xfId="0" applyFont="1" applyFill="1"/>
    <xf numFmtId="37" fontId="22" fillId="0" borderId="0" xfId="0" applyNumberFormat="1" applyFont="1" applyFill="1"/>
    <xf numFmtId="0" fontId="24" fillId="0" borderId="0" xfId="0" applyFont="1" applyFill="1" applyAlignment="1">
      <alignment horizontal="left"/>
    </xf>
    <xf numFmtId="9" fontId="10" fillId="0" borderId="0" xfId="0" applyNumberFormat="1" applyFont="1" applyFill="1" applyAlignment="1">
      <alignment horizontal="left"/>
    </xf>
    <xf numFmtId="167" fontId="10" fillId="0" borderId="12" xfId="0" applyNumberFormat="1" applyFont="1" applyBorder="1"/>
    <xf numFmtId="0" fontId="17" fillId="0" borderId="0" xfId="0" applyFont="1" applyFill="1"/>
    <xf numFmtId="0" fontId="10" fillId="0" borderId="0" xfId="0" applyFont="1" applyFill="1" applyAlignment="1">
      <alignment horizontal="left"/>
    </xf>
    <xf numFmtId="10" fontId="36" fillId="0" borderId="10" xfId="12" applyNumberFormat="1" applyFont="1" applyFill="1" applyBorder="1"/>
    <xf numFmtId="3" fontId="35" fillId="0" borderId="0" xfId="12" applyNumberFormat="1" applyFont="1" applyFill="1"/>
    <xf numFmtId="0" fontId="20" fillId="0" borderId="0" xfId="0" applyFont="1" applyFill="1"/>
    <xf numFmtId="0" fontId="20" fillId="0" borderId="0" xfId="0" applyFont="1" applyFill="1" applyAlignment="1">
      <alignment horizontal="left"/>
    </xf>
    <xf numFmtId="37" fontId="20" fillId="0" borderId="0" xfId="0" applyNumberFormat="1" applyFont="1" applyFill="1" applyBorder="1"/>
    <xf numFmtId="169" fontId="10" fillId="0" borderId="0" xfId="1" applyNumberFormat="1" applyFont="1" applyFill="1" applyBorder="1"/>
    <xf numFmtId="0" fontId="10" fillId="3" borderId="0" xfId="0" applyFont="1" applyFill="1" applyAlignment="1">
      <alignment horizontal="left"/>
    </xf>
    <xf numFmtId="5" fontId="22" fillId="3" borderId="0" xfId="0" applyNumberFormat="1" applyFont="1" applyFill="1"/>
    <xf numFmtId="7" fontId="10" fillId="0" borderId="0" xfId="0" applyNumberFormat="1" applyFont="1"/>
    <xf numFmtId="5" fontId="10" fillId="0" borderId="18" xfId="0" applyNumberFormat="1" applyFont="1" applyBorder="1"/>
    <xf numFmtId="0" fontId="18" fillId="0" borderId="0" xfId="0" applyFont="1" applyBorder="1"/>
    <xf numFmtId="5" fontId="10" fillId="0" borderId="0" xfId="1" applyNumberFormat="1" applyFont="1" applyBorder="1"/>
    <xf numFmtId="167" fontId="10" fillId="0" borderId="0" xfId="0" applyNumberFormat="1" applyFont="1" applyBorder="1"/>
    <xf numFmtId="1" fontId="10" fillId="0" borderId="0" xfId="0" applyNumberFormat="1" applyFont="1" applyBorder="1"/>
    <xf numFmtId="5" fontId="10" fillId="0" borderId="16" xfId="0" applyNumberFormat="1" applyFont="1" applyFill="1" applyBorder="1"/>
    <xf numFmtId="0" fontId="22" fillId="0" borderId="0" xfId="0" applyFont="1" applyBorder="1" applyAlignment="1">
      <alignment horizontal="center"/>
    </xf>
    <xf numFmtId="10" fontId="22" fillId="0" borderId="0" xfId="0" applyNumberFormat="1" applyFont="1" applyBorder="1"/>
    <xf numFmtId="0" fontId="22" fillId="0" borderId="0" xfId="0" applyFont="1" applyFill="1" applyBorder="1"/>
    <xf numFmtId="6" fontId="10" fillId="0" borderId="16" xfId="2" applyNumberFormat="1" applyFont="1" applyBorder="1"/>
    <xf numFmtId="10" fontId="11" fillId="0" borderId="16" xfId="0" applyNumberFormat="1" applyFont="1" applyBorder="1" applyAlignment="1">
      <alignment horizontal="left"/>
    </xf>
    <xf numFmtId="0" fontId="8" fillId="0" borderId="0" xfId="11" applyFont="1" applyAlignment="1">
      <alignment horizontal="centerContinuous"/>
    </xf>
    <xf numFmtId="168" fontId="10" fillId="0" borderId="10" xfId="15" applyNumberFormat="1" applyFont="1" applyFill="1" applyBorder="1"/>
    <xf numFmtId="168" fontId="10" fillId="0" borderId="0" xfId="15" applyNumberFormat="1" applyFont="1" applyBorder="1"/>
    <xf numFmtId="169" fontId="10" fillId="0" borderId="0" xfId="0" applyNumberFormat="1" applyFont="1" applyBorder="1"/>
    <xf numFmtId="0" fontId="0" fillId="0" borderId="0" xfId="0" applyAlignment="1">
      <alignment horizontal="center"/>
    </xf>
    <xf numFmtId="0" fontId="24" fillId="0" borderId="0" xfId="0" applyFont="1" applyFill="1" applyBorder="1" applyAlignment="1">
      <alignment horizontal="left"/>
    </xf>
    <xf numFmtId="9" fontId="10" fillId="0" borderId="0" xfId="0" applyNumberFormat="1" applyFont="1" applyFill="1" applyBorder="1" applyAlignment="1">
      <alignment horizontal="left"/>
    </xf>
    <xf numFmtId="5" fontId="24" fillId="0" borderId="0" xfId="0" applyNumberFormat="1" applyFont="1"/>
    <xf numFmtId="5" fontId="10" fillId="0" borderId="0" xfId="0" applyNumberFormat="1" applyFont="1" applyFill="1"/>
    <xf numFmtId="5" fontId="10" fillId="0" borderId="0" xfId="0" applyNumberFormat="1" applyFont="1" applyFill="1" applyAlignment="1">
      <alignment horizontal="right"/>
    </xf>
    <xf numFmtId="5" fontId="10" fillId="0" borderId="0" xfId="0" applyNumberFormat="1" applyFont="1" applyBorder="1" applyAlignment="1">
      <alignment horizontal="right"/>
    </xf>
    <xf numFmtId="5" fontId="10" fillId="0" borderId="0" xfId="2" applyNumberFormat="1" applyFont="1"/>
    <xf numFmtId="5" fontId="10" fillId="0" borderId="0" xfId="0" applyNumberFormat="1" applyFont="1" applyAlignment="1">
      <alignment horizontal="right"/>
    </xf>
    <xf numFmtId="5" fontId="10" fillId="0" borderId="16" xfId="2" applyNumberFormat="1" applyFont="1" applyFill="1" applyBorder="1"/>
    <xf numFmtId="37" fontId="10" fillId="0" borderId="0" xfId="0" applyNumberFormat="1" applyFont="1" applyAlignment="1">
      <alignment horizontal="center"/>
    </xf>
    <xf numFmtId="37" fontId="11" fillId="0" borderId="10" xfId="0" applyNumberFormat="1" applyFont="1" applyBorder="1" applyAlignment="1">
      <alignment horizontal="center"/>
    </xf>
    <xf numFmtId="169" fontId="0" fillId="0" borderId="0" xfId="0" applyNumberFormat="1"/>
    <xf numFmtId="169" fontId="24" fillId="0" borderId="0" xfId="0" applyNumberFormat="1" applyFont="1" applyBorder="1" applyAlignment="1">
      <alignment horizontal="center"/>
    </xf>
    <xf numFmtId="10" fontId="10" fillId="0" borderId="12" xfId="0" applyNumberFormat="1" applyFont="1" applyBorder="1"/>
    <xf numFmtId="0" fontId="22" fillId="0" borderId="0" xfId="0" applyFont="1" applyAlignment="1">
      <alignment horizontal="center"/>
    </xf>
    <xf numFmtId="0" fontId="20" fillId="0" borderId="0" xfId="0" applyFont="1" applyAlignment="1">
      <alignment horizontal="center"/>
    </xf>
    <xf numFmtId="0" fontId="24" fillId="0" borderId="0" xfId="0" applyFont="1" applyFill="1" applyAlignment="1">
      <alignment horizontal="center"/>
    </xf>
    <xf numFmtId="0" fontId="32" fillId="0" borderId="0" xfId="0" applyFont="1" applyAlignment="1">
      <alignment horizontal="center"/>
    </xf>
    <xf numFmtId="0" fontId="20" fillId="0" borderId="0" xfId="0" applyFont="1" applyFill="1" applyAlignment="1">
      <alignment horizontal="center"/>
    </xf>
    <xf numFmtId="10" fontId="10" fillId="0" borderId="13" xfId="0" applyNumberFormat="1" applyFont="1" applyFill="1" applyBorder="1" applyAlignment="1">
      <alignment horizontal="left"/>
    </xf>
    <xf numFmtId="10" fontId="10" fillId="0" borderId="13" xfId="0" applyNumberFormat="1" applyFont="1" applyBorder="1" applyAlignment="1">
      <alignment horizontal="left"/>
    </xf>
    <xf numFmtId="0" fontId="41" fillId="0" borderId="0" xfId="0" applyFont="1" applyAlignment="1">
      <alignment horizontal="center"/>
    </xf>
    <xf numFmtId="0" fontId="11" fillId="0" borderId="0" xfId="0" applyFont="1" applyBorder="1" applyAlignment="1">
      <alignment horizontal="left"/>
    </xf>
    <xf numFmtId="0" fontId="11" fillId="0" borderId="0" xfId="0" applyFont="1" applyFill="1" applyAlignment="1">
      <alignment horizontal="left"/>
    </xf>
    <xf numFmtId="0" fontId="42" fillId="0" borderId="0" xfId="0" applyFont="1" applyAlignment="1">
      <alignment horizontal="center"/>
    </xf>
    <xf numFmtId="0" fontId="42" fillId="0" borderId="0" xfId="0" applyFont="1" applyFill="1" applyAlignment="1">
      <alignment horizontal="center"/>
    </xf>
    <xf numFmtId="0" fontId="43" fillId="0" borderId="0" xfId="0" applyFont="1" applyAlignment="1">
      <alignment horizontal="left"/>
    </xf>
    <xf numFmtId="0" fontId="22" fillId="0" borderId="10" xfId="0" applyFont="1" applyBorder="1"/>
    <xf numFmtId="0" fontId="45" fillId="0" borderId="0" xfId="0" applyFont="1" applyAlignment="1">
      <alignment horizontal="center"/>
    </xf>
    <xf numFmtId="0" fontId="46" fillId="0" borderId="0" xfId="0" applyFont="1" applyAlignment="1">
      <alignment horizontal="center"/>
    </xf>
    <xf numFmtId="3" fontId="10" fillId="0" borderId="0" xfId="0" applyNumberFormat="1" applyFont="1" applyFill="1"/>
    <xf numFmtId="37" fontId="32" fillId="0" borderId="10" xfId="0" applyNumberFormat="1" applyFont="1" applyBorder="1"/>
    <xf numFmtId="0" fontId="32" fillId="0" borderId="10" xfId="0" applyFont="1" applyBorder="1"/>
    <xf numFmtId="5" fontId="13" fillId="0" borderId="0" xfId="0" applyNumberFormat="1" applyFont="1" applyFill="1"/>
    <xf numFmtId="5" fontId="13" fillId="0" borderId="16" xfId="0" applyNumberFormat="1" applyFont="1" applyFill="1" applyBorder="1"/>
    <xf numFmtId="0" fontId="46" fillId="0" borderId="0" xfId="0" applyFont="1" applyFill="1" applyAlignment="1">
      <alignment horizontal="center"/>
    </xf>
    <xf numFmtId="3" fontId="23" fillId="0" borderId="0" xfId="0" applyNumberFormat="1" applyFont="1" applyFill="1" applyAlignment="1">
      <alignment horizontal="center"/>
    </xf>
    <xf numFmtId="5" fontId="10" fillId="0" borderId="0" xfId="0" applyNumberFormat="1" applyFont="1" applyFill="1" applyBorder="1"/>
    <xf numFmtId="10" fontId="10" fillId="0" borderId="0" xfId="0" applyNumberFormat="1" applyFont="1" applyFill="1" applyBorder="1" applyAlignment="1">
      <alignment horizontal="left"/>
    </xf>
    <xf numFmtId="175" fontId="10" fillId="0" borderId="0" xfId="0" applyNumberFormat="1" applyFont="1"/>
    <xf numFmtId="166" fontId="10" fillId="0" borderId="0" xfId="0" applyNumberFormat="1" applyFont="1"/>
    <xf numFmtId="166" fontId="10" fillId="0" borderId="0" xfId="0" applyNumberFormat="1" applyFont="1" applyBorder="1"/>
    <xf numFmtId="174" fontId="10" fillId="0" borderId="0" xfId="1" applyNumberFormat="1" applyFont="1" applyFill="1" applyBorder="1"/>
    <xf numFmtId="169" fontId="20" fillId="0" borderId="0" xfId="1" applyNumberFormat="1" applyFont="1"/>
    <xf numFmtId="169" fontId="24" fillId="0" borderId="0" xfId="1" applyNumberFormat="1" applyFont="1"/>
    <xf numFmtId="169" fontId="24" fillId="0" borderId="0" xfId="1" applyNumberFormat="1" applyFont="1" applyFill="1"/>
    <xf numFmtId="169" fontId="32" fillId="0" borderId="0" xfId="1" applyNumberFormat="1" applyFont="1"/>
    <xf numFmtId="169" fontId="10" fillId="0" borderId="0" xfId="1" applyNumberFormat="1" applyFont="1" applyFill="1"/>
    <xf numFmtId="169" fontId="20" fillId="0" borderId="0" xfId="1" applyNumberFormat="1" applyFont="1" applyFill="1"/>
    <xf numFmtId="169" fontId="10" fillId="0" borderId="0" xfId="0" applyNumberFormat="1" applyFont="1" applyFill="1" applyBorder="1"/>
    <xf numFmtId="169" fontId="11" fillId="0" borderId="0" xfId="0" applyNumberFormat="1" applyFont="1" applyFill="1" applyBorder="1"/>
    <xf numFmtId="0" fontId="20" fillId="0" borderId="0" xfId="0" applyFont="1" applyFill="1" applyBorder="1"/>
    <xf numFmtId="0" fontId="32" fillId="0" borderId="0" xfId="0" applyFont="1" applyFill="1" applyBorder="1"/>
    <xf numFmtId="165" fontId="10" fillId="0" borderId="0" xfId="15" applyNumberFormat="1" applyFont="1" applyFill="1" applyBorder="1"/>
    <xf numFmtId="10" fontId="10" fillId="0" borderId="0" xfId="0" applyNumberFormat="1" applyFont="1" applyFill="1" applyBorder="1"/>
    <xf numFmtId="0" fontId="32" fillId="0" borderId="0" xfId="0" applyFont="1" applyFill="1"/>
    <xf numFmtId="5" fontId="22" fillId="0" borderId="0" xfId="0" applyNumberFormat="1" applyFont="1" applyFill="1"/>
    <xf numFmtId="6" fontId="24" fillId="0" borderId="0" xfId="0" applyNumberFormat="1" applyFont="1"/>
    <xf numFmtId="0" fontId="10" fillId="0" borderId="0" xfId="0" applyFont="1" applyAlignment="1"/>
    <xf numFmtId="0" fontId="12" fillId="0" borderId="0" xfId="0" applyFont="1" applyAlignment="1"/>
    <xf numFmtId="6" fontId="24"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6" fillId="0" borderId="0" xfId="0" applyFont="1" applyAlignment="1">
      <alignment horizontal="right"/>
    </xf>
    <xf numFmtId="0" fontId="10" fillId="0" borderId="0" xfId="0" applyFont="1" applyAlignment="1">
      <alignment horizontal="center"/>
    </xf>
    <xf numFmtId="0" fontId="31" fillId="0" borderId="0" xfId="0" applyFont="1" applyAlignment="1">
      <alignment horizontal="center"/>
    </xf>
    <xf numFmtId="176" fontId="10" fillId="0" borderId="0" xfId="0" applyNumberFormat="1" applyFont="1" applyFill="1"/>
    <xf numFmtId="43" fontId="10" fillId="0" borderId="0" xfId="1" applyNumberFormat="1" applyFont="1" applyFill="1"/>
    <xf numFmtId="5" fontId="13" fillId="0" borderId="0" xfId="0" applyNumberFormat="1" applyFont="1" applyFill="1" applyBorder="1"/>
    <xf numFmtId="5" fontId="10" fillId="0" borderId="0" xfId="2" applyNumberFormat="1" applyFont="1" applyFill="1" applyBorder="1"/>
    <xf numFmtId="169" fontId="13" fillId="0" borderId="0" xfId="0" applyNumberFormat="1" applyFont="1" applyFill="1"/>
    <xf numFmtId="169" fontId="5" fillId="0" borderId="0" xfId="0" applyNumberFormat="1" applyFont="1" applyFill="1" applyAlignment="1">
      <alignment horizontal="right"/>
    </xf>
    <xf numFmtId="169" fontId="32" fillId="0" borderId="0" xfId="1" applyNumberFormat="1" applyFont="1" applyFill="1" applyBorder="1"/>
    <xf numFmtId="41" fontId="5" fillId="0" borderId="0" xfId="0" applyNumberFormat="1" applyFont="1"/>
    <xf numFmtId="41" fontId="5" fillId="0" borderId="0" xfId="13" applyNumberFormat="1" applyFont="1"/>
    <xf numFmtId="41" fontId="6" fillId="0" borderId="1" xfId="13" applyNumberFormat="1" applyFont="1" applyFill="1" applyBorder="1" applyAlignment="1">
      <alignment horizontal="center"/>
    </xf>
    <xf numFmtId="41" fontId="6" fillId="0" borderId="1" xfId="13" applyNumberFormat="1" applyFont="1" applyBorder="1" applyAlignment="1">
      <alignment horizontal="center"/>
    </xf>
    <xf numFmtId="41" fontId="6" fillId="0" borderId="5" xfId="13" applyNumberFormat="1" applyFont="1" applyBorder="1" applyAlignment="1">
      <alignment horizontal="center"/>
    </xf>
    <xf numFmtId="41" fontId="6" fillId="0" borderId="8" xfId="13" applyNumberFormat="1" applyFont="1" applyBorder="1" applyAlignment="1">
      <alignment horizontal="center"/>
    </xf>
    <xf numFmtId="41" fontId="5" fillId="0" borderId="10" xfId="13" applyNumberFormat="1" applyFont="1" applyBorder="1"/>
    <xf numFmtId="41" fontId="6" fillId="0" borderId="10" xfId="13" applyNumberFormat="1" applyFont="1" applyFill="1" applyBorder="1"/>
    <xf numFmtId="41" fontId="5"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 fontId="10" fillId="0" borderId="0" xfId="0" applyNumberFormat="1" applyFont="1" applyAlignment="1">
      <alignment horizontal="center"/>
    </xf>
    <xf numFmtId="4" fontId="10"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10" fillId="0" borderId="0" xfId="0" applyFont="1" applyAlignment="1">
      <alignment horizontal="center"/>
    </xf>
    <xf numFmtId="41" fontId="10" fillId="0" borderId="0" xfId="0" applyNumberFormat="1" applyFont="1"/>
    <xf numFmtId="41" fontId="10" fillId="0" borderId="10" xfId="0" applyNumberFormat="1" applyFont="1" applyBorder="1"/>
    <xf numFmtId="41" fontId="10" fillId="0" borderId="10" xfId="0" applyNumberFormat="1" applyFont="1" applyBorder="1" applyAlignment="1">
      <alignment horizontal="center"/>
    </xf>
    <xf numFmtId="41" fontId="10" fillId="0" borderId="0" xfId="0" applyNumberFormat="1" applyFont="1" applyBorder="1" applyAlignment="1">
      <alignment horizontal="center"/>
    </xf>
    <xf numFmtId="41" fontId="10" fillId="0" borderId="0" xfId="2" applyNumberFormat="1" applyFont="1" applyFill="1" applyBorder="1"/>
    <xf numFmtId="41" fontId="10" fillId="0" borderId="0" xfId="0" applyNumberFormat="1" applyFont="1" applyFill="1" applyBorder="1"/>
    <xf numFmtId="41" fontId="10" fillId="0" borderId="0" xfId="2" applyNumberFormat="1" applyFont="1" applyBorder="1"/>
    <xf numFmtId="37" fontId="36" fillId="0" borderId="0" xfId="13" applyNumberFormat="1" applyFont="1" applyAlignment="1">
      <alignment horizontal="left"/>
    </xf>
    <xf numFmtId="37" fontId="10" fillId="0" borderId="0" xfId="13" applyNumberFormat="1" applyFont="1" applyBorder="1"/>
    <xf numFmtId="37" fontId="11" fillId="0" borderId="0" xfId="13" applyNumberFormat="1" applyFont="1"/>
    <xf numFmtId="37" fontId="10" fillId="0" borderId="0" xfId="13" applyNumberFormat="1" applyFont="1"/>
    <xf numFmtId="10" fontId="10" fillId="0" borderId="10" xfId="15" applyNumberFormat="1" applyFont="1" applyBorder="1"/>
    <xf numFmtId="5" fontId="10" fillId="0" borderId="10" xfId="0" applyNumberFormat="1" applyFont="1" applyBorder="1"/>
    <xf numFmtId="37" fontId="11" fillId="2" borderId="0" xfId="13" applyNumberFormat="1" applyFont="1" applyFill="1"/>
    <xf numFmtId="10" fontId="36" fillId="2" borderId="0" xfId="15" applyNumberFormat="1" applyFont="1" applyFill="1"/>
    <xf numFmtId="0" fontId="10" fillId="0" borderId="0" xfId="13" applyFont="1"/>
    <xf numFmtId="0" fontId="10" fillId="0" borderId="0" xfId="13" applyFont="1" applyBorder="1"/>
    <xf numFmtId="5" fontId="10" fillId="0" borderId="0" xfId="13" applyNumberFormat="1" applyFont="1" applyBorder="1"/>
    <xf numFmtId="0" fontId="36" fillId="0" borderId="0" xfId="0" applyFont="1" applyAlignment="1">
      <alignment horizontal="left"/>
    </xf>
    <xf numFmtId="0" fontId="36" fillId="0" borderId="0" xfId="0" applyFont="1"/>
    <xf numFmtId="169" fontId="36" fillId="0" borderId="0" xfId="1" applyNumberFormat="1" applyFont="1" applyBorder="1"/>
    <xf numFmtId="10" fontId="36" fillId="0" borderId="0" xfId="15" applyNumberFormat="1" applyFont="1"/>
    <xf numFmtId="10" fontId="5" fillId="0" borderId="0" xfId="15" applyNumberFormat="1" applyFont="1"/>
    <xf numFmtId="41" fontId="10" fillId="0" borderId="0" xfId="0" applyNumberFormat="1" applyFont="1" applyFill="1"/>
    <xf numFmtId="41" fontId="5" fillId="0" borderId="12" xfId="13"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5" fillId="0" borderId="15" xfId="6" applyNumberFormat="1" applyFont="1" applyBorder="1" applyAlignment="1">
      <alignment horizontal="centerContinuous"/>
    </xf>
    <xf numFmtId="3" fontId="15" fillId="0" borderId="12" xfId="6" applyNumberFormat="1" applyFont="1" applyBorder="1" applyAlignment="1">
      <alignment horizontal="centerContinuous"/>
    </xf>
    <xf numFmtId="3" fontId="14"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10" xfId="6" applyNumberFormat="1" applyFont="1" applyBorder="1" applyProtection="1">
      <protection locked="0"/>
    </xf>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3" applyNumberFormat="1" applyFont="1" applyFill="1"/>
    <xf numFmtId="41" fontId="5" fillId="0" borderId="10" xfId="0" applyNumberFormat="1" applyFont="1" applyBorder="1"/>
    <xf numFmtId="177" fontId="48" fillId="0" borderId="0" xfId="0" applyNumberFormat="1" applyFont="1" applyAlignment="1">
      <alignment horizontal="left"/>
    </xf>
    <xf numFmtId="0" fontId="48" fillId="0" borderId="0" xfId="0" applyFont="1"/>
    <xf numFmtId="3" fontId="48" fillId="0" borderId="0" xfId="0" applyNumberFormat="1" applyFont="1"/>
    <xf numFmtId="178" fontId="48" fillId="0" borderId="0" xfId="0" applyNumberFormat="1" applyFont="1" applyAlignment="1">
      <alignment horizontal="left"/>
    </xf>
    <xf numFmtId="178" fontId="48" fillId="0" borderId="0" xfId="0" applyNumberFormat="1" applyFont="1" applyFill="1" applyAlignment="1">
      <alignment horizontal="left"/>
    </xf>
    <xf numFmtId="3" fontId="48" fillId="0" borderId="0" xfId="0" applyNumberFormat="1" applyFont="1" applyFill="1"/>
    <xf numFmtId="0" fontId="48" fillId="0" borderId="0" xfId="0" applyFont="1" applyFill="1"/>
    <xf numFmtId="177" fontId="48" fillId="0" borderId="0" xfId="0" applyNumberFormat="1" applyFont="1" applyFill="1" applyAlignment="1">
      <alignment horizontal="left"/>
    </xf>
    <xf numFmtId="3" fontId="48" fillId="0" borderId="0" xfId="0" applyNumberFormat="1" applyFont="1" applyAlignment="1">
      <alignment horizontal="left"/>
    </xf>
    <xf numFmtId="177" fontId="48" fillId="0" borderId="0" xfId="0" applyNumberFormat="1" applyFont="1"/>
    <xf numFmtId="178" fontId="48" fillId="0" borderId="0" xfId="0" applyNumberFormat="1" applyFont="1" applyFill="1" applyAlignment="1">
      <alignment horizontal="center"/>
    </xf>
    <xf numFmtId="178" fontId="48" fillId="0" borderId="0" xfId="0" applyNumberFormat="1" applyFont="1" applyAlignment="1">
      <alignment horizontal="center"/>
    </xf>
    <xf numFmtId="0" fontId="48" fillId="0" borderId="0" xfId="0" applyNumberFormat="1" applyFont="1"/>
    <xf numFmtId="0" fontId="48" fillId="0" borderId="0" xfId="0" applyNumberFormat="1" applyFont="1" applyAlignment="1">
      <alignment horizontal="center"/>
    </xf>
    <xf numFmtId="177" fontId="48" fillId="0" borderId="0" xfId="0" applyNumberFormat="1" applyFont="1" applyAlignment="1">
      <alignment horizontal="center"/>
    </xf>
    <xf numFmtId="178" fontId="48" fillId="0" borderId="0" xfId="0" applyNumberFormat="1" applyFont="1"/>
    <xf numFmtId="177" fontId="48" fillId="6" borderId="0" xfId="0" applyNumberFormat="1" applyFont="1" applyFill="1"/>
    <xf numFmtId="3" fontId="48" fillId="6" borderId="0" xfId="0" applyNumberFormat="1" applyFont="1" applyFill="1"/>
    <xf numFmtId="0" fontId="48" fillId="6" borderId="0" xfId="0" applyFont="1" applyFill="1"/>
    <xf numFmtId="3" fontId="48" fillId="0" borderId="0" xfId="0" applyNumberFormat="1" applyFont="1" applyAlignment="1">
      <alignment horizontal="center"/>
    </xf>
    <xf numFmtId="3" fontId="48" fillId="0" borderId="0" xfId="0" applyNumberFormat="1" applyFont="1" applyFill="1" applyAlignment="1">
      <alignment horizontal="center"/>
    </xf>
    <xf numFmtId="3" fontId="48" fillId="6" borderId="0" xfId="0" applyNumberFormat="1" applyFont="1" applyFill="1" applyAlignment="1">
      <alignment horizontal="center"/>
    </xf>
    <xf numFmtId="177" fontId="48"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3" applyNumberFormat="1" applyFont="1" applyFill="1"/>
    <xf numFmtId="37" fontId="6" fillId="0" borderId="10" xfId="13" applyNumberFormat="1" applyFont="1" applyFill="1" applyBorder="1"/>
    <xf numFmtId="37" fontId="6" fillId="0" borderId="3" xfId="13" applyNumberFormat="1" applyFont="1" applyBorder="1"/>
    <xf numFmtId="37" fontId="6" fillId="0" borderId="3" xfId="13" applyNumberFormat="1" applyFont="1" applyFill="1" applyBorder="1"/>
    <xf numFmtId="2" fontId="10" fillId="0" borderId="0" xfId="0" applyNumberFormat="1" applyFont="1"/>
    <xf numFmtId="2" fontId="10" fillId="0" borderId="10" xfId="0" applyNumberFormat="1" applyFont="1" applyBorder="1" applyAlignment="1">
      <alignment horizontal="center"/>
    </xf>
    <xf numFmtId="2" fontId="17" fillId="0" borderId="0" xfId="0" applyNumberFormat="1" applyFont="1" applyAlignment="1">
      <alignment horizontal="center"/>
    </xf>
    <xf numFmtId="2" fontId="22" fillId="0" borderId="0" xfId="0" applyNumberFormat="1" applyFont="1" applyAlignment="1">
      <alignment horizontal="center"/>
    </xf>
    <xf numFmtId="2" fontId="17" fillId="0" borderId="0" xfId="0" applyNumberFormat="1" applyFont="1"/>
    <xf numFmtId="2" fontId="22" fillId="0" borderId="0" xfId="0" applyNumberFormat="1" applyFont="1" applyFill="1" applyAlignment="1">
      <alignment horizontal="center"/>
    </xf>
    <xf numFmtId="2" fontId="23" fillId="0" borderId="0" xfId="0" applyNumberFormat="1" applyFont="1" applyAlignment="1">
      <alignment horizontal="center"/>
    </xf>
    <xf numFmtId="2" fontId="10" fillId="0" borderId="0" xfId="0" applyNumberFormat="1" applyFont="1" applyFill="1" applyAlignment="1">
      <alignment horizontal="center"/>
    </xf>
    <xf numFmtId="2" fontId="10" fillId="0" borderId="0" xfId="0" applyNumberFormat="1" applyFont="1" applyAlignment="1">
      <alignment horizontal="center"/>
    </xf>
    <xf numFmtId="2" fontId="10" fillId="0" borderId="0" xfId="0" applyNumberFormat="1" applyFont="1" applyBorder="1" applyAlignment="1">
      <alignment horizontal="center"/>
    </xf>
    <xf numFmtId="10" fontId="5" fillId="0" borderId="0" xfId="15" applyNumberFormat="1" applyFont="1" applyBorder="1"/>
    <xf numFmtId="5" fontId="5" fillId="0" borderId="13" xfId="13" applyNumberFormat="1" applyFont="1" applyBorder="1"/>
    <xf numFmtId="5" fontId="6" fillId="0" borderId="13" xfId="13" applyNumberFormat="1" applyFont="1" applyFill="1" applyBorder="1"/>
    <xf numFmtId="5" fontId="5" fillId="0" borderId="13" xfId="0" applyNumberFormat="1" applyFont="1" applyBorder="1"/>
    <xf numFmtId="2" fontId="6" fillId="0" borderId="0" xfId="4" applyNumberFormat="1" applyFont="1" applyFill="1" applyBorder="1" applyAlignment="1" applyProtection="1">
      <alignment horizontal="center"/>
    </xf>
    <xf numFmtId="5" fontId="10" fillId="0" borderId="0" xfId="12" applyNumberFormat="1" applyFont="1" applyAlignment="1">
      <alignment horizontal="right"/>
    </xf>
    <xf numFmtId="37" fontId="6" fillId="0" borderId="0" xfId="13" applyNumberFormat="1" applyFont="1" applyFill="1" applyBorder="1"/>
    <xf numFmtId="0" fontId="10" fillId="0" borderId="0" xfId="0" applyFont="1" applyAlignment="1">
      <alignment horizontal="center"/>
    </xf>
    <xf numFmtId="4" fontId="10" fillId="0" borderId="0" xfId="12" applyNumberFormat="1" applyFont="1" applyBorder="1" applyAlignment="1">
      <alignment horizontal="centerContinuous"/>
    </xf>
    <xf numFmtId="4" fontId="10" fillId="0" borderId="0" xfId="12" applyNumberFormat="1" applyFont="1" applyAlignment="1">
      <alignment horizontal="center"/>
    </xf>
    <xf numFmtId="4" fontId="36" fillId="0" borderId="0" xfId="12" applyNumberFormat="1" applyFont="1" applyAlignment="1">
      <alignment horizontal="center"/>
    </xf>
    <xf numFmtId="4" fontId="11" fillId="0" borderId="0" xfId="12" applyNumberFormat="1" applyFont="1" applyAlignment="1">
      <alignment horizontal="centerContinuous"/>
    </xf>
    <xf numFmtId="4" fontId="25" fillId="0" borderId="0" xfId="12" applyNumberFormat="1" applyFont="1" applyBorder="1" applyAlignment="1">
      <alignment horizontal="centerContinuous"/>
    </xf>
    <xf numFmtId="4" fontId="10" fillId="0" borderId="0" xfId="12" applyNumberFormat="1" applyFont="1" applyAlignment="1">
      <alignment horizontal="centerContinuous"/>
    </xf>
    <xf numFmtId="4" fontId="10" fillId="0" borderId="0" xfId="12" applyNumberFormat="1" applyFont="1"/>
    <xf numFmtId="3" fontId="10" fillId="0" borderId="0" xfId="12" applyNumberFormat="1" applyFont="1" applyBorder="1" applyAlignment="1">
      <alignment horizontal="left"/>
    </xf>
    <xf numFmtId="3" fontId="10" fillId="0" borderId="10" xfId="12" applyNumberFormat="1" applyFont="1" applyBorder="1" applyAlignment="1">
      <alignment horizontal="left"/>
    </xf>
    <xf numFmtId="4" fontId="10" fillId="0" borderId="0" xfId="12" applyNumberFormat="1" applyFont="1" applyAlignment="1">
      <alignment horizontal="left"/>
    </xf>
    <xf numFmtId="3" fontId="36" fillId="0" borderId="0" xfId="12" applyNumberFormat="1" applyFont="1" applyAlignment="1">
      <alignment horizontal="left"/>
    </xf>
    <xf numFmtId="41" fontId="10" fillId="0" borderId="0" xfId="12" applyNumberFormat="1" applyFont="1" applyAlignment="1">
      <alignment horizontal="right"/>
    </xf>
    <xf numFmtId="0" fontId="10" fillId="0" borderId="10" xfId="12" applyFont="1" applyBorder="1" applyAlignment="1">
      <alignment horizontal="center"/>
    </xf>
    <xf numFmtId="169" fontId="22" fillId="0" borderId="10" xfId="1" applyNumberFormat="1" applyFont="1" applyFill="1" applyBorder="1"/>
    <xf numFmtId="0" fontId="10" fillId="0" borderId="0" xfId="12" applyFont="1" applyBorder="1"/>
    <xf numFmtId="0" fontId="10" fillId="0" borderId="10" xfId="0" applyFont="1" applyBorder="1" applyAlignment="1">
      <alignment horizontal="center"/>
    </xf>
    <xf numFmtId="43" fontId="10" fillId="0" borderId="10" xfId="1" applyNumberFormat="1" applyFont="1" applyBorder="1"/>
    <xf numFmtId="0" fontId="10" fillId="0" borderId="10" xfId="0" applyFont="1" applyBorder="1" applyAlignment="1">
      <alignment horizontal="center"/>
    </xf>
    <xf numFmtId="3" fontId="5" fillId="0" borderId="0" xfId="6" applyNumberFormat="1" applyFont="1" applyBorder="1" applyAlignment="1">
      <alignment horizontal="center"/>
    </xf>
    <xf numFmtId="0" fontId="6" fillId="0" borderId="0" xfId="13" applyNumberFormat="1" applyFont="1" applyBorder="1" applyAlignment="1">
      <alignment horizontal="center"/>
    </xf>
    <xf numFmtId="41" fontId="6" fillId="0" borderId="10" xfId="13" applyNumberFormat="1" applyFont="1" applyFill="1" applyBorder="1" applyAlignment="1">
      <alignment horizontal="center"/>
    </xf>
    <xf numFmtId="2" fontId="6" fillId="0" borderId="10" xfId="13" applyNumberFormat="1" applyFont="1" applyBorder="1" applyAlignment="1">
      <alignment horizontal="center"/>
    </xf>
    <xf numFmtId="2" fontId="5" fillId="0" borderId="10" xfId="13" applyNumberFormat="1" applyFont="1" applyBorder="1" applyAlignment="1">
      <alignment horizontal="left"/>
    </xf>
    <xf numFmtId="0" fontId="6" fillId="0" borderId="10" xfId="13" applyNumberFormat="1" applyFont="1" applyBorder="1" applyAlignment="1">
      <alignment horizontal="center"/>
    </xf>
    <xf numFmtId="0" fontId="6" fillId="0" borderId="10" xfId="13" applyFont="1" applyBorder="1" applyAlignment="1">
      <alignment horizontal="left"/>
    </xf>
    <xf numFmtId="4" fontId="10" fillId="0" borderId="0" xfId="0" applyNumberFormat="1" applyFont="1" applyAlignment="1">
      <alignment horizontal="left"/>
    </xf>
    <xf numFmtId="0" fontId="10" fillId="0" borderId="0" xfId="0" applyFont="1" applyAlignment="1">
      <alignment horizontal="center"/>
    </xf>
    <xf numFmtId="0" fontId="12" fillId="0" borderId="0" xfId="0" applyFont="1" applyAlignment="1">
      <alignment horizontal="center"/>
    </xf>
    <xf numFmtId="3" fontId="50" fillId="7" borderId="0" xfId="12" applyNumberFormat="1" applyFont="1" applyFill="1"/>
    <xf numFmtId="0" fontId="10" fillId="0" borderId="0" xfId="0" applyFont="1" applyAlignment="1">
      <alignment horizontal="right"/>
    </xf>
    <xf numFmtId="41" fontId="6" fillId="0" borderId="13" xfId="13" applyNumberFormat="1" applyFont="1" applyFill="1" applyBorder="1"/>
    <xf numFmtId="0" fontId="10" fillId="0" borderId="0" xfId="12" applyFont="1" applyBorder="1" applyAlignment="1">
      <alignment horizontal="center"/>
    </xf>
    <xf numFmtId="41" fontId="51" fillId="0" borderId="0" xfId="12" applyNumberFormat="1" applyFont="1" applyAlignment="1">
      <alignment horizontal="right"/>
    </xf>
    <xf numFmtId="3" fontId="52" fillId="0" borderId="0" xfId="12" applyNumberFormat="1" applyFont="1"/>
    <xf numFmtId="169" fontId="10" fillId="4" borderId="30" xfId="1" applyNumberFormat="1" applyFont="1" applyFill="1" applyBorder="1"/>
    <xf numFmtId="4" fontId="10" fillId="4" borderId="31" xfId="12" applyNumberFormat="1" applyFont="1" applyFill="1" applyBorder="1" applyAlignment="1">
      <alignment horizontal="center"/>
    </xf>
    <xf numFmtId="0" fontId="10" fillId="4" borderId="32" xfId="12" applyFont="1" applyFill="1" applyBorder="1" applyAlignment="1">
      <alignment horizontal="center"/>
    </xf>
    <xf numFmtId="0" fontId="10" fillId="0" borderId="0" xfId="0" applyFont="1" applyAlignment="1">
      <alignment horizontal="center"/>
    </xf>
    <xf numFmtId="4" fontId="10" fillId="0" borderId="0" xfId="0" applyNumberFormat="1" applyFont="1" applyFill="1" applyAlignment="1">
      <alignment horizontal="left"/>
    </xf>
    <xf numFmtId="10" fontId="5" fillId="0" borderId="0" xfId="0" applyNumberFormat="1" applyFont="1"/>
    <xf numFmtId="168" fontId="10" fillId="0" borderId="0" xfId="15" applyNumberFormat="1" applyFont="1" applyFill="1" applyBorder="1"/>
    <xf numFmtId="10" fontId="10" fillId="0" borderId="0" xfId="15" applyNumberFormat="1" applyFont="1" applyFill="1" applyBorder="1"/>
    <xf numFmtId="0" fontId="53"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center"/>
    </xf>
    <xf numFmtId="37" fontId="10" fillId="0" borderId="0" xfId="13" applyNumberFormat="1" applyFont="1" applyFill="1" applyBorder="1"/>
    <xf numFmtId="37" fontId="22" fillId="0" borderId="0" xfId="13" applyNumberFormat="1" applyFont="1" applyFill="1" applyBorder="1"/>
    <xf numFmtId="10" fontId="22" fillId="0" borderId="0" xfId="15" applyNumberFormat="1" applyFont="1" applyFill="1" applyBorder="1"/>
    <xf numFmtId="37" fontId="11" fillId="0" borderId="0" xfId="13" applyNumberFormat="1" applyFont="1" applyFill="1" applyBorder="1"/>
    <xf numFmtId="10" fontId="11" fillId="0" borderId="0" xfId="15" applyNumberFormat="1" applyFont="1" applyFill="1" applyBorder="1" applyAlignment="1">
      <alignment horizontal="center"/>
    </xf>
    <xf numFmtId="168" fontId="22" fillId="0" borderId="0" xfId="15" applyNumberFormat="1" applyFont="1" applyFill="1" applyBorder="1"/>
    <xf numFmtId="0" fontId="10" fillId="0" borderId="0" xfId="0" applyFont="1" applyFill="1" applyBorder="1" applyAlignment="1">
      <alignment horizontal="right"/>
    </xf>
    <xf numFmtId="179" fontId="10" fillId="0" borderId="0" xfId="2" applyNumberFormat="1" applyFont="1" applyFill="1" applyBorder="1"/>
    <xf numFmtId="173" fontId="10" fillId="0" borderId="0" xfId="0" applyNumberFormat="1" applyFont="1" applyFill="1" applyBorder="1"/>
    <xf numFmtId="179" fontId="10" fillId="0" borderId="0" xfId="0" applyNumberFormat="1" applyFont="1" applyFill="1" applyBorder="1"/>
    <xf numFmtId="3" fontId="10" fillId="0" borderId="0" xfId="12" applyNumberFormat="1" applyFont="1" applyFill="1" applyBorder="1" applyAlignment="1">
      <alignment horizontal="left"/>
    </xf>
    <xf numFmtId="1" fontId="10" fillId="0" borderId="0" xfId="0" applyNumberFormat="1" applyFont="1" applyFill="1" applyBorder="1"/>
    <xf numFmtId="0" fontId="11" fillId="0" borderId="0" xfId="0" applyFont="1" applyAlignment="1">
      <alignment horizontal="center"/>
    </xf>
    <xf numFmtId="0" fontId="10" fillId="0" borderId="0" xfId="0" applyFont="1" applyAlignment="1">
      <alignment horizontal="center"/>
    </xf>
    <xf numFmtId="169" fontId="54" fillId="0" borderId="0" xfId="1" applyNumberFormat="1" applyFont="1" applyFill="1" applyBorder="1"/>
    <xf numFmtId="0" fontId="10"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72" fontId="10" fillId="0" borderId="0" xfId="2" applyNumberFormat="1" applyFont="1" applyBorder="1"/>
    <xf numFmtId="179" fontId="10" fillId="0" borderId="0" xfId="2" applyNumberFormat="1" applyFont="1"/>
    <xf numFmtId="172" fontId="10" fillId="0" borderId="0" xfId="0" applyNumberFormat="1" applyFont="1"/>
    <xf numFmtId="179" fontId="10" fillId="0" borderId="0" xfId="0" applyNumberFormat="1" applyFont="1"/>
    <xf numFmtId="179" fontId="10" fillId="0" borderId="35" xfId="0" applyNumberFormat="1" applyFont="1" applyBorder="1"/>
    <xf numFmtId="6" fontId="10" fillId="0" borderId="16" xfId="2" applyNumberFormat="1" applyFont="1" applyFill="1" applyBorder="1"/>
    <xf numFmtId="0" fontId="18" fillId="0" borderId="0" xfId="0" applyFont="1" applyFill="1"/>
    <xf numFmtId="0" fontId="10" fillId="0" borderId="0" xfId="13" applyFont="1" applyFill="1"/>
    <xf numFmtId="41" fontId="5" fillId="0" borderId="0" xfId="0" applyNumberFormat="1" applyFont="1" applyFill="1"/>
    <xf numFmtId="4" fontId="10" fillId="0" borderId="0" xfId="0" applyNumberFormat="1" applyFont="1" applyFill="1" applyBorder="1" applyAlignment="1">
      <alignment horizontal="left"/>
    </xf>
    <xf numFmtId="3" fontId="10" fillId="0" borderId="0" xfId="0" applyNumberFormat="1" applyFont="1" applyFill="1" applyBorder="1"/>
    <xf numFmtId="3" fontId="22" fillId="0" borderId="0" xfId="0" applyNumberFormat="1" applyFont="1" applyFill="1" applyBorder="1"/>
    <xf numFmtId="0" fontId="3" fillId="0" borderId="0" xfId="0" applyFont="1" applyFill="1" applyBorder="1" applyAlignment="1">
      <alignment horizontal="center"/>
    </xf>
    <xf numFmtId="37" fontId="3" fillId="0" borderId="0" xfId="0" applyNumberFormat="1" applyFont="1" applyFill="1" applyBorder="1" applyAlignment="1">
      <alignment horizontal="right"/>
    </xf>
    <xf numFmtId="10" fontId="3" fillId="0" borderId="0" xfId="0" applyNumberFormat="1" applyFont="1" applyFill="1" applyBorder="1" applyAlignment="1">
      <alignment horizontal="right"/>
    </xf>
    <xf numFmtId="0" fontId="3" fillId="0" borderId="0" xfId="0" applyFont="1" applyFill="1" applyBorder="1"/>
    <xf numFmtId="37" fontId="57" fillId="0" borderId="0" xfId="0" applyNumberFormat="1" applyFont="1" applyFill="1" applyBorder="1" applyAlignment="1">
      <alignment horizontal="right"/>
    </xf>
    <xf numFmtId="3" fontId="58" fillId="0" borderId="0" xfId="6" applyNumberFormat="1" applyFont="1" applyFill="1"/>
    <xf numFmtId="0" fontId="51" fillId="0" borderId="0" xfId="0" applyFont="1" applyAlignment="1">
      <alignment horizontal="center"/>
    </xf>
    <xf numFmtId="0" fontId="59" fillId="0" borderId="0" xfId="0" applyFont="1" applyAlignment="1">
      <alignment horizontal="center"/>
    </xf>
    <xf numFmtId="0" fontId="10" fillId="0" borderId="0" xfId="0" applyFont="1" applyAlignment="1">
      <alignment horizontal="center"/>
    </xf>
    <xf numFmtId="167" fontId="10" fillId="0" borderId="0" xfId="0" applyNumberFormat="1" applyFont="1"/>
    <xf numFmtId="169" fontId="5" fillId="0" borderId="0" xfId="1" applyNumberFormat="1" applyFont="1"/>
    <xf numFmtId="0" fontId="11" fillId="0" borderId="0" xfId="0" applyFont="1" applyBorder="1" applyAlignment="1">
      <alignment horizontal="center"/>
    </xf>
    <xf numFmtId="10" fontId="11" fillId="0" borderId="16" xfId="15" applyNumberFormat="1" applyFont="1" applyBorder="1"/>
    <xf numFmtId="0" fontId="10" fillId="0" borderId="0" xfId="0" applyFont="1" applyAlignment="1">
      <alignment horizontal="center"/>
    </xf>
    <xf numFmtId="37" fontId="22" fillId="9" borderId="0" xfId="0" applyNumberFormat="1" applyFont="1" applyFill="1"/>
    <xf numFmtId="37" fontId="10" fillId="9" borderId="0" xfId="0" applyNumberFormat="1" applyFont="1" applyFill="1"/>
    <xf numFmtId="169" fontId="10" fillId="9" borderId="0" xfId="1" applyNumberFormat="1" applyFont="1" applyFill="1" applyBorder="1"/>
    <xf numFmtId="41" fontId="22" fillId="0" borderId="0" xfId="0" applyNumberFormat="1" applyFont="1" applyFill="1" applyBorder="1"/>
    <xf numFmtId="41" fontId="10" fillId="0" borderId="12" xfId="2" applyNumberFormat="1" applyFont="1" applyFill="1" applyBorder="1"/>
    <xf numFmtId="41" fontId="6" fillId="0" borderId="0" xfId="13" quotePrefix="1" applyNumberFormat="1" applyFont="1" applyFill="1" applyAlignment="1">
      <alignment horizontal="center"/>
    </xf>
    <xf numFmtId="0" fontId="6" fillId="0" borderId="0" xfId="0" applyFont="1" applyBorder="1" applyAlignment="1">
      <alignment horizontal="center" wrapText="1"/>
    </xf>
    <xf numFmtId="5" fontId="11" fillId="0" borderId="0" xfId="0" applyNumberFormat="1" applyFont="1" applyBorder="1"/>
    <xf numFmtId="10" fontId="11" fillId="0" borderId="0" xfId="15" applyNumberFormat="1" applyFont="1" applyBorder="1"/>
    <xf numFmtId="10" fontId="6" fillId="0" borderId="0" xfId="0" applyNumberFormat="1" applyFont="1" applyAlignment="1">
      <alignment horizontal="right"/>
    </xf>
    <xf numFmtId="0" fontId="6" fillId="0" borderId="0" xfId="13" applyFont="1"/>
    <xf numFmtId="0" fontId="6" fillId="0" borderId="0" xfId="0" applyFont="1" applyAlignment="1">
      <alignment horizontal="centerContinuous"/>
    </xf>
    <xf numFmtId="0" fontId="11" fillId="0" borderId="0" xfId="0" applyFont="1" applyAlignment="1"/>
    <xf numFmtId="0" fontId="10" fillId="0" borderId="0" xfId="0" applyFont="1" applyAlignment="1">
      <alignment horizontal="center"/>
    </xf>
    <xf numFmtId="172" fontId="11" fillId="10" borderId="18" xfId="2" applyNumberFormat="1" applyFont="1" applyFill="1" applyBorder="1"/>
    <xf numFmtId="0" fontId="10" fillId="10" borderId="0" xfId="0" quotePrefix="1" applyFont="1" applyFill="1" applyAlignment="1">
      <alignment horizontal="center"/>
    </xf>
    <xf numFmtId="3" fontId="62" fillId="0" borderId="0" xfId="0" applyNumberFormat="1" applyFont="1"/>
    <xf numFmtId="178" fontId="62" fillId="0" borderId="0" xfId="0" applyNumberFormat="1" applyFont="1" applyAlignment="1">
      <alignment horizontal="left"/>
    </xf>
    <xf numFmtId="178" fontId="62" fillId="0" borderId="0" xfId="0" applyNumberFormat="1" applyFont="1" applyFill="1" applyAlignment="1">
      <alignment horizontal="left"/>
    </xf>
    <xf numFmtId="3" fontId="62" fillId="0" borderId="0" xfId="0" applyNumberFormat="1" applyFont="1" applyFill="1"/>
    <xf numFmtId="0" fontId="62" fillId="0" borderId="0" xfId="0" applyFont="1"/>
    <xf numFmtId="178" fontId="62" fillId="0" borderId="0" xfId="0" applyNumberFormat="1" applyFont="1" applyAlignment="1">
      <alignment horizontal="center"/>
    </xf>
    <xf numFmtId="0" fontId="10" fillId="0" borderId="0" xfId="0" applyFont="1" applyFill="1" applyBorder="1" applyAlignment="1">
      <alignment horizontal="center"/>
    </xf>
    <xf numFmtId="41" fontId="24" fillId="0" borderId="0" xfId="0" applyNumberFormat="1" applyFont="1"/>
    <xf numFmtId="0" fontId="11" fillId="0" borderId="0" xfId="0" applyFont="1" applyAlignment="1">
      <alignment horizontal="center"/>
    </xf>
    <xf numFmtId="0" fontId="62" fillId="0" borderId="0" xfId="0" applyFont="1" applyFill="1"/>
    <xf numFmtId="3" fontId="62" fillId="6" borderId="0" xfId="0" applyNumberFormat="1" applyFont="1" applyFill="1"/>
    <xf numFmtId="177" fontId="62" fillId="6" borderId="0" xfId="0" applyNumberFormat="1" applyFont="1" applyFill="1"/>
    <xf numFmtId="177" fontId="62" fillId="0" borderId="0" xfId="0" applyNumberFormat="1" applyFont="1"/>
    <xf numFmtId="177" fontId="62" fillId="0" borderId="0" xfId="0" applyNumberFormat="1" applyFont="1" applyFill="1"/>
    <xf numFmtId="3" fontId="63" fillId="0" borderId="0" xfId="14" applyNumberFormat="1" applyFont="1"/>
    <xf numFmtId="4" fontId="10" fillId="0" borderId="0" xfId="0" applyNumberFormat="1" applyFont="1" applyBorder="1" applyAlignment="1">
      <alignment horizontal="center"/>
    </xf>
    <xf numFmtId="4" fontId="10" fillId="0" borderId="0" xfId="0" applyNumberFormat="1" applyFont="1" applyBorder="1" applyAlignment="1">
      <alignment horizontal="left"/>
    </xf>
    <xf numFmtId="0" fontId="42" fillId="0" borderId="0" xfId="0" applyFont="1" applyBorder="1" applyAlignment="1">
      <alignment horizontal="center"/>
    </xf>
    <xf numFmtId="0" fontId="42" fillId="0" borderId="0" xfId="0" applyFont="1" applyFill="1" applyBorder="1" applyAlignment="1">
      <alignment horizontal="center"/>
    </xf>
    <xf numFmtId="4" fontId="10" fillId="0" borderId="0" xfId="0" applyNumberFormat="1" applyFont="1" applyFill="1" applyBorder="1" applyAlignment="1">
      <alignment horizontal="center"/>
    </xf>
    <xf numFmtId="0" fontId="10" fillId="0" borderId="0" xfId="0" applyFont="1" applyFill="1" applyBorder="1" applyAlignment="1">
      <alignment horizontal="left"/>
    </xf>
    <xf numFmtId="0" fontId="46" fillId="0" borderId="0" xfId="0" applyFont="1" applyFill="1" applyBorder="1" applyAlignment="1">
      <alignment horizontal="center"/>
    </xf>
    <xf numFmtId="0" fontId="24" fillId="0" borderId="0" xfId="0" applyFont="1" applyFill="1" applyBorder="1"/>
    <xf numFmtId="0" fontId="19" fillId="0" borderId="0" xfId="0" applyFont="1" applyFill="1" applyBorder="1"/>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3" applyNumberFormat="1" applyFont="1" applyFill="1"/>
    <xf numFmtId="10" fontId="5" fillId="0" borderId="0" xfId="15" applyNumberFormat="1" applyFont="1" applyFill="1"/>
    <xf numFmtId="169" fontId="10" fillId="0" borderId="0" xfId="1" applyNumberFormat="1" applyFont="1" applyFill="1" applyBorder="1"/>
    <xf numFmtId="0" fontId="5" fillId="0" borderId="0" xfId="13" applyFont="1" applyBorder="1"/>
    <xf numFmtId="37" fontId="5" fillId="0" borderId="0" xfId="13" applyNumberFormat="1" applyFont="1" applyFill="1" applyBorder="1"/>
    <xf numFmtId="5" fontId="5" fillId="0" borderId="0" xfId="13" applyNumberFormat="1" applyFont="1" applyFill="1" applyBorder="1"/>
    <xf numFmtId="0" fontId="5" fillId="0" borderId="0" xfId="13" applyNumberFormat="1" applyFont="1" applyBorder="1" applyAlignment="1">
      <alignment horizontal="center"/>
    </xf>
    <xf numFmtId="41" fontId="6" fillId="0" borderId="0" xfId="13" applyNumberFormat="1" applyFont="1" applyFill="1"/>
    <xf numFmtId="41" fontId="5" fillId="0" borderId="0" xfId="13" applyNumberFormat="1" applyFont="1"/>
    <xf numFmtId="41" fontId="5" fillId="0" borderId="0" xfId="13" applyNumberFormat="1" applyFont="1" applyFill="1"/>
    <xf numFmtId="41" fontId="6" fillId="0" borderId="0" xfId="13" applyNumberFormat="1" applyFont="1"/>
    <xf numFmtId="41" fontId="6" fillId="0" borderId="0" xfId="13" applyNumberFormat="1" applyFont="1" applyFill="1" applyAlignment="1">
      <alignment horizontal="center"/>
    </xf>
    <xf numFmtId="41" fontId="5" fillId="0" borderId="0" xfId="14" applyNumberFormat="1" applyFont="1" applyAlignment="1">
      <alignment horizontal="center"/>
    </xf>
    <xf numFmtId="41" fontId="6" fillId="0" borderId="1" xfId="14"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5" xfId="14" applyNumberFormat="1" applyFont="1" applyFill="1" applyBorder="1" applyAlignment="1">
      <alignment horizontal="center"/>
    </xf>
    <xf numFmtId="41" fontId="6" fillId="0" borderId="8" xfId="13" applyNumberFormat="1" applyFont="1" applyFill="1" applyBorder="1" applyAlignment="1">
      <alignment horizontal="center"/>
    </xf>
    <xf numFmtId="41" fontId="6" fillId="0" borderId="8" xfId="14" applyNumberFormat="1" applyFont="1" applyFill="1" applyBorder="1" applyAlignment="1">
      <alignment horizontal="center"/>
    </xf>
    <xf numFmtId="41" fontId="5" fillId="0" borderId="0" xfId="13" applyNumberFormat="1" applyFont="1" applyFill="1" applyBorder="1"/>
    <xf numFmtId="41" fontId="5" fillId="0" borderId="10" xfId="13" applyNumberFormat="1" applyFont="1" applyFill="1" applyBorder="1"/>
    <xf numFmtId="41" fontId="5" fillId="0" borderId="10" xfId="13" applyNumberFormat="1" applyFont="1" applyBorder="1"/>
    <xf numFmtId="41" fontId="5" fillId="0" borderId="0" xfId="15" applyNumberFormat="1" applyFont="1" applyFill="1"/>
    <xf numFmtId="41" fontId="5" fillId="0" borderId="0" xfId="13" applyNumberFormat="1" applyFont="1" applyBorder="1"/>
    <xf numFmtId="41" fontId="6"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1" fontId="5" fillId="0" borderId="12" xfId="13" applyNumberFormat="1" applyFont="1" applyFill="1" applyBorder="1"/>
    <xf numFmtId="41" fontId="6" fillId="0" borderId="12" xfId="13" applyNumberFormat="1" applyFont="1" applyFill="1" applyBorder="1"/>
    <xf numFmtId="3" fontId="5" fillId="0" borderId="0" xfId="9" applyNumberFormat="1" applyFont="1" applyFill="1" applyAlignment="1">
      <alignment horizontal="center"/>
    </xf>
    <xf numFmtId="41" fontId="5" fillId="0" borderId="3" xfId="13" applyNumberFormat="1" applyFont="1" applyFill="1" applyBorder="1"/>
    <xf numFmtId="37" fontId="5" fillId="0" borderId="10" xfId="13" applyNumberFormat="1" applyFont="1" applyFill="1" applyBorder="1"/>
    <xf numFmtId="5" fontId="5" fillId="0" borderId="13" xfId="13" applyNumberFormat="1" applyFont="1" applyFill="1" applyBorder="1"/>
    <xf numFmtId="5" fontId="5" fillId="0" borderId="13" xfId="13" applyNumberFormat="1" applyFont="1" applyBorder="1"/>
    <xf numFmtId="5" fontId="5" fillId="0" borderId="0" xfId="10" applyNumberFormat="1" applyFont="1" applyFill="1" applyBorder="1"/>
    <xf numFmtId="2" fontId="6" fillId="0" borderId="0" xfId="13"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3" applyNumberFormat="1" applyFont="1" applyAlignment="1">
      <alignment horizontal="left"/>
    </xf>
    <xf numFmtId="41" fontId="6" fillId="0" borderId="0" xfId="13" applyNumberFormat="1" applyFont="1" applyBorder="1" applyAlignment="1">
      <alignment horizontal="center"/>
    </xf>
    <xf numFmtId="41" fontId="6" fillId="0" borderId="10" xfId="13" applyNumberFormat="1" applyFont="1" applyBorder="1" applyAlignment="1">
      <alignment horizontal="center"/>
    </xf>
    <xf numFmtId="2" fontId="6" fillId="0" borderId="10" xfId="4" applyNumberFormat="1" applyFont="1" applyBorder="1" applyAlignment="1" applyProtection="1">
      <alignment horizontal="center"/>
    </xf>
    <xf numFmtId="9" fontId="5" fillId="0" borderId="0" xfId="15" applyFont="1"/>
    <xf numFmtId="0" fontId="5" fillId="4" borderId="0" xfId="13" applyFont="1" applyFill="1"/>
    <xf numFmtId="41" fontId="5" fillId="4" borderId="10" xfId="13" applyNumberFormat="1" applyFont="1" applyFill="1" applyBorder="1"/>
    <xf numFmtId="41" fontId="6" fillId="4" borderId="10" xfId="13" applyNumberFormat="1" applyFont="1" applyFill="1" applyBorder="1"/>
    <xf numFmtId="0" fontId="5" fillId="0" borderId="0" xfId="13" applyFont="1" applyAlignment="1">
      <alignment vertical="top"/>
    </xf>
    <xf numFmtId="3" fontId="6" fillId="0" borderId="0" xfId="14" applyNumberFormat="1" applyFont="1" applyAlignment="1">
      <alignment horizontal="center"/>
    </xf>
    <xf numFmtId="41" fontId="6" fillId="10" borderId="8" xfId="13" applyNumberFormat="1" applyFont="1" applyFill="1" applyBorder="1" applyAlignment="1">
      <alignment horizontal="center"/>
    </xf>
    <xf numFmtId="2" fontId="6" fillId="10" borderId="5" xfId="13" applyNumberFormat="1" applyFont="1" applyFill="1" applyBorder="1" applyAlignment="1">
      <alignment horizontal="center"/>
    </xf>
    <xf numFmtId="41" fontId="6" fillId="10" borderId="5" xfId="13" applyNumberFormat="1" applyFont="1" applyFill="1" applyBorder="1"/>
    <xf numFmtId="5" fontId="6" fillId="10" borderId="5" xfId="13" applyNumberFormat="1" applyFont="1" applyFill="1" applyBorder="1"/>
    <xf numFmtId="41" fontId="6" fillId="10" borderId="8" xfId="13" applyNumberFormat="1" applyFont="1" applyFill="1" applyBorder="1"/>
    <xf numFmtId="41" fontId="6" fillId="10" borderId="1" xfId="13" applyNumberFormat="1" applyFont="1" applyFill="1" applyBorder="1"/>
    <xf numFmtId="41" fontId="6" fillId="10" borderId="37" xfId="13" applyNumberFormat="1" applyFont="1" applyFill="1" applyBorder="1"/>
    <xf numFmtId="10" fontId="6" fillId="10" borderId="5" xfId="15" applyNumberFormat="1" applyFont="1" applyFill="1" applyBorder="1"/>
    <xf numFmtId="41" fontId="56" fillId="0" borderId="0" xfId="13" applyNumberFormat="1" applyFont="1" applyFill="1" applyBorder="1" applyAlignment="1">
      <alignment vertical="top" wrapText="1"/>
    </xf>
    <xf numFmtId="0" fontId="6" fillId="0" borderId="1" xfId="13" applyFont="1" applyBorder="1" applyAlignment="1">
      <alignment horizontal="center"/>
    </xf>
    <xf numFmtId="41" fontId="6" fillId="0" borderId="4" xfId="13" applyNumberFormat="1" applyFont="1" applyBorder="1" applyAlignment="1">
      <alignment horizontal="center"/>
    </xf>
    <xf numFmtId="41" fontId="6" fillId="0" borderId="7" xfId="13" applyNumberFormat="1" applyFont="1" applyBorder="1" applyAlignment="1">
      <alignment horizontal="center"/>
    </xf>
    <xf numFmtId="41" fontId="6" fillId="0" borderId="11" xfId="13" applyNumberFormat="1" applyFont="1" applyBorder="1" applyAlignment="1">
      <alignment horizontal="center"/>
    </xf>
    <xf numFmtId="41" fontId="5" fillId="0" borderId="13" xfId="13" applyNumberFormat="1" applyFont="1" applyFill="1" applyBorder="1"/>
    <xf numFmtId="41" fontId="5" fillId="0" borderId="0" xfId="15" applyNumberFormat="1" applyFont="1"/>
    <xf numFmtId="168" fontId="5" fillId="0" borderId="0" xfId="15" applyNumberFormat="1" applyFont="1" applyFill="1"/>
    <xf numFmtId="10" fontId="5" fillId="0" borderId="0" xfId="15" applyNumberFormat="1" applyFont="1" applyFill="1" applyBorder="1"/>
    <xf numFmtId="2" fontId="22" fillId="0" borderId="22" xfId="0" applyNumberFormat="1" applyFont="1" applyFill="1" applyBorder="1" applyAlignment="1">
      <alignment horizontal="center"/>
    </xf>
    <xf numFmtId="167" fontId="18" fillId="0" borderId="13" xfId="0" applyNumberFormat="1" applyFont="1" applyBorder="1"/>
    <xf numFmtId="0" fontId="11" fillId="0" borderId="0" xfId="0" applyFont="1" applyBorder="1" applyAlignment="1">
      <alignment horizontal="center"/>
    </xf>
    <xf numFmtId="0" fontId="10" fillId="0" borderId="0" xfId="0" applyFont="1" applyAlignment="1">
      <alignment horizontal="center"/>
    </xf>
    <xf numFmtId="41" fontId="5" fillId="0" borderId="0" xfId="14" applyNumberFormat="1" applyFont="1" applyFill="1" applyAlignment="1">
      <alignment horizontal="center"/>
    </xf>
    <xf numFmtId="41" fontId="6" fillId="0" borderId="1" xfId="10" applyNumberFormat="1" applyFont="1" applyFill="1" applyBorder="1" applyAlignment="1">
      <alignment horizontal="center"/>
    </xf>
    <xf numFmtId="41" fontId="53" fillId="0" borderId="0" xfId="13" applyNumberFormat="1" applyFont="1" applyFill="1" applyAlignment="1"/>
    <xf numFmtId="41" fontId="6" fillId="0" borderId="0" xfId="13" applyNumberFormat="1" applyFont="1" applyFill="1" applyBorder="1" applyAlignment="1">
      <alignment horizontal="right"/>
    </xf>
    <xf numFmtId="41" fontId="6" fillId="0" borderId="7" xfId="13" applyNumberFormat="1" applyFont="1" applyFill="1" applyBorder="1" applyAlignment="1">
      <alignment horizontal="center"/>
    </xf>
    <xf numFmtId="41" fontId="6" fillId="0" borderId="11" xfId="13" applyNumberFormat="1" applyFont="1" applyFill="1" applyBorder="1" applyAlignment="1">
      <alignment horizontal="center"/>
    </xf>
    <xf numFmtId="3" fontId="6" fillId="0" borderId="0" xfId="14" applyNumberFormat="1" applyFont="1" applyFill="1" applyAlignment="1">
      <alignment horizontal="center"/>
    </xf>
    <xf numFmtId="0" fontId="10" fillId="0" borderId="0" xfId="0" applyFont="1" applyAlignment="1">
      <alignment horizontal="center"/>
    </xf>
    <xf numFmtId="0" fontId="5" fillId="0" borderId="0" xfId="13" applyFont="1" applyFill="1"/>
    <xf numFmtId="41" fontId="5" fillId="0" borderId="0" xfId="13" applyNumberFormat="1" applyFont="1" applyFill="1" applyAlignment="1">
      <alignment horizontal="center"/>
    </xf>
    <xf numFmtId="41" fontId="6" fillId="0" borderId="4" xfId="13" applyNumberFormat="1" applyFont="1" applyFill="1" applyBorder="1" applyAlignment="1">
      <alignment horizontal="center"/>
    </xf>
    <xf numFmtId="41" fontId="6" fillId="0" borderId="0" xfId="13" applyNumberFormat="1" applyFont="1" applyFill="1" applyBorder="1"/>
    <xf numFmtId="41" fontId="6" fillId="0" borderId="0" xfId="13" quotePrefix="1" applyNumberFormat="1" applyFont="1" applyFill="1" applyBorder="1" applyAlignment="1">
      <alignment horizontal="center"/>
    </xf>
    <xf numFmtId="2" fontId="6" fillId="0" borderId="0" xfId="13" applyNumberFormat="1" applyFont="1" applyFill="1" applyBorder="1" applyAlignment="1">
      <alignment horizontal="center"/>
    </xf>
    <xf numFmtId="5" fontId="6" fillId="0" borderId="0" xfId="13" applyNumberFormat="1" applyFont="1" applyFill="1" applyBorder="1"/>
    <xf numFmtId="41" fontId="6" fillId="0" borderId="0" xfId="15" applyNumberFormat="1" applyFont="1" applyFill="1" applyBorder="1"/>
    <xf numFmtId="0" fontId="22" fillId="0" borderId="0" xfId="0" applyFont="1" applyFill="1" applyAlignment="1">
      <alignment horizontal="center"/>
    </xf>
    <xf numFmtId="41" fontId="6" fillId="0" borderId="0" xfId="13" applyNumberFormat="1" applyFont="1" applyFill="1" applyBorder="1" applyAlignment="1">
      <alignment vertical="center" wrapText="1"/>
    </xf>
    <xf numFmtId="0" fontId="64" fillId="4" borderId="0" xfId="0" applyFont="1" applyFill="1"/>
    <xf numFmtId="3" fontId="48" fillId="4" borderId="0" xfId="0" applyNumberFormat="1" applyFont="1" applyFill="1"/>
    <xf numFmtId="0" fontId="10" fillId="0" borderId="10" xfId="12" applyFont="1" applyBorder="1"/>
    <xf numFmtId="164" fontId="10" fillId="0" borderId="10" xfId="12" applyNumberFormat="1" applyFont="1" applyBorder="1"/>
    <xf numFmtId="5" fontId="10" fillId="0" borderId="10" xfId="12" applyNumberFormat="1" applyFont="1" applyBorder="1" applyAlignment="1">
      <alignment horizontal="right"/>
    </xf>
    <xf numFmtId="3" fontId="24" fillId="0" borderId="10" xfId="12" applyNumberFormat="1" applyFont="1" applyBorder="1"/>
    <xf numFmtId="3" fontId="10" fillId="0" borderId="10" xfId="12" applyNumberFormat="1" applyFont="1" applyBorder="1"/>
    <xf numFmtId="169" fontId="50" fillId="7" borderId="0" xfId="1" applyNumberFormat="1" applyFont="1" applyFill="1"/>
    <xf numFmtId="0" fontId="6" fillId="0" borderId="10" xfId="0" applyFont="1" applyBorder="1" applyAlignment="1">
      <alignment horizontal="center" vertical="center" wrapText="1"/>
    </xf>
    <xf numFmtId="5" fontId="10" fillId="0" borderId="0" xfId="2" applyNumberFormat="1" applyFont="1" applyFill="1"/>
    <xf numFmtId="2" fontId="10" fillId="0" borderId="0" xfId="0" applyNumberFormat="1" applyFont="1" applyFill="1" applyAlignment="1">
      <alignment horizontal="left"/>
    </xf>
    <xf numFmtId="0" fontId="11" fillId="0" borderId="0" xfId="0" applyFont="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0" fillId="0" borderId="0" xfId="0" applyFont="1" applyAlignment="1">
      <alignment horizontal="center"/>
    </xf>
    <xf numFmtId="41" fontId="6" fillId="0" borderId="2" xfId="0" quotePrefix="1" applyNumberFormat="1" applyFont="1" applyBorder="1" applyAlignment="1">
      <alignment horizontal="center"/>
    </xf>
    <xf numFmtId="41" fontId="6" fillId="0" borderId="4" xfId="0" applyNumberFormat="1" applyFont="1" applyFill="1" applyBorder="1" applyAlignment="1">
      <alignment horizontal="center"/>
    </xf>
    <xf numFmtId="41" fontId="6" fillId="0" borderId="3" xfId="0" applyNumberFormat="1" applyFont="1" applyBorder="1" applyAlignment="1">
      <alignment horizontal="centerContinuous"/>
    </xf>
    <xf numFmtId="41" fontId="6" fillId="0" borderId="4" xfId="0" applyNumberFormat="1" applyFont="1" applyBorder="1" applyAlignment="1">
      <alignment horizontal="centerContinuous"/>
    </xf>
    <xf numFmtId="41" fontId="6" fillId="0" borderId="0" xfId="0" applyNumberFormat="1" applyFont="1" applyFill="1"/>
    <xf numFmtId="41" fontId="6" fillId="0" borderId="6" xfId="0" applyNumberFormat="1" applyFont="1" applyBorder="1" applyAlignment="1">
      <alignment horizontal="center"/>
    </xf>
    <xf numFmtId="41" fontId="6" fillId="0" borderId="9" xfId="0" applyNumberFormat="1" applyFont="1" applyBorder="1" applyAlignment="1">
      <alignment horizontal="center"/>
    </xf>
    <xf numFmtId="41" fontId="6" fillId="0" borderId="7" xfId="0" applyNumberFormat="1" applyFont="1" applyFill="1" applyBorder="1" applyAlignment="1">
      <alignment horizontal="center"/>
    </xf>
    <xf numFmtId="41" fontId="6" fillId="0" borderId="11" xfId="0" applyNumberFormat="1" applyFont="1" applyFill="1" applyBorder="1" applyAlignment="1">
      <alignment horizontal="center"/>
    </xf>
    <xf numFmtId="41" fontId="6" fillId="6" borderId="1" xfId="0" applyNumberFormat="1" applyFont="1" applyFill="1" applyBorder="1" applyAlignment="1">
      <alignment horizontal="left"/>
    </xf>
    <xf numFmtId="169" fontId="5" fillId="0" borderId="10" xfId="1" applyNumberFormat="1" applyFont="1" applyBorder="1"/>
    <xf numFmtId="41" fontId="5" fillId="0" borderId="13" xfId="0" applyNumberFormat="1" applyFont="1" applyBorder="1"/>
    <xf numFmtId="41" fontId="6" fillId="6" borderId="1" xfId="0" quotePrefix="1" applyNumberFormat="1" applyFont="1" applyFill="1" applyBorder="1" applyAlignment="1">
      <alignment horizontal="center"/>
    </xf>
    <xf numFmtId="5" fontId="11" fillId="0" borderId="27" xfId="0" applyNumberFormat="1" applyFont="1" applyFill="1" applyBorder="1"/>
    <xf numFmtId="0" fontId="11" fillId="8" borderId="10" xfId="0" applyFont="1" applyFill="1" applyBorder="1" applyAlignment="1">
      <alignment horizontal="center"/>
    </xf>
    <xf numFmtId="0" fontId="11" fillId="8" borderId="0" xfId="0" applyFont="1" applyFill="1" applyAlignment="1">
      <alignment horizontal="center"/>
    </xf>
    <xf numFmtId="0" fontId="65" fillId="6" borderId="19" xfId="0" applyFont="1" applyFill="1" applyBorder="1" applyAlignment="1">
      <alignment horizontal="left"/>
    </xf>
    <xf numFmtId="0" fontId="65" fillId="6" borderId="20" xfId="0" applyFont="1" applyFill="1" applyBorder="1" applyAlignment="1">
      <alignment horizontal="center"/>
    </xf>
    <xf numFmtId="0" fontId="65" fillId="6" borderId="21" xfId="0" applyFont="1" applyFill="1" applyBorder="1" applyAlignment="1">
      <alignment horizontal="center"/>
    </xf>
    <xf numFmtId="37" fontId="39" fillId="6" borderId="22" xfId="13" applyNumberFormat="1" applyFont="1" applyFill="1" applyBorder="1"/>
    <xf numFmtId="37" fontId="39" fillId="6" borderId="0" xfId="13" applyNumberFormat="1" applyFont="1" applyFill="1" applyBorder="1"/>
    <xf numFmtId="0" fontId="65" fillId="6" borderId="0" xfId="0" applyFont="1" applyFill="1" applyBorder="1" applyAlignment="1">
      <alignment horizontal="center"/>
    </xf>
    <xf numFmtId="37" fontId="66" fillId="6" borderId="0" xfId="13" applyNumberFormat="1" applyFont="1" applyFill="1" applyBorder="1"/>
    <xf numFmtId="0" fontId="65" fillId="6" borderId="23" xfId="0" applyFont="1" applyFill="1" applyBorder="1" applyAlignment="1">
      <alignment horizontal="center"/>
    </xf>
    <xf numFmtId="0" fontId="39" fillId="6" borderId="0" xfId="0" applyFont="1" applyFill="1" applyBorder="1"/>
    <xf numFmtId="0" fontId="65" fillId="6" borderId="10" xfId="0" applyFont="1" applyFill="1" applyBorder="1" applyAlignment="1">
      <alignment horizontal="center"/>
    </xf>
    <xf numFmtId="0" fontId="65" fillId="6" borderId="39" xfId="0" applyFont="1" applyFill="1" applyBorder="1" applyAlignment="1">
      <alignment horizontal="center"/>
    </xf>
    <xf numFmtId="37" fontId="39" fillId="6" borderId="23" xfId="13" applyNumberFormat="1" applyFont="1" applyFill="1" applyBorder="1"/>
    <xf numFmtId="5" fontId="39" fillId="6" borderId="0" xfId="0" applyNumberFormat="1" applyFont="1" applyFill="1" applyBorder="1"/>
    <xf numFmtId="165" fontId="39" fillId="6" borderId="0" xfId="15" applyNumberFormat="1" applyFont="1" applyFill="1" applyBorder="1"/>
    <xf numFmtId="10" fontId="39" fillId="6" borderId="0" xfId="15" applyNumberFormat="1" applyFont="1" applyFill="1" applyBorder="1"/>
    <xf numFmtId="10" fontId="39" fillId="6" borderId="23" xfId="15" applyNumberFormat="1" applyFont="1" applyFill="1" applyBorder="1"/>
    <xf numFmtId="169" fontId="39" fillId="6" borderId="0" xfId="1" applyNumberFormat="1" applyFont="1" applyFill="1" applyBorder="1"/>
    <xf numFmtId="168" fontId="39" fillId="6" borderId="0" xfId="15" applyNumberFormat="1" applyFont="1" applyFill="1" applyBorder="1"/>
    <xf numFmtId="168" fontId="66" fillId="6" borderId="0" xfId="15" applyNumberFormat="1" applyFont="1" applyFill="1" applyBorder="1"/>
    <xf numFmtId="10" fontId="39" fillId="6" borderId="16" xfId="15" applyNumberFormat="1" applyFont="1" applyFill="1" applyBorder="1"/>
    <xf numFmtId="10" fontId="39" fillId="6" borderId="40" xfId="15" applyNumberFormat="1" applyFont="1" applyFill="1" applyBorder="1"/>
    <xf numFmtId="37" fontId="39" fillId="6" borderId="24" xfId="13" applyNumberFormat="1" applyFont="1" applyFill="1" applyBorder="1"/>
    <xf numFmtId="0" fontId="39" fillId="6" borderId="25" xfId="0" applyFont="1" applyFill="1" applyBorder="1"/>
    <xf numFmtId="169" fontId="39" fillId="6" borderId="25" xfId="1" applyNumberFormat="1" applyFont="1" applyFill="1" applyBorder="1"/>
    <xf numFmtId="10" fontId="39" fillId="6" borderId="25" xfId="15" applyNumberFormat="1" applyFont="1" applyFill="1" applyBorder="1"/>
    <xf numFmtId="10" fontId="66" fillId="6" borderId="25" xfId="15" applyNumberFormat="1" applyFont="1" applyFill="1" applyBorder="1"/>
    <xf numFmtId="10" fontId="39" fillId="6" borderId="26" xfId="15" applyNumberFormat="1" applyFont="1" applyFill="1" applyBorder="1"/>
    <xf numFmtId="0" fontId="10" fillId="0" borderId="0" xfId="0" applyFont="1" applyAlignment="1">
      <alignment vertical="top" wrapText="1"/>
    </xf>
    <xf numFmtId="41" fontId="6" fillId="0" borderId="1" xfId="0" quotePrefix="1" applyNumberFormat="1" applyFont="1" applyBorder="1" applyAlignment="1">
      <alignment horizontal="center"/>
    </xf>
    <xf numFmtId="0" fontId="56" fillId="0" borderId="0" xfId="13" applyFont="1"/>
    <xf numFmtId="0" fontId="5" fillId="0" borderId="0" xfId="13" applyNumberFormat="1" applyFont="1" applyAlignment="1">
      <alignment horizontal="left"/>
    </xf>
    <xf numFmtId="10" fontId="11" fillId="0" borderId="16" xfId="15" applyNumberFormat="1" applyFont="1" applyFill="1" applyBorder="1"/>
    <xf numFmtId="0" fontId="11" fillId="0" borderId="0" xfId="0" applyFont="1" applyBorder="1" applyAlignment="1">
      <alignment horizontal="center"/>
    </xf>
    <xf numFmtId="0" fontId="10" fillId="10" borderId="0" xfId="0" quotePrefix="1" applyFont="1" applyFill="1" applyBorder="1" applyAlignment="1">
      <alignment horizontal="center"/>
    </xf>
    <xf numFmtId="0" fontId="10" fillId="0" borderId="0" xfId="0" quotePrefix="1" applyFont="1"/>
    <xf numFmtId="3" fontId="63" fillId="0" borderId="0" xfId="14" applyNumberFormat="1" applyFont="1" applyFill="1"/>
    <xf numFmtId="41" fontId="6" fillId="0" borderId="0" xfId="14" applyNumberFormat="1" applyFont="1" applyFill="1" applyAlignment="1">
      <alignment horizontal="center"/>
    </xf>
    <xf numFmtId="10" fontId="6" fillId="0" borderId="0" xfId="15" applyNumberFormat="1" applyFont="1" applyFill="1" applyBorder="1"/>
    <xf numFmtId="41" fontId="6" fillId="10" borderId="6" xfId="13" applyNumberFormat="1" applyFont="1" applyFill="1" applyBorder="1"/>
    <xf numFmtId="41" fontId="6" fillId="10" borderId="9" xfId="13" applyNumberFormat="1" applyFont="1" applyFill="1" applyBorder="1"/>
    <xf numFmtId="41" fontId="6" fillId="10" borderId="2" xfId="13" applyNumberFormat="1" applyFont="1" applyFill="1" applyBorder="1"/>
    <xf numFmtId="3" fontId="6" fillId="0" borderId="0" xfId="14" applyNumberFormat="1" applyFont="1" applyFill="1" applyBorder="1" applyAlignment="1">
      <alignment horizontal="center"/>
    </xf>
    <xf numFmtId="41" fontId="6" fillId="0" borderId="0" xfId="13" applyNumberFormat="1" applyFont="1" applyFill="1" applyBorder="1" applyAlignment="1">
      <alignment wrapText="1"/>
    </xf>
    <xf numFmtId="3" fontId="6" fillId="0" borderId="10" xfId="14" applyNumberFormat="1" applyFont="1" applyFill="1" applyBorder="1" applyAlignment="1">
      <alignment horizontal="center"/>
    </xf>
    <xf numFmtId="41" fontId="6" fillId="0" borderId="0" xfId="14" quotePrefix="1" applyNumberFormat="1" applyFont="1" applyFill="1" applyAlignment="1">
      <alignment horizontal="center"/>
    </xf>
    <xf numFmtId="41" fontId="6" fillId="0" borderId="0" xfId="13" applyNumberFormat="1" applyFont="1" applyFill="1" applyBorder="1" applyAlignment="1">
      <alignment horizontal="center" wrapText="1"/>
    </xf>
    <xf numFmtId="5" fontId="11" fillId="0" borderId="18" xfId="0" applyNumberFormat="1" applyFont="1" applyFill="1" applyBorder="1"/>
    <xf numFmtId="0" fontId="10" fillId="0" borderId="0" xfId="0" applyFont="1" applyAlignment="1">
      <alignment horizontal="center"/>
    </xf>
    <xf numFmtId="4" fontId="10" fillId="0" borderId="10" xfId="0" applyNumberFormat="1" applyFont="1" applyFill="1" applyBorder="1" applyAlignment="1">
      <alignment horizontal="center"/>
    </xf>
    <xf numFmtId="3" fontId="10" fillId="0" borderId="10" xfId="0" applyNumberFormat="1" applyFont="1" applyFill="1" applyBorder="1"/>
    <xf numFmtId="41" fontId="10" fillId="0" borderId="10" xfId="0" applyNumberFormat="1" applyFont="1" applyFill="1" applyBorder="1"/>
    <xf numFmtId="0" fontId="10" fillId="0" borderId="10" xfId="0" applyFont="1" applyFill="1" applyBorder="1" applyAlignment="1">
      <alignment horizontal="left"/>
    </xf>
    <xf numFmtId="0" fontId="11" fillId="0" borderId="0" xfId="0" applyFont="1" applyFill="1" applyBorder="1"/>
    <xf numFmtId="10" fontId="11" fillId="0" borderId="0" xfId="0" applyNumberFormat="1" applyFont="1" applyFill="1" applyBorder="1" applyAlignment="1">
      <alignment horizontal="left"/>
    </xf>
    <xf numFmtId="0" fontId="11" fillId="0" borderId="0" xfId="0" applyFont="1" applyAlignment="1">
      <alignment horizontal="center"/>
    </xf>
    <xf numFmtId="178" fontId="62" fillId="0" borderId="0" xfId="0" applyNumberFormat="1" applyFont="1" applyFill="1" applyAlignment="1">
      <alignment horizontal="center"/>
    </xf>
    <xf numFmtId="41" fontId="67" fillId="0" borderId="0" xfId="13" applyNumberFormat="1" applyFont="1" applyFill="1" applyBorder="1" applyAlignment="1">
      <alignment horizontal="center" wrapText="1"/>
    </xf>
    <xf numFmtId="0" fontId="0" fillId="0" borderId="0" xfId="0" applyAlignment="1">
      <alignment shrinkToFit="1"/>
    </xf>
    <xf numFmtId="41" fontId="6" fillId="0" borderId="2" xfId="10" applyNumberFormat="1" applyFont="1" applyFill="1" applyBorder="1" applyAlignment="1">
      <alignment horizontal="center"/>
    </xf>
    <xf numFmtId="41" fontId="6" fillId="0" borderId="6" xfId="13" applyNumberFormat="1" applyFont="1" applyFill="1" applyBorder="1" applyAlignment="1">
      <alignment horizontal="center"/>
    </xf>
    <xf numFmtId="41" fontId="6" fillId="0" borderId="9" xfId="13" applyNumberFormat="1" applyFont="1" applyFill="1" applyBorder="1" applyAlignment="1">
      <alignment horizontal="center"/>
    </xf>
    <xf numFmtId="3" fontId="6" fillId="0" borderId="0" xfId="14" applyNumberFormat="1" applyFont="1" applyFill="1" applyBorder="1" applyAlignment="1">
      <alignment wrapText="1"/>
    </xf>
    <xf numFmtId="41" fontId="6" fillId="0" borderId="0" xfId="13" applyNumberFormat="1" applyFont="1" applyFill="1" applyBorder="1" applyAlignment="1">
      <alignment horizontal="center"/>
    </xf>
    <xf numFmtId="41" fontId="6" fillId="0" borderId="0" xfId="10" applyNumberFormat="1" applyFont="1" applyFill="1" applyBorder="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69" fillId="0" borderId="0" xfId="13" applyNumberFormat="1" applyFont="1" applyFill="1"/>
    <xf numFmtId="4" fontId="10" fillId="0" borderId="10" xfId="0" applyNumberFormat="1" applyFont="1" applyFill="1" applyBorder="1" applyAlignment="1">
      <alignment horizontal="left"/>
    </xf>
    <xf numFmtId="0" fontId="22" fillId="0" borderId="0" xfId="0" applyFont="1" applyFill="1" applyBorder="1" applyAlignment="1">
      <alignment horizontal="center"/>
    </xf>
    <xf numFmtId="41" fontId="10" fillId="0" borderId="16" xfId="0" applyNumberFormat="1" applyFont="1" applyFill="1" applyBorder="1"/>
    <xf numFmtId="10" fontId="11" fillId="0" borderId="16" xfId="0" applyNumberFormat="1" applyFont="1" applyFill="1" applyBorder="1" applyAlignment="1">
      <alignment horizontal="left"/>
    </xf>
    <xf numFmtId="0" fontId="10" fillId="0" borderId="0" xfId="0" applyFont="1" applyBorder="1" applyAlignment="1">
      <alignment horizontal="right"/>
    </xf>
    <xf numFmtId="41" fontId="6" fillId="0" borderId="5" xfId="10" applyNumberFormat="1" applyFont="1" applyFill="1" applyBorder="1" applyAlignment="1">
      <alignment horizontal="center"/>
    </xf>
    <xf numFmtId="41" fontId="68" fillId="0" borderId="0" xfId="13" applyNumberFormat="1" applyFont="1" applyFill="1" applyAlignment="1"/>
    <xf numFmtId="41" fontId="6" fillId="0" borderId="0" xfId="13" applyNumberFormat="1" applyFont="1" applyFill="1" applyBorder="1" applyAlignment="1"/>
    <xf numFmtId="41" fontId="6" fillId="0" borderId="0" xfId="13" applyNumberFormat="1" applyFont="1" applyFill="1" applyBorder="1" applyAlignment="1">
      <alignment vertical="center"/>
    </xf>
    <xf numFmtId="0" fontId="5" fillId="0" borderId="0" xfId="13" applyNumberFormat="1" applyFont="1" applyAlignment="1">
      <alignment horizontal="left"/>
    </xf>
    <xf numFmtId="0" fontId="10" fillId="0" borderId="0" xfId="0" applyFont="1" applyAlignment="1">
      <alignment horizontal="center"/>
    </xf>
    <xf numFmtId="41" fontId="6" fillId="0" borderId="0" xfId="13" applyNumberFormat="1" applyFont="1" applyFill="1" applyAlignment="1"/>
    <xf numFmtId="41" fontId="6" fillId="10" borderId="5" xfId="10" applyNumberFormat="1" applyFont="1" applyFill="1" applyBorder="1" applyAlignment="1">
      <alignment horizontal="center"/>
    </xf>
    <xf numFmtId="41" fontId="6" fillId="10" borderId="42" xfId="15" applyNumberFormat="1" applyFont="1" applyFill="1" applyBorder="1"/>
    <xf numFmtId="41" fontId="6" fillId="0" borderId="38" xfId="13" applyNumberFormat="1" applyFont="1" applyFill="1" applyBorder="1" applyAlignment="1">
      <alignment horizontal="center" vertical="center" wrapText="1"/>
    </xf>
    <xf numFmtId="41" fontId="6" fillId="0" borderId="8" xfId="13" applyNumberFormat="1" applyFont="1" applyFill="1" applyBorder="1" applyAlignment="1">
      <alignment horizontal="center" vertical="center" wrapText="1"/>
    </xf>
    <xf numFmtId="41" fontId="5" fillId="0" borderId="41" xfId="15" applyNumberFormat="1" applyFont="1" applyFill="1" applyBorder="1"/>
    <xf numFmtId="41" fontId="6" fillId="0" borderId="10" xfId="13" quotePrefix="1" applyNumberFormat="1" applyFont="1" applyFill="1" applyBorder="1" applyAlignment="1">
      <alignment horizontal="center"/>
    </xf>
    <xf numFmtId="3" fontId="6" fillId="0" borderId="0" xfId="14" applyNumberFormat="1" applyFont="1" applyFill="1" applyBorder="1" applyAlignment="1">
      <alignment horizontal="center" vertical="center" wrapText="1"/>
    </xf>
    <xf numFmtId="41" fontId="6" fillId="10" borderId="1" xfId="13" applyNumberFormat="1" applyFont="1" applyFill="1" applyBorder="1" applyAlignment="1">
      <alignment horizontal="center"/>
    </xf>
    <xf numFmtId="41" fontId="6" fillId="0" borderId="0" xfId="13" applyNumberFormat="1" applyFont="1" applyFill="1" applyBorder="1" applyAlignment="1">
      <alignment horizontal="center" vertical="center" wrapText="1"/>
    </xf>
    <xf numFmtId="6" fontId="10" fillId="0" borderId="0" xfId="2" applyNumberFormat="1" applyFont="1" applyFill="1" applyBorder="1"/>
    <xf numFmtId="5" fontId="6" fillId="10" borderId="6" xfId="13" applyNumberFormat="1" applyFont="1" applyFill="1" applyBorder="1"/>
    <xf numFmtId="41" fontId="6" fillId="10" borderId="43" xfId="13" applyNumberFormat="1" applyFont="1" applyFill="1" applyBorder="1"/>
    <xf numFmtId="10" fontId="6" fillId="10" borderId="6" xfId="15" applyNumberFormat="1" applyFont="1" applyFill="1" applyBorder="1"/>
    <xf numFmtId="41" fontId="6" fillId="10" borderId="44" xfId="15" applyNumberFormat="1" applyFont="1" applyFill="1" applyBorder="1"/>
    <xf numFmtId="41" fontId="6" fillId="0" borderId="45" xfId="13" applyNumberFormat="1" applyFont="1" applyFill="1" applyBorder="1" applyAlignment="1">
      <alignment horizontal="center" vertical="center" wrapText="1"/>
    </xf>
    <xf numFmtId="41" fontId="5" fillId="4" borderId="0" xfId="13" applyNumberFormat="1" applyFont="1" applyFill="1" applyBorder="1"/>
    <xf numFmtId="41" fontId="6" fillId="10" borderId="2" xfId="10" applyNumberFormat="1" applyFont="1" applyFill="1" applyBorder="1" applyAlignment="1">
      <alignment horizontal="center"/>
    </xf>
    <xf numFmtId="41" fontId="6" fillId="10" borderId="6" xfId="13" applyNumberFormat="1" applyFont="1" applyFill="1" applyBorder="1" applyAlignment="1">
      <alignment horizontal="center"/>
    </xf>
    <xf numFmtId="41" fontId="6" fillId="10" borderId="9" xfId="13" applyNumberFormat="1" applyFont="1" applyFill="1" applyBorder="1" applyAlignment="1">
      <alignment horizontal="center"/>
    </xf>
    <xf numFmtId="2" fontId="6" fillId="10" borderId="6" xfId="13" applyNumberFormat="1" applyFont="1" applyFill="1" applyBorder="1" applyAlignment="1">
      <alignment horizontal="center"/>
    </xf>
    <xf numFmtId="10" fontId="56" fillId="0" borderId="0" xfId="15" applyNumberFormat="1" applyFont="1" applyFill="1" applyBorder="1" applyAlignment="1">
      <alignment horizontal="center" vertical="top" wrapText="1"/>
    </xf>
    <xf numFmtId="14" fontId="11" fillId="8" borderId="10" xfId="0" quotePrefix="1" applyNumberFormat="1" applyFont="1" applyFill="1" applyBorder="1" applyAlignment="1">
      <alignment horizontal="center"/>
    </xf>
    <xf numFmtId="0" fontId="3" fillId="0" borderId="0" xfId="0" applyFont="1" applyBorder="1"/>
    <xf numFmtId="0" fontId="57" fillId="0" borderId="0" xfId="0" applyFont="1" applyBorder="1"/>
    <xf numFmtId="37" fontId="3" fillId="0" borderId="0" xfId="19" applyFont="1" applyFill="1" applyBorder="1"/>
    <xf numFmtId="37" fontId="3" fillId="0" borderId="0" xfId="0" applyNumberFormat="1" applyFont="1" applyFill="1" applyBorder="1"/>
    <xf numFmtId="165" fontId="3" fillId="0" borderId="0" xfId="15" applyNumberFormat="1" applyFont="1" applyBorder="1"/>
    <xf numFmtId="10" fontId="6" fillId="0" borderId="0" xfId="13" applyNumberFormat="1" applyFont="1" applyFill="1" applyBorder="1"/>
    <xf numFmtId="3" fontId="6" fillId="0" borderId="5" xfId="14" applyNumberFormat="1" applyFont="1" applyBorder="1" applyAlignment="1">
      <alignment horizontal="center"/>
    </xf>
    <xf numFmtId="41" fontId="67" fillId="0" borderId="5" xfId="13" applyNumberFormat="1" applyFont="1" applyFill="1" applyBorder="1" applyAlignment="1">
      <alignment horizontal="center" wrapText="1"/>
    </xf>
    <xf numFmtId="0" fontId="5" fillId="0" borderId="0" xfId="13" applyNumberFormat="1" applyFont="1" applyFill="1" applyBorder="1" applyAlignment="1">
      <alignment horizontal="center"/>
    </xf>
    <xf numFmtId="0" fontId="5" fillId="0" borderId="0" xfId="13" applyFont="1" applyFill="1" applyBorder="1"/>
    <xf numFmtId="10" fontId="6" fillId="0" borderId="0" xfId="13" applyNumberFormat="1" applyFont="1" applyFill="1"/>
    <xf numFmtId="41" fontId="56" fillId="0" borderId="0" xfId="13" applyNumberFormat="1" applyFont="1" applyFill="1" applyAlignment="1">
      <alignment wrapText="1"/>
    </xf>
    <xf numFmtId="3" fontId="6" fillId="10" borderId="0" xfId="14" applyNumberFormat="1" applyFont="1" applyFill="1" applyAlignment="1">
      <alignment horizontal="center"/>
    </xf>
    <xf numFmtId="169" fontId="10" fillId="4" borderId="0" xfId="1" applyNumberFormat="1" applyFont="1" applyFill="1" applyBorder="1"/>
    <xf numFmtId="3" fontId="11" fillId="0" borderId="0" xfId="6" applyNumberFormat="1" applyFont="1" applyFill="1"/>
    <xf numFmtId="3" fontId="10" fillId="0" borderId="0" xfId="6" applyNumberFormat="1" applyFont="1" applyFill="1"/>
    <xf numFmtId="3" fontId="5" fillId="0" borderId="0" xfId="6" applyNumberFormat="1" applyFont="1" applyFill="1"/>
    <xf numFmtId="10" fontId="39" fillId="0" borderId="0" xfId="15" applyNumberFormat="1" applyFont="1" applyFill="1" applyBorder="1"/>
    <xf numFmtId="0" fontId="11" fillId="0" borderId="0" xfId="0" applyFont="1" applyAlignment="1">
      <alignment horizontal="center"/>
    </xf>
    <xf numFmtId="3" fontId="63" fillId="0" borderId="5" xfId="14" applyNumberFormat="1" applyFont="1" applyBorder="1" applyAlignment="1">
      <alignment horizontal="center" vertical="center"/>
    </xf>
    <xf numFmtId="41" fontId="6" fillId="10" borderId="0" xfId="13" applyNumberFormat="1" applyFont="1" applyFill="1" applyBorder="1" applyAlignment="1">
      <alignment horizontal="center"/>
    </xf>
    <xf numFmtId="0" fontId="10" fillId="0" borderId="0" xfId="0" applyFont="1" applyFill="1" applyAlignment="1">
      <alignment horizontal="right"/>
    </xf>
    <xf numFmtId="0" fontId="11" fillId="4" borderId="0" xfId="0" applyFont="1" applyFill="1"/>
    <xf numFmtId="169" fontId="10" fillId="0" borderId="10" xfId="1" applyNumberFormat="1" applyFont="1" applyFill="1" applyBorder="1"/>
    <xf numFmtId="41" fontId="10" fillId="0" borderId="12" xfId="2" applyNumberFormat="1" applyFont="1" applyBorder="1"/>
    <xf numFmtId="10" fontId="11" fillId="0" borderId="12" xfId="0" applyNumberFormat="1" applyFont="1" applyBorder="1" applyAlignment="1">
      <alignment horizontal="left"/>
    </xf>
    <xf numFmtId="0" fontId="11" fillId="0" borderId="0" xfId="6" applyFont="1"/>
    <xf numFmtId="0" fontId="10" fillId="0" borderId="0" xfId="6" applyFont="1"/>
    <xf numFmtId="0" fontId="18" fillId="0" borderId="0" xfId="6" applyFont="1" applyFill="1" applyBorder="1"/>
    <xf numFmtId="0" fontId="18" fillId="0" borderId="0" xfId="6" applyFont="1" applyBorder="1"/>
    <xf numFmtId="0" fontId="11" fillId="0" borderId="0" xfId="6" applyFont="1" applyBorder="1"/>
    <xf numFmtId="0" fontId="10" fillId="0" borderId="0" xfId="6" applyFont="1" applyFill="1" applyBorder="1"/>
    <xf numFmtId="0" fontId="10" fillId="0" borderId="0" xfId="6" applyFont="1" applyBorder="1"/>
    <xf numFmtId="0" fontId="10" fillId="0" borderId="0" xfId="6" applyFont="1" applyAlignment="1">
      <alignment horizontal="center"/>
    </xf>
    <xf numFmtId="0" fontId="18" fillId="0" borderId="0" xfId="6" applyFont="1"/>
    <xf numFmtId="0" fontId="18" fillId="0" borderId="6" xfId="6" applyFont="1" applyBorder="1"/>
    <xf numFmtId="0" fontId="70" fillId="0" borderId="0" xfId="6" applyFont="1" applyBorder="1"/>
    <xf numFmtId="0" fontId="10" fillId="0" borderId="10" xfId="6" applyFont="1" applyBorder="1"/>
    <xf numFmtId="0" fontId="25" fillId="0" borderId="10" xfId="6" applyFont="1" applyBorder="1"/>
    <xf numFmtId="0" fontId="11" fillId="0" borderId="10" xfId="6" applyFont="1" applyBorder="1"/>
    <xf numFmtId="0" fontId="12" fillId="0" borderId="10" xfId="6" applyFont="1" applyBorder="1" applyAlignment="1">
      <alignment horizontal="center"/>
    </xf>
    <xf numFmtId="0" fontId="70" fillId="0" borderId="10" xfId="6" applyFont="1" applyBorder="1"/>
    <xf numFmtId="0" fontId="10" fillId="0" borderId="0" xfId="6" applyFont="1" applyFill="1" applyBorder="1" applyAlignment="1">
      <alignment horizontal="center"/>
    </xf>
    <xf numFmtId="0" fontId="18" fillId="0" borderId="10" xfId="6" applyFont="1" applyBorder="1"/>
    <xf numFmtId="0" fontId="10" fillId="0" borderId="0" xfId="6" applyFont="1" applyBorder="1" applyAlignment="1">
      <alignment horizontal="center"/>
    </xf>
    <xf numFmtId="0" fontId="11" fillId="0" borderId="0" xfId="6" applyFont="1" applyAlignment="1">
      <alignment horizontal="center"/>
    </xf>
    <xf numFmtId="168" fontId="10" fillId="0" borderId="0" xfId="6" applyNumberFormat="1" applyFont="1"/>
    <xf numFmtId="0" fontId="11" fillId="0" borderId="10" xfId="6" applyFont="1" applyBorder="1" applyAlignment="1">
      <alignment horizontal="center"/>
    </xf>
    <xf numFmtId="0" fontId="10" fillId="0" borderId="10" xfId="6" applyFont="1" applyBorder="1" applyAlignment="1">
      <alignment horizontal="center"/>
    </xf>
    <xf numFmtId="9" fontId="10" fillId="0" borderId="0" xfId="6" applyNumberFormat="1" applyFont="1"/>
    <xf numFmtId="2" fontId="11" fillId="0" borderId="0" xfId="6" quotePrefix="1" applyNumberFormat="1" applyFont="1"/>
    <xf numFmtId="41" fontId="11" fillId="0" borderId="0" xfId="6" applyNumberFormat="1" applyFont="1"/>
    <xf numFmtId="2" fontId="10" fillId="0" borderId="0" xfId="6" applyNumberFormat="1" applyFont="1"/>
    <xf numFmtId="41" fontId="10" fillId="0" borderId="0" xfId="6" applyNumberFormat="1" applyFont="1"/>
    <xf numFmtId="0" fontId="70" fillId="0" borderId="0" xfId="6" applyFont="1"/>
    <xf numFmtId="41" fontId="10" fillId="0" borderId="0" xfId="6" applyNumberFormat="1" applyFont="1" applyBorder="1"/>
    <xf numFmtId="41" fontId="18" fillId="0" borderId="0" xfId="6" applyNumberFormat="1" applyFont="1"/>
    <xf numFmtId="10" fontId="10" fillId="0" borderId="0" xfId="6" applyNumberFormat="1" applyFont="1"/>
    <xf numFmtId="180" fontId="10" fillId="0" borderId="0" xfId="6" applyNumberFormat="1" applyFont="1"/>
    <xf numFmtId="0" fontId="10" fillId="0" borderId="0" xfId="6" applyFont="1" applyAlignment="1">
      <alignment horizontal="right"/>
    </xf>
    <xf numFmtId="181" fontId="10" fillId="0" borderId="0" xfId="6" applyNumberFormat="1" applyFont="1"/>
    <xf numFmtId="41" fontId="10" fillId="0" borderId="10" xfId="6" applyNumberFormat="1" applyFont="1" applyBorder="1"/>
    <xf numFmtId="41" fontId="11" fillId="0" borderId="13" xfId="6" applyNumberFormat="1" applyFont="1" applyBorder="1"/>
    <xf numFmtId="5" fontId="11" fillId="0" borderId="0" xfId="6" applyNumberFormat="1" applyFont="1"/>
    <xf numFmtId="41" fontId="10" fillId="0" borderId="0" xfId="6" applyNumberFormat="1" applyFont="1" applyFill="1"/>
    <xf numFmtId="41" fontId="10" fillId="0" borderId="10" xfId="6" applyNumberFormat="1" applyFont="1" applyFill="1" applyBorder="1"/>
    <xf numFmtId="3" fontId="6" fillId="7" borderId="10" xfId="14" applyNumberFormat="1" applyFont="1" applyFill="1" applyBorder="1" applyAlignment="1">
      <alignment horizontal="center"/>
    </xf>
    <xf numFmtId="41" fontId="5" fillId="7" borderId="0" xfId="13" applyNumberFormat="1" applyFont="1" applyFill="1"/>
    <xf numFmtId="3" fontId="10" fillId="0" borderId="0" xfId="6" applyNumberFormat="1" applyFont="1"/>
    <xf numFmtId="0" fontId="11" fillId="0" borderId="0" xfId="0" applyFont="1" applyAlignment="1">
      <alignment horizontal="center"/>
    </xf>
    <xf numFmtId="0" fontId="10" fillId="0" borderId="0" xfId="0" applyFont="1" applyFill="1" applyBorder="1" applyAlignment="1">
      <alignment horizontal="left" wrapText="1"/>
    </xf>
    <xf numFmtId="0" fontId="65" fillId="6" borderId="33" xfId="0" applyFont="1" applyFill="1" applyBorder="1" applyAlignment="1">
      <alignment horizontal="center"/>
    </xf>
    <xf numFmtId="0" fontId="65" fillId="6" borderId="34" xfId="0" applyFont="1" applyFill="1" applyBorder="1" applyAlignment="1">
      <alignment horizontal="center"/>
    </xf>
    <xf numFmtId="0" fontId="65" fillId="6" borderId="36" xfId="0" applyFont="1" applyFill="1" applyBorder="1" applyAlignment="1">
      <alignment horizontal="center"/>
    </xf>
    <xf numFmtId="0" fontId="65" fillId="6" borderId="22" xfId="0" applyFont="1" applyFill="1" applyBorder="1" applyAlignment="1">
      <alignment horizontal="center"/>
    </xf>
    <xf numFmtId="0" fontId="65" fillId="6" borderId="0" xfId="0" applyFont="1" applyFill="1" applyBorder="1" applyAlignment="1">
      <alignment horizontal="center"/>
    </xf>
    <xf numFmtId="0" fontId="65" fillId="6" borderId="23" xfId="0" applyFont="1" applyFill="1" applyBorder="1" applyAlignment="1">
      <alignment horizontal="center"/>
    </xf>
    <xf numFmtId="0" fontId="65" fillId="0" borderId="22" xfId="0" applyFont="1" applyFill="1" applyBorder="1" applyAlignment="1">
      <alignment horizontal="center"/>
    </xf>
    <xf numFmtId="0" fontId="65" fillId="0" borderId="0" xfId="0" applyFont="1" applyFill="1" applyBorder="1" applyAlignment="1">
      <alignment horizontal="center"/>
    </xf>
    <xf numFmtId="0" fontId="65" fillId="0" borderId="23" xfId="0" applyFont="1" applyFill="1" applyBorder="1" applyAlignment="1">
      <alignment horizontal="center"/>
    </xf>
    <xf numFmtId="3" fontId="11" fillId="0" borderId="0" xfId="0" applyNumberFormat="1" applyFont="1" applyFill="1" applyAlignment="1">
      <alignment horizontal="center"/>
    </xf>
    <xf numFmtId="0" fontId="25" fillId="0" borderId="0" xfId="0" applyFont="1" applyAlignment="1">
      <alignment horizontal="center" wrapText="1"/>
    </xf>
    <xf numFmtId="0" fontId="11" fillId="0" borderId="0" xfId="0" applyFont="1" applyBorder="1" applyAlignment="1">
      <alignment horizontal="center"/>
    </xf>
    <xf numFmtId="167" fontId="11" fillId="0" borderId="0" xfId="0" applyNumberFormat="1" applyFont="1" applyAlignment="1">
      <alignment horizontal="center"/>
    </xf>
    <xf numFmtId="0" fontId="18" fillId="0" borderId="0" xfId="0" applyFont="1" applyAlignment="1">
      <alignment horizontal="left" vertical="top" wrapText="1"/>
    </xf>
    <xf numFmtId="3" fontId="6" fillId="10" borderId="0" xfId="14" applyNumberFormat="1" applyFont="1" applyFill="1" applyBorder="1" applyAlignment="1">
      <alignment horizontal="center" vertical="center" wrapText="1"/>
    </xf>
    <xf numFmtId="3" fontId="6" fillId="10" borderId="10" xfId="14" applyNumberFormat="1" applyFont="1" applyFill="1" applyBorder="1" applyAlignment="1">
      <alignment horizontal="center" vertical="center" wrapText="1"/>
    </xf>
    <xf numFmtId="0" fontId="10" fillId="0" borderId="0" xfId="0" applyFont="1" applyAlignment="1">
      <alignment horizontal="center"/>
    </xf>
    <xf numFmtId="0" fontId="12" fillId="0" borderId="0" xfId="0" applyFont="1" applyAlignment="1">
      <alignment horizontal="center"/>
    </xf>
    <xf numFmtId="41" fontId="6" fillId="0" borderId="0" xfId="13" applyNumberFormat="1" applyFont="1" applyBorder="1" applyAlignment="1">
      <alignment horizontal="center" vertical="center" wrapText="1"/>
    </xf>
    <xf numFmtId="0" fontId="10" fillId="0" borderId="27" xfId="12" applyFont="1" applyBorder="1" applyAlignment="1">
      <alignment horizontal="center"/>
    </xf>
    <xf numFmtId="0" fontId="10" fillId="0" borderId="28" xfId="12" applyFont="1" applyBorder="1" applyAlignment="1">
      <alignment horizontal="center"/>
    </xf>
    <xf numFmtId="0" fontId="10" fillId="0" borderId="29" xfId="12" applyFont="1" applyBorder="1" applyAlignment="1">
      <alignment horizontal="center"/>
    </xf>
    <xf numFmtId="4" fontId="19" fillId="0" borderId="0" xfId="12" applyNumberFormat="1" applyFont="1" applyBorder="1" applyAlignment="1">
      <alignment horizontal="center"/>
    </xf>
    <xf numFmtId="4" fontId="11" fillId="0" borderId="0" xfId="12" applyNumberFormat="1" applyFont="1" applyBorder="1" applyAlignment="1">
      <alignment horizontal="center"/>
    </xf>
    <xf numFmtId="4" fontId="38" fillId="0" borderId="0" xfId="12" applyNumberFormat="1" applyFont="1" applyBorder="1" applyAlignment="1">
      <alignment horizontal="center"/>
    </xf>
    <xf numFmtId="4" fontId="10" fillId="0" borderId="0" xfId="12" applyNumberFormat="1" applyFont="1" applyBorder="1" applyAlignment="1">
      <alignment horizontal="center"/>
    </xf>
    <xf numFmtId="0" fontId="31" fillId="0" borderId="0" xfId="0" applyFont="1" applyAlignment="1">
      <alignment horizontal="center"/>
    </xf>
    <xf numFmtId="0" fontId="10" fillId="0" borderId="10" xfId="0" applyFont="1" applyBorder="1" applyAlignment="1">
      <alignment horizontal="center"/>
    </xf>
    <xf numFmtId="0" fontId="10" fillId="7" borderId="0" xfId="0" applyFont="1" applyFill="1" applyAlignment="1">
      <alignment horizontal="center"/>
    </xf>
    <xf numFmtId="0" fontId="10" fillId="0" borderId="0" xfId="0" applyFont="1" applyFill="1" applyAlignment="1">
      <alignment horizontal="center"/>
    </xf>
    <xf numFmtId="41" fontId="55" fillId="10" borderId="14" xfId="0" quotePrefix="1" applyNumberFormat="1" applyFont="1" applyFill="1" applyBorder="1" applyAlignment="1">
      <alignment horizontal="center"/>
    </xf>
    <xf numFmtId="41" fontId="55" fillId="10" borderId="12" xfId="0" quotePrefix="1" applyNumberFormat="1" applyFont="1" applyFill="1" applyBorder="1" applyAlignment="1">
      <alignment horizontal="center"/>
    </xf>
    <xf numFmtId="41" fontId="55" fillId="10" borderId="15" xfId="0" quotePrefix="1" applyNumberFormat="1" applyFont="1" applyFill="1" applyBorder="1" applyAlignment="1">
      <alignment horizontal="center"/>
    </xf>
    <xf numFmtId="0" fontId="56" fillId="0" borderId="0" xfId="13" applyNumberFormat="1" applyFont="1" applyAlignment="1">
      <alignment horizontal="left" vertical="top" wrapText="1"/>
    </xf>
    <xf numFmtId="37" fontId="11" fillId="0" borderId="0" xfId="0" applyNumberFormat="1" applyFont="1" applyBorder="1" applyAlignment="1">
      <alignment horizontal="center"/>
    </xf>
    <xf numFmtId="0" fontId="5" fillId="0" borderId="0" xfId="13" applyNumberFormat="1" applyFont="1" applyAlignment="1">
      <alignment horizontal="left"/>
    </xf>
  </cellXfs>
  <cellStyles count="25">
    <cellStyle name="Comma" xfId="1" builtinId="3"/>
    <cellStyle name="Comma 2" xfId="20"/>
    <cellStyle name="Comma 3" xfId="22"/>
    <cellStyle name="Currency" xfId="2" builtinId="4"/>
    <cellStyle name="Currency 2" xfId="3"/>
    <cellStyle name="Followed Hyperlink" xfId="4" builtinId="9" customBuiltin="1"/>
    <cellStyle name="Hyperlink" xfId="5" builtinId="8" customBuiltin="1"/>
    <cellStyle name="Manual-Input" xfId="18"/>
    <cellStyle name="Normal" xfId="0" builtinId="0"/>
    <cellStyle name="Normal 2" xfId="17"/>
    <cellStyle name="Normal 2 10 3 8 2" xfId="24"/>
    <cellStyle name="Normal 2 2" xfId="6"/>
    <cellStyle name="Normal 2 3" xfId="7"/>
    <cellStyle name="Normal 3" xfId="21"/>
    <cellStyle name="Normal 6" xfId="8"/>
    <cellStyle name="Normal_Avista WA ELEC TY2006 Staff Rebuttal 05 capstruc" xfId="19"/>
    <cellStyle name="Normal_DFIT-WaEle_SUM" xfId="9"/>
    <cellStyle name="Normal_IDGas6_97" xfId="10"/>
    <cellStyle name="Normal_PSSum-Elec" xfId="11"/>
    <cellStyle name="Normal_RestateDebtInt1200case" xfId="12"/>
    <cellStyle name="Normal_WAElec6_97" xfId="13"/>
    <cellStyle name="Normal_WAGas6_97" xfId="14"/>
    <cellStyle name="Percent" xfId="15" builtinId="5"/>
    <cellStyle name="Percent 2" xfId="16"/>
    <cellStyle name="Percent 3"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rk/30_ava/3046-8%20-%20UE-160228%202016%20GRC/disc/BR1/Attachment%20Bench%20Request%201/Exhibit%20No.%20BGM-13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rk/30_ava/3046-8%20-%20UE-160228%202016%20GRC/reb/Staff/Staff%20Exhibits%208-17-16%20-%20CONF/Huang%20Exh%20JH-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rk/30_ava/3046-9%20-%202018%20GRC/dir/_wps/_wps/3.03%20(WA%202017)%20FLB%20Forecast%20Labor%20Non-Executive%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rk/30_ava/3046-9%20-%202018%20GRC/dir/_wps/_wps/1a)%20PF%20CAP%20SUMMARY-WA%20EOP%202017%20AMA%20Sta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01m107\c01m107\2017\2017_%20WA%20Elec%20and%20Gas%20GRC\Adjustments\Rate%20Period%20Analysis%20-%2012.2016%20WA%20Electric%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13R"/>
      <sheetName val="Exh. No. BGM-13R -2"/>
      <sheetName val="Exh. No. BGM-13R -3"/>
      <sheetName val="Exh. No. BGM-13R -4"/>
      <sheetName val="Exh. No. BGM-13R -5"/>
      <sheetName val="DEBT CALC"/>
      <sheetName val="LEAD SHEETS-DO NOT ENTER"/>
      <sheetName val="ADJ SUMMARY"/>
      <sheetName val="ROO INPUT"/>
      <sheetName val="COMPARISON"/>
    </sheetNames>
    <sheetDataSet>
      <sheetData sheetId="0">
        <row r="25">
          <cell r="W25">
            <v>330.47300000000001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
      <sheetName val="ROO "/>
      <sheetName val="2018"/>
      <sheetName val="RR SUMMARY"/>
      <sheetName val="CF "/>
      <sheetName val="ADJ DETAIL-INPUT"/>
      <sheetName val="Recap Summary"/>
      <sheetName val="DEBT CALC"/>
      <sheetName val="LEAD SHEETS-DO NOT ENTER"/>
      <sheetName val="ADJ SUMMARY"/>
      <sheetName val="ROO INPUT"/>
    </sheetNames>
    <sheetDataSet>
      <sheetData sheetId="0"/>
      <sheetData sheetId="1"/>
      <sheetData sheetId="2"/>
      <sheetData sheetId="3"/>
      <sheetData sheetId="4"/>
      <sheetData sheetId="5">
        <row r="2">
          <cell r="A2" t="str">
            <v xml:space="preserve">AVISTA UTILITIES  </v>
          </cell>
        </row>
        <row r="10">
          <cell r="B10" t="str">
            <v xml:space="preserve">Adjustment Number </v>
          </cell>
          <cell r="E10">
            <v>1</v>
          </cell>
          <cell r="F10">
            <v>1.01</v>
          </cell>
          <cell r="G10">
            <v>1.02</v>
          </cell>
          <cell r="H10">
            <v>1.03</v>
          </cell>
          <cell r="I10">
            <v>1.04</v>
          </cell>
          <cell r="J10">
            <v>2.0099999999999998</v>
          </cell>
          <cell r="K10">
            <v>2.0199999999999996</v>
          </cell>
          <cell r="L10">
            <v>2.0299999999999994</v>
          </cell>
          <cell r="M10">
            <v>2.0399999999999991</v>
          </cell>
          <cell r="N10">
            <v>2.0499999999999989</v>
          </cell>
          <cell r="O10">
            <v>2.0599999999999987</v>
          </cell>
          <cell r="P10">
            <v>2.0699999999999985</v>
          </cell>
          <cell r="Q10">
            <v>2.0799999999999983</v>
          </cell>
          <cell r="R10">
            <v>2.0899999999999981</v>
          </cell>
          <cell r="S10">
            <v>2.0999999999999979</v>
          </cell>
          <cell r="T10">
            <v>2.1099999999999977</v>
          </cell>
          <cell r="U10">
            <v>2.1199999999999974</v>
          </cell>
          <cell r="V10">
            <v>2.1299999999999972</v>
          </cell>
          <cell r="W10">
            <v>2.139999999999997</v>
          </cell>
          <cell r="X10">
            <v>2.1499999999999968</v>
          </cell>
          <cell r="Y10">
            <v>2.1599999999999966</v>
          </cell>
          <cell r="Z10">
            <v>2.1599999999999966</v>
          </cell>
          <cell r="AA10">
            <v>2.1699999999999964</v>
          </cell>
          <cell r="AB10" t="str">
            <v>R-Ttl</v>
          </cell>
          <cell r="AC10">
            <v>3</v>
          </cell>
          <cell r="AD10">
            <v>3.01</v>
          </cell>
          <cell r="AE10">
            <v>3.0199999999999996</v>
          </cell>
          <cell r="AF10">
            <v>3.0299999999999994</v>
          </cell>
          <cell r="AG10">
            <v>3.0399999999999991</v>
          </cell>
          <cell r="AH10">
            <v>3.0499999999999989</v>
          </cell>
          <cell r="AI10">
            <v>3.0599999999999987</v>
          </cell>
          <cell r="AJ10">
            <v>3.0699999999999985</v>
          </cell>
          <cell r="AK10">
            <v>3.0799999999999983</v>
          </cell>
          <cell r="AL10">
            <v>3.0899999999999981</v>
          </cell>
          <cell r="AM10">
            <v>3.0999999999999979</v>
          </cell>
          <cell r="AN10">
            <v>3.1099999999999977</v>
          </cell>
          <cell r="AO10">
            <v>3.1199999999999974</v>
          </cell>
          <cell r="AP10"/>
          <cell r="AQ10" t="str">
            <v>PF-Ttl</v>
          </cell>
          <cell r="AR10">
            <v>4</v>
          </cell>
          <cell r="AS10">
            <v>4.01</v>
          </cell>
          <cell r="AT10">
            <v>4.0199999999999996</v>
          </cell>
          <cell r="AU10">
            <v>4.0299999999999994</v>
          </cell>
          <cell r="AV10">
            <v>4.0399999999999991</v>
          </cell>
          <cell r="AW10">
            <v>4.0499999999999989</v>
          </cell>
          <cell r="AX10">
            <v>4.0599999999999987</v>
          </cell>
          <cell r="AY10" t="str">
            <v>17CC-Ttl</v>
          </cell>
          <cell r="AZ10">
            <v>4.0699999999999985</v>
          </cell>
          <cell r="BA10">
            <v>4.08</v>
          </cell>
          <cell r="BB10" t="str">
            <v>17AA/CC-Ttl</v>
          </cell>
          <cell r="BC10"/>
          <cell r="BD10"/>
          <cell r="BE10"/>
          <cell r="BF10"/>
          <cell r="BG10"/>
          <cell r="BH10"/>
          <cell r="BI10"/>
          <cell r="BJ10"/>
          <cell r="BK10"/>
          <cell r="BL10"/>
          <cell r="BM10"/>
          <cell r="BN10"/>
          <cell r="BO10"/>
          <cell r="BP10"/>
          <cell r="BQ10"/>
          <cell r="BR10"/>
          <cell r="BS10"/>
          <cell r="BT10"/>
        </row>
        <row r="80">
          <cell r="A80">
            <v>49</v>
          </cell>
          <cell r="B80" t="str">
            <v xml:space="preserve">TOTAL RATE BASE  </v>
          </cell>
          <cell r="E80">
            <v>1309195</v>
          </cell>
          <cell r="F80">
            <v>-6556</v>
          </cell>
          <cell r="G80">
            <v>-6302</v>
          </cell>
          <cell r="H80">
            <v>4352</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1300689</v>
          </cell>
          <cell r="AC80">
            <v>0</v>
          </cell>
          <cell r="AD80">
            <v>0</v>
          </cell>
          <cell r="AE80">
            <v>0</v>
          </cell>
          <cell r="AF80">
            <v>0</v>
          </cell>
          <cell r="AG80">
            <v>0</v>
          </cell>
          <cell r="AH80">
            <v>0</v>
          </cell>
          <cell r="AI80">
            <v>0</v>
          </cell>
          <cell r="AJ80">
            <v>0</v>
          </cell>
          <cell r="AK80">
            <v>0</v>
          </cell>
          <cell r="AL80">
            <v>21609</v>
          </cell>
          <cell r="AM80">
            <v>60831</v>
          </cell>
          <cell r="AN80">
            <v>0</v>
          </cell>
          <cell r="AO80">
            <v>0</v>
          </cell>
          <cell r="AP80">
            <v>0</v>
          </cell>
          <cell r="AQ80">
            <v>1383129</v>
          </cell>
          <cell r="AR80">
            <v>0</v>
          </cell>
          <cell r="AS80">
            <v>0</v>
          </cell>
          <cell r="AT80">
            <v>0</v>
          </cell>
          <cell r="AU80">
            <v>0</v>
          </cell>
          <cell r="AV80">
            <v>0</v>
          </cell>
          <cell r="AW80">
            <v>0</v>
          </cell>
          <cell r="AX80">
            <v>0</v>
          </cell>
          <cell r="AY80">
            <v>1383129</v>
          </cell>
          <cell r="AZ80">
            <v>0</v>
          </cell>
          <cell r="BA80">
            <v>70184.498224010153</v>
          </cell>
          <cell r="BB80">
            <v>1453313.4982240102</v>
          </cell>
          <cell r="BC80"/>
          <cell r="BD80"/>
          <cell r="BE80"/>
          <cell r="BF80"/>
          <cell r="BG80"/>
          <cell r="BH80"/>
          <cell r="BI80"/>
          <cell r="BJ80"/>
          <cell r="BK80"/>
          <cell r="BL80"/>
          <cell r="BM80"/>
          <cell r="BN80"/>
          <cell r="BO80"/>
          <cell r="BP80"/>
          <cell r="BQ80"/>
          <cell r="BR80"/>
          <cell r="BS80"/>
          <cell r="BT80"/>
        </row>
      </sheetData>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shington Electric PF"/>
      <sheetName val="AN Electric"/>
      <sheetName val="Idaho Electric"/>
      <sheetName val="Total Electric Download"/>
      <sheetName val="Washington Gas PF"/>
      <sheetName val="AN Gas"/>
      <sheetName val="Idaho Gas"/>
      <sheetName val="Gas North Download"/>
      <sheetName val="Pro-Forma Increases"/>
    </sheetNames>
    <sheetDataSet>
      <sheetData sheetId="0">
        <row r="53">
          <cell r="I53">
            <v>72214</v>
          </cell>
          <cell r="J53">
            <v>343608</v>
          </cell>
        </row>
        <row r="69">
          <cell r="I69">
            <v>19227</v>
          </cell>
          <cell r="J69">
            <v>103291</v>
          </cell>
        </row>
        <row r="91">
          <cell r="I91">
            <v>58614</v>
          </cell>
          <cell r="J91">
            <v>268855</v>
          </cell>
        </row>
        <row r="98">
          <cell r="I98">
            <v>23725</v>
          </cell>
          <cell r="J98">
            <v>147163</v>
          </cell>
        </row>
        <row r="104">
          <cell r="I104">
            <v>1946</v>
          </cell>
          <cell r="J104">
            <v>12071</v>
          </cell>
        </row>
        <row r="123">
          <cell r="I123">
            <v>67117</v>
          </cell>
          <cell r="J123">
            <v>416313</v>
          </cell>
        </row>
        <row r="125">
          <cell r="K125">
            <v>1068458</v>
          </cell>
        </row>
      </sheetData>
      <sheetData sheetId="1"/>
      <sheetData sheetId="2"/>
      <sheetData sheetId="3"/>
      <sheetData sheetId="4">
        <row r="15">
          <cell r="I15">
            <v>2249</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P SUMMARY"/>
      <sheetName val="G-CAP SUMMARY"/>
      <sheetName val="E-CAP17, G-CAP17 PF"/>
    </sheetNames>
    <sheetDataSet>
      <sheetData sheetId="0">
        <row r="18">
          <cell r="Q18">
            <v>3092</v>
          </cell>
        </row>
        <row r="46">
          <cell r="D46">
            <v>-1229</v>
          </cell>
        </row>
        <row r="48">
          <cell r="Q48">
            <v>-29345.741934172736</v>
          </cell>
        </row>
      </sheetData>
      <sheetData sheetId="1">
        <row r="17">
          <cell r="P17">
            <v>-1217</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
      <sheetName val="PROPOSED RATES-2018"/>
      <sheetName val="RR SUMMARY"/>
      <sheetName val="CF "/>
      <sheetName val="Acerno_Cache_XXXXX"/>
      <sheetName val="ADJ DETAIL-INPUT"/>
      <sheetName val="ADJ SUMMARY"/>
      <sheetName val="LEAD SHEETS-DO NOT ENTER"/>
      <sheetName val="ROO INPUT"/>
      <sheetName val="DEBT CALC"/>
      <sheetName val="COMPARISON"/>
      <sheetName val="RETAIL REVENUE CREDIT-not used"/>
      <sheetName val="PROPOSED RATES-2019-not used"/>
    </sheetNames>
    <sheetDataSet>
      <sheetData sheetId="0"/>
      <sheetData sheetId="1"/>
      <sheetData sheetId="2">
        <row r="13">
          <cell r="Q13">
            <v>2.8899999999999999E-2</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56"/>
  <sheetViews>
    <sheetView tabSelected="1" zoomScaleNormal="100" zoomScaleSheetLayoutView="115" workbookViewId="0"/>
  </sheetViews>
  <sheetFormatPr defaultRowHeight="12.75"/>
  <cols>
    <col min="1" max="1" width="1.42578125" style="802" customWidth="1"/>
    <col min="2" max="2" width="5.7109375" style="802" customWidth="1"/>
    <col min="3" max="3" width="1.42578125" style="802" customWidth="1"/>
    <col min="4" max="4" width="5.7109375" style="802" customWidth="1"/>
    <col min="5" max="5" width="1.42578125" style="802" customWidth="1"/>
    <col min="6" max="6" width="41.42578125" style="802" customWidth="1"/>
    <col min="7" max="7" width="1.42578125" style="809" customWidth="1"/>
    <col min="8" max="8" width="1.42578125" style="804" customWidth="1"/>
    <col min="9" max="9" width="10.42578125" style="802" customWidth="1"/>
    <col min="10" max="10" width="1.42578125" style="802" customWidth="1"/>
    <col min="11" max="11" width="10.42578125" style="802" customWidth="1"/>
    <col min="12" max="12" width="1.42578125" style="802" customWidth="1"/>
    <col min="13" max="13" width="10.42578125" style="802" customWidth="1"/>
    <col min="14" max="14" width="1.42578125" style="809" customWidth="1"/>
    <col min="15" max="15" width="1.42578125" style="807" customWidth="1"/>
    <col min="16" max="16" width="10.42578125" style="802" customWidth="1"/>
    <col min="17" max="17" width="1.42578125" style="802" customWidth="1"/>
    <col min="18" max="18" width="10.42578125" style="802" customWidth="1"/>
    <col min="19" max="19" width="1.42578125" style="802" customWidth="1"/>
    <col min="20" max="20" width="10.42578125" style="802" customWidth="1"/>
    <col min="21" max="21" width="1.42578125" style="802" customWidth="1"/>
    <col min="22" max="22" width="1.42578125" style="807" customWidth="1"/>
    <col min="23" max="23" width="10.42578125" style="809" customWidth="1"/>
    <col min="24" max="24" width="1.42578125" style="809" customWidth="1"/>
    <col min="25" max="25" width="10.42578125" style="809" customWidth="1"/>
    <col min="26" max="26" width="1.28515625" style="809" customWidth="1"/>
    <col min="27" max="27" width="10.42578125" style="809" customWidth="1"/>
    <col min="28" max="28" width="1.42578125" style="809" customWidth="1"/>
    <col min="29" max="29" width="10.42578125" style="809" customWidth="1"/>
    <col min="30" max="30" width="1.42578125" style="809" customWidth="1"/>
    <col min="31" max="31" width="20.85546875" style="809" customWidth="1"/>
    <col min="32" max="33" width="2.7109375" style="809" customWidth="1"/>
    <col min="34" max="34" width="21.140625" style="809" customWidth="1"/>
    <col min="35" max="37" width="11.85546875" style="802" customWidth="1"/>
    <col min="38" max="16384" width="9.140625" style="802"/>
  </cols>
  <sheetData>
    <row r="1" spans="1:51">
      <c r="A1" s="801" t="s">
        <v>796</v>
      </c>
      <c r="B1" s="801"/>
      <c r="C1" s="801"/>
      <c r="E1" s="801"/>
      <c r="F1" s="801"/>
      <c r="G1" s="803"/>
      <c r="I1" s="804"/>
      <c r="J1" s="805"/>
      <c r="K1" s="805"/>
      <c r="L1" s="805"/>
      <c r="M1" s="805"/>
      <c r="N1" s="803"/>
      <c r="O1" s="805"/>
      <c r="P1" s="801"/>
      <c r="Q1" s="801"/>
      <c r="R1" s="801"/>
      <c r="S1" s="801"/>
      <c r="T1" s="801"/>
      <c r="U1" s="806"/>
      <c r="W1" s="804"/>
      <c r="X1" s="808"/>
      <c r="Y1" s="804"/>
      <c r="Z1" s="804"/>
      <c r="AA1" s="804"/>
      <c r="AB1" s="804"/>
      <c r="AC1" s="804"/>
      <c r="AD1" s="804"/>
      <c r="AE1" s="804"/>
      <c r="AG1" s="810"/>
      <c r="AH1" s="804"/>
      <c r="AI1" s="804"/>
      <c r="AJ1" s="804"/>
      <c r="AK1" s="804"/>
      <c r="AL1" s="809"/>
      <c r="AM1" s="809"/>
    </row>
    <row r="2" spans="1:51">
      <c r="B2" s="801"/>
      <c r="C2" s="801"/>
      <c r="D2" s="801"/>
      <c r="E2" s="801"/>
      <c r="F2" s="801"/>
      <c r="G2" s="803"/>
      <c r="H2" s="811"/>
      <c r="I2" s="812" t="s">
        <v>797</v>
      </c>
      <c r="J2" s="813"/>
      <c r="K2" s="813"/>
      <c r="L2" s="813"/>
      <c r="M2" s="813"/>
      <c r="N2" s="803"/>
      <c r="O2" s="805"/>
      <c r="P2" s="812" t="s">
        <v>824</v>
      </c>
      <c r="Q2" s="814"/>
      <c r="R2" s="814"/>
      <c r="S2" s="814"/>
      <c r="T2" s="814"/>
      <c r="U2" s="806"/>
      <c r="W2" s="812" t="s">
        <v>825</v>
      </c>
      <c r="X2" s="815"/>
      <c r="Y2" s="816"/>
      <c r="Z2" s="816"/>
      <c r="AA2" s="816"/>
      <c r="AB2" s="816"/>
      <c r="AC2" s="816"/>
      <c r="AD2" s="817"/>
      <c r="AE2" s="817"/>
      <c r="AG2" s="810"/>
      <c r="AH2" s="818" t="s">
        <v>798</v>
      </c>
      <c r="AI2" s="818"/>
      <c r="AJ2" s="818"/>
      <c r="AK2" s="818"/>
      <c r="AL2" s="809"/>
      <c r="AM2" s="809"/>
    </row>
    <row r="3" spans="1:51">
      <c r="B3" s="801"/>
      <c r="C3" s="801"/>
      <c r="D3" s="801"/>
      <c r="E3" s="801"/>
      <c r="F3" s="801"/>
      <c r="G3" s="803"/>
      <c r="I3" s="808"/>
      <c r="J3" s="808"/>
      <c r="K3" s="808"/>
      <c r="L3" s="808"/>
      <c r="M3" s="808" t="s">
        <v>799</v>
      </c>
      <c r="N3" s="803"/>
      <c r="P3" s="808"/>
      <c r="Q3" s="808"/>
      <c r="R3" s="808"/>
      <c r="S3" s="808"/>
      <c r="T3" s="808" t="s">
        <v>799</v>
      </c>
      <c r="U3" s="806"/>
      <c r="W3" s="808" t="s">
        <v>800</v>
      </c>
      <c r="X3" s="808"/>
      <c r="Y3" s="808"/>
      <c r="Z3" s="808"/>
      <c r="AA3" s="808"/>
      <c r="AB3" s="819"/>
      <c r="AC3" s="808" t="s">
        <v>799</v>
      </c>
      <c r="AD3" s="817"/>
      <c r="AE3" s="817"/>
      <c r="AG3" s="810"/>
      <c r="AH3" s="802"/>
    </row>
    <row r="4" spans="1:51">
      <c r="B4" s="801"/>
      <c r="C4" s="801"/>
      <c r="D4" s="820" t="s">
        <v>801</v>
      </c>
      <c r="E4" s="801"/>
      <c r="F4" s="801"/>
      <c r="G4" s="803"/>
      <c r="I4" s="808" t="s">
        <v>802</v>
      </c>
      <c r="J4" s="808"/>
      <c r="K4" s="808"/>
      <c r="L4" s="808"/>
      <c r="M4" s="817" t="s">
        <v>803</v>
      </c>
      <c r="N4" s="803"/>
      <c r="P4" s="808" t="s">
        <v>802</v>
      </c>
      <c r="Q4" s="808"/>
      <c r="R4" s="808"/>
      <c r="S4" s="808"/>
      <c r="T4" s="817" t="s">
        <v>803</v>
      </c>
      <c r="U4" s="806"/>
      <c r="W4" s="808" t="s">
        <v>802</v>
      </c>
      <c r="X4" s="808"/>
      <c r="Y4" s="808" t="s">
        <v>802</v>
      </c>
      <c r="Z4" s="808"/>
      <c r="AA4" s="808"/>
      <c r="AB4" s="808"/>
      <c r="AC4" s="817" t="s">
        <v>803</v>
      </c>
      <c r="AD4" s="817"/>
      <c r="AE4" s="817"/>
      <c r="AG4" s="810"/>
      <c r="AH4" s="802" t="s">
        <v>804</v>
      </c>
      <c r="AI4" s="821">
        <f>+'Exh. No. BGM-3 3'!E24</f>
        <v>0.61941299999999999</v>
      </c>
    </row>
    <row r="5" spans="1:51">
      <c r="B5" s="814" t="s">
        <v>8</v>
      </c>
      <c r="C5" s="801"/>
      <c r="D5" s="822" t="s">
        <v>805</v>
      </c>
      <c r="E5" s="801"/>
      <c r="F5" s="814" t="s">
        <v>80</v>
      </c>
      <c r="G5" s="803"/>
      <c r="I5" s="823" t="s">
        <v>806</v>
      </c>
      <c r="J5" s="808"/>
      <c r="K5" s="823" t="s">
        <v>24</v>
      </c>
      <c r="L5" s="808"/>
      <c r="M5" s="823" t="s">
        <v>807</v>
      </c>
      <c r="N5" s="803"/>
      <c r="P5" s="823" t="s">
        <v>806</v>
      </c>
      <c r="Q5" s="808"/>
      <c r="R5" s="823" t="s">
        <v>24</v>
      </c>
      <c r="S5" s="808"/>
      <c r="T5" s="823" t="s">
        <v>807</v>
      </c>
      <c r="U5" s="806"/>
      <c r="W5" s="823" t="s">
        <v>806</v>
      </c>
      <c r="X5" s="808"/>
      <c r="Y5" s="823" t="s">
        <v>806</v>
      </c>
      <c r="Z5" s="808"/>
      <c r="AA5" s="823" t="s">
        <v>24</v>
      </c>
      <c r="AB5" s="819"/>
      <c r="AC5" s="823" t="s">
        <v>807</v>
      </c>
      <c r="AD5" s="819"/>
      <c r="AE5" s="823" t="s">
        <v>823</v>
      </c>
      <c r="AG5" s="810"/>
      <c r="AH5" s="802" t="s">
        <v>808</v>
      </c>
      <c r="AI5" s="824">
        <v>0.35</v>
      </c>
    </row>
    <row r="6" spans="1:51">
      <c r="G6" s="804"/>
      <c r="AG6" s="810"/>
      <c r="AH6" s="802"/>
    </row>
    <row r="7" spans="1:51">
      <c r="B7" s="802">
        <v>1</v>
      </c>
      <c r="D7" s="825">
        <v>1</v>
      </c>
      <c r="E7" s="801"/>
      <c r="F7" s="801" t="s">
        <v>822</v>
      </c>
      <c r="G7" s="804"/>
      <c r="I7" s="838">
        <f>+'Exh. No. BGM-3 4'!E56</f>
        <v>110557</v>
      </c>
      <c r="J7" s="826"/>
      <c r="K7" s="826">
        <f>+'Exh. No. BGM-3 4'!E80</f>
        <v>1444926</v>
      </c>
      <c r="L7" s="826"/>
      <c r="M7" s="826">
        <f>+($K7*$AK$12-$I7)/$AI$4</f>
        <v>-13329.134519294876</v>
      </c>
      <c r="O7" s="805"/>
      <c r="P7" s="838">
        <f>+I7</f>
        <v>110557</v>
      </c>
      <c r="Q7" s="826"/>
      <c r="R7" s="826">
        <f>+K7</f>
        <v>1444926</v>
      </c>
      <c r="S7" s="826"/>
      <c r="T7" s="826">
        <f>+($R7*$AK$12-$P7)/$AI$4</f>
        <v>-13329.134519294876</v>
      </c>
      <c r="AG7" s="810"/>
      <c r="AH7" s="802"/>
      <c r="AN7" s="802">
        <v>1</v>
      </c>
      <c r="AO7" s="802" t="s">
        <v>826</v>
      </c>
      <c r="AP7" s="802" t="s">
        <v>18</v>
      </c>
      <c r="AQ7" s="802" t="s">
        <v>827</v>
      </c>
      <c r="AR7" s="843">
        <v>1578000</v>
      </c>
      <c r="AS7" s="802" t="s">
        <v>827</v>
      </c>
      <c r="AT7" s="843">
        <v>1682558</v>
      </c>
      <c r="AU7" s="832">
        <v>0.48699999999999999</v>
      </c>
      <c r="AV7" s="832">
        <v>5.3100000000000001E-2</v>
      </c>
      <c r="AW7" s="832">
        <v>2.5899999999999999E-2</v>
      </c>
      <c r="AX7" s="802">
        <f>+AU7/AU9</f>
        <v>0.943798449612403</v>
      </c>
      <c r="AY7" s="802">
        <f>+AV7*AX7</f>
        <v>5.0115697674418598E-2</v>
      </c>
    </row>
    <row r="8" spans="1:51">
      <c r="D8" s="827"/>
      <c r="G8" s="804"/>
      <c r="I8" s="828"/>
      <c r="J8" s="828"/>
      <c r="K8" s="828"/>
      <c r="L8" s="828"/>
      <c r="M8" s="828"/>
      <c r="P8" s="828"/>
      <c r="Q8" s="828"/>
      <c r="R8" s="828"/>
      <c r="S8" s="828"/>
      <c r="T8" s="828"/>
      <c r="AE8" s="802"/>
      <c r="AG8" s="810"/>
      <c r="AH8" s="802" t="s">
        <v>294</v>
      </c>
      <c r="AI8" s="802" t="s">
        <v>122</v>
      </c>
      <c r="AK8" s="802" t="s">
        <v>123</v>
      </c>
      <c r="AN8" s="802">
        <v>2</v>
      </c>
      <c r="AO8" s="802" t="s">
        <v>828</v>
      </c>
      <c r="AP8" s="802" t="s">
        <v>18</v>
      </c>
      <c r="AQ8" s="802" t="s">
        <v>827</v>
      </c>
      <c r="AR8" s="843">
        <v>100000</v>
      </c>
      <c r="AS8" s="802" t="s">
        <v>827</v>
      </c>
      <c r="AT8" s="843">
        <v>100000</v>
      </c>
      <c r="AU8" s="832">
        <v>2.9000000000000001E-2</v>
      </c>
      <c r="AV8" s="832">
        <v>3.2599999999999997E-2</v>
      </c>
      <c r="AW8" s="832">
        <v>8.9999999999999998E-4</v>
      </c>
      <c r="AX8" s="802">
        <f>+AU8/AU9</f>
        <v>5.6201550387596902E-2</v>
      </c>
      <c r="AY8" s="802">
        <f>+AV8*AX8</f>
        <v>1.8321705426356588E-3</v>
      </c>
    </row>
    <row r="9" spans="1:51">
      <c r="B9" s="829" t="s">
        <v>809</v>
      </c>
      <c r="D9" s="827"/>
      <c r="G9" s="804"/>
      <c r="I9" s="828"/>
      <c r="J9" s="828"/>
      <c r="K9" s="828"/>
      <c r="L9" s="828"/>
      <c r="M9" s="828"/>
      <c r="P9" s="828"/>
      <c r="Q9" s="828"/>
      <c r="R9" s="828"/>
      <c r="S9" s="828"/>
      <c r="T9" s="828"/>
      <c r="AE9" s="802"/>
      <c r="AG9" s="810"/>
      <c r="AH9" s="812" t="s">
        <v>125</v>
      </c>
      <c r="AI9" s="812" t="s">
        <v>127</v>
      </c>
      <c r="AJ9" s="812" t="s">
        <v>128</v>
      </c>
      <c r="AK9" s="812" t="s">
        <v>128</v>
      </c>
      <c r="AU9" s="832">
        <f>+SUM(AU7:AU8)</f>
        <v>0.51600000000000001</v>
      </c>
      <c r="AV9" s="832"/>
      <c r="AY9" s="802">
        <f>+SUM(AY7:AY8)</f>
        <v>5.1947868217054258E-2</v>
      </c>
    </row>
    <row r="10" spans="1:51">
      <c r="B10" s="802">
        <f ca="1">+MAX(OFFSET($B$7,0,0,ROW($B10)-ROW($B$7),1))+1</f>
        <v>2</v>
      </c>
      <c r="D10" s="827">
        <v>1.01</v>
      </c>
      <c r="F10" s="802" t="str">
        <f>+INDEX('Exh. No. BGM-3 4'!$7:$7&amp;" "&amp;'Exh. No. BGM-3 4'!$8:$8&amp;" "&amp;'Exh. No. BGM-3 4'!$9:$9,1,MATCH(D10,'Exh. No. BGM-3 4'!$10:$10,0))</f>
        <v>Deferred  FIT Rate Base</v>
      </c>
      <c r="G10" s="804"/>
      <c r="I10" s="828">
        <v>8.0962700000000005</v>
      </c>
      <c r="J10" s="828"/>
      <c r="K10" s="828">
        <v>806</v>
      </c>
      <c r="L10" s="828"/>
      <c r="M10" s="830">
        <f>+($K10*$AK$12-$I10)/$AI$4</f>
        <v>79.056348510606014</v>
      </c>
      <c r="P10" s="828">
        <f t="shared" ref="P10:P26" si="0">+I10+Y10</f>
        <v>8.0962700000000005</v>
      </c>
      <c r="Q10" s="828"/>
      <c r="R10" s="828">
        <f t="shared" ref="R10:R26" si="1">+K10+AA10</f>
        <v>806</v>
      </c>
      <c r="S10" s="828"/>
      <c r="T10" s="828">
        <f t="shared" ref="T10:T30" si="2">+($R10*$AK$12-$P10)/$AI$4</f>
        <v>79.056348510606014</v>
      </c>
      <c r="W10" s="830">
        <v>0</v>
      </c>
      <c r="X10" s="828"/>
      <c r="Y10" s="828">
        <f t="shared" ref="Y10:Y25" si="3">+W10*(1-$AI$5)+$AA10*$AK$12*$AI$7</f>
        <v>0</v>
      </c>
      <c r="Z10" s="839"/>
      <c r="AA10" s="839">
        <v>0</v>
      </c>
      <c r="AB10" s="831"/>
      <c r="AC10" s="828">
        <f t="shared" ref="AC10:AC30" si="4">+($AA10*$AK$12-$Y10)/$AI$4</f>
        <v>0</v>
      </c>
      <c r="AE10" s="802" t="s">
        <v>820</v>
      </c>
      <c r="AG10" s="810"/>
      <c r="AH10" s="802" t="s">
        <v>638</v>
      </c>
      <c r="AI10" s="802">
        <f>100%-AI11</f>
        <v>0.51600000000000001</v>
      </c>
      <c r="AJ10" s="832">
        <v>5.1948000000000001E-2</v>
      </c>
      <c r="AK10" s="170">
        <f>ROUND(AI10*AJ10,4)</f>
        <v>2.6800000000000001E-2</v>
      </c>
    </row>
    <row r="11" spans="1:51">
      <c r="B11" s="802">
        <f t="shared" ref="B11:B51" ca="1" si="5">+MAX(OFFSET($B$7,0,0,ROW($B11)-ROW($B$7),1))+1</f>
        <v>3</v>
      </c>
      <c r="D11" s="827">
        <v>1.02</v>
      </c>
      <c r="F11" s="802" t="str">
        <f>+INDEX('Exh. No. BGM-3 4'!$7:$7&amp;" "&amp;'Exh. No. BGM-3 4'!$8:$8&amp;" "&amp;'Exh. No. BGM-3 4'!$9:$9,1,MATCH(D11,'Exh. No. BGM-3 4'!$10:$10,0))</f>
        <v>Deferred  Debits and  Credits</v>
      </c>
      <c r="G11" s="804"/>
      <c r="I11" s="828">
        <v>-7.8000000000000007</v>
      </c>
      <c r="J11" s="828"/>
      <c r="K11" s="828">
        <v>0</v>
      </c>
      <c r="L11" s="828"/>
      <c r="M11" s="830">
        <f t="shared" ref="M11:M30" si="6">+($K11*$AK$12-$I11)/$AI$4</f>
        <v>12.592567479210157</v>
      </c>
      <c r="P11" s="828">
        <f t="shared" si="0"/>
        <v>-7.8000000000000007</v>
      </c>
      <c r="Q11" s="828"/>
      <c r="R11" s="828">
        <f t="shared" si="1"/>
        <v>0</v>
      </c>
      <c r="S11" s="828"/>
      <c r="T11" s="828">
        <f t="shared" si="2"/>
        <v>12.592567479210157</v>
      </c>
      <c r="W11" s="830">
        <v>0</v>
      </c>
      <c r="X11" s="828"/>
      <c r="Y11" s="828">
        <f t="shared" si="3"/>
        <v>0</v>
      </c>
      <c r="Z11" s="839"/>
      <c r="AA11" s="839">
        <v>0</v>
      </c>
      <c r="AB11" s="831"/>
      <c r="AC11" s="828">
        <f t="shared" si="4"/>
        <v>0</v>
      </c>
      <c r="AE11" s="802" t="s">
        <v>820</v>
      </c>
      <c r="AG11" s="810"/>
      <c r="AH11" s="802" t="s">
        <v>11</v>
      </c>
      <c r="AI11" s="802">
        <v>0.48399999999999999</v>
      </c>
      <c r="AJ11" s="832">
        <v>9.0999999999999998E-2</v>
      </c>
      <c r="AK11" s="316">
        <f>ROUND(AI11*AJ11,4)</f>
        <v>4.3999999999999997E-2</v>
      </c>
    </row>
    <row r="12" spans="1:51">
      <c r="B12" s="802">
        <f t="shared" ca="1" si="5"/>
        <v>4</v>
      </c>
      <c r="D12" s="827">
        <v>1.03</v>
      </c>
      <c r="F12" s="802" t="str">
        <f>+INDEX('Exh. No. BGM-3 4'!$7:$7&amp;" "&amp;'Exh. No. BGM-3 4'!$8:$8&amp;" "&amp;'Exh. No. BGM-3 4'!$9:$9,1,MATCH(D12,'Exh. No. BGM-3 4'!$10:$10,0))</f>
        <v xml:space="preserve">Working Capital  </v>
      </c>
      <c r="G12" s="804"/>
      <c r="I12" s="828">
        <v>-30.195269999999997</v>
      </c>
      <c r="J12" s="828"/>
      <c r="K12" s="828">
        <v>-3006</v>
      </c>
      <c r="L12" s="828"/>
      <c r="M12" s="830">
        <f t="shared" si="6"/>
        <v>-294.84290772069687</v>
      </c>
      <c r="P12" s="828">
        <f t="shared" si="0"/>
        <v>-30.195269999999997</v>
      </c>
      <c r="Q12" s="828"/>
      <c r="R12" s="828">
        <f t="shared" si="1"/>
        <v>-3006</v>
      </c>
      <c r="S12" s="828"/>
      <c r="T12" s="828">
        <f t="shared" si="2"/>
        <v>-294.84290772069687</v>
      </c>
      <c r="W12" s="830">
        <v>0</v>
      </c>
      <c r="X12" s="828"/>
      <c r="Y12" s="828">
        <f t="shared" si="3"/>
        <v>0</v>
      </c>
      <c r="Z12" s="839"/>
      <c r="AA12" s="839">
        <v>0</v>
      </c>
      <c r="AB12" s="831"/>
      <c r="AC12" s="828">
        <f t="shared" si="4"/>
        <v>0</v>
      </c>
      <c r="AE12" s="802" t="s">
        <v>820</v>
      </c>
      <c r="AG12" s="810"/>
      <c r="AH12" s="802" t="s">
        <v>137</v>
      </c>
      <c r="AI12" s="833">
        <f>SUM(AI10:AI11)</f>
        <v>1</v>
      </c>
      <c r="AK12" s="170">
        <f>+ROUND(SUM(AK10:AK11),4)</f>
        <v>7.0800000000000002E-2</v>
      </c>
    </row>
    <row r="13" spans="1:51">
      <c r="B13" s="802">
        <f t="shared" ca="1" si="5"/>
        <v>5</v>
      </c>
      <c r="D13" s="827">
        <v>2.0099999999999998</v>
      </c>
      <c r="F13" s="802" t="str">
        <f>+INDEX('Exh. No. BGM-3 4'!$7:$7&amp;" "&amp;'Exh. No. BGM-3 4'!$8:$8&amp;" "&amp;'Exh. No. BGM-3 4'!$9:$9,1,MATCH(D13,'Exh. No. BGM-3 4'!$10:$10,0))</f>
        <v>Eliminate B &amp; O Taxes</v>
      </c>
      <c r="G13" s="804"/>
      <c r="I13" s="828">
        <v>-95.550000000000011</v>
      </c>
      <c r="J13" s="828"/>
      <c r="K13" s="828">
        <v>0</v>
      </c>
      <c r="L13" s="828"/>
      <c r="M13" s="830">
        <f t="shared" si="6"/>
        <v>154.25895162032441</v>
      </c>
      <c r="P13" s="828">
        <f t="shared" si="0"/>
        <v>-95.550000000000011</v>
      </c>
      <c r="Q13" s="828"/>
      <c r="R13" s="828">
        <f t="shared" si="1"/>
        <v>0</v>
      </c>
      <c r="S13" s="828"/>
      <c r="T13" s="828">
        <f t="shared" si="2"/>
        <v>154.25895162032441</v>
      </c>
      <c r="W13" s="830">
        <v>0</v>
      </c>
      <c r="X13" s="828"/>
      <c r="Y13" s="828">
        <f t="shared" si="3"/>
        <v>0</v>
      </c>
      <c r="Z13" s="839"/>
      <c r="AA13" s="839">
        <v>0</v>
      </c>
      <c r="AB13" s="831"/>
      <c r="AC13" s="828">
        <f t="shared" si="4"/>
        <v>0</v>
      </c>
      <c r="AE13" s="802" t="s">
        <v>820</v>
      </c>
      <c r="AG13" s="810"/>
      <c r="AH13" s="804"/>
      <c r="AK13" s="832"/>
    </row>
    <row r="14" spans="1:51">
      <c r="B14" s="802">
        <f t="shared" ca="1" si="5"/>
        <v>6</v>
      </c>
      <c r="D14" s="827">
        <v>2.0199999999999996</v>
      </c>
      <c r="F14" s="802" t="str">
        <f>+INDEX('Exh. No. BGM-3 4'!$7:$7&amp;" "&amp;'Exh. No. BGM-3 4'!$8:$8&amp;" "&amp;'Exh. No. BGM-3 4'!$9:$9,1,MATCH(D14,'Exh. No. BGM-3 4'!$10:$10,0))</f>
        <v>Restate Property Tax</v>
      </c>
      <c r="G14" s="804"/>
      <c r="I14" s="828">
        <v>162.5</v>
      </c>
      <c r="J14" s="828"/>
      <c r="K14" s="828">
        <v>0</v>
      </c>
      <c r="L14" s="828"/>
      <c r="M14" s="830">
        <f t="shared" si="6"/>
        <v>-262.34515581687822</v>
      </c>
      <c r="P14" s="828">
        <f t="shared" si="0"/>
        <v>162.5</v>
      </c>
      <c r="Q14" s="828"/>
      <c r="R14" s="828">
        <f t="shared" si="1"/>
        <v>0</v>
      </c>
      <c r="S14" s="828"/>
      <c r="T14" s="828">
        <f t="shared" si="2"/>
        <v>-262.34515581687822</v>
      </c>
      <c r="W14" s="830">
        <v>0</v>
      </c>
      <c r="X14" s="828"/>
      <c r="Y14" s="828">
        <f t="shared" si="3"/>
        <v>0</v>
      </c>
      <c r="Z14" s="839"/>
      <c r="AA14" s="839">
        <v>0</v>
      </c>
      <c r="AB14" s="831"/>
      <c r="AC14" s="828">
        <f t="shared" si="4"/>
        <v>0</v>
      </c>
      <c r="AE14" s="802" t="s">
        <v>820</v>
      </c>
      <c r="AG14" s="810"/>
      <c r="AH14" s="804"/>
      <c r="AJ14" s="834" t="s">
        <v>810</v>
      </c>
      <c r="AK14" s="832">
        <v>7.6899999999999996E-2</v>
      </c>
    </row>
    <row r="15" spans="1:51">
      <c r="B15" s="802">
        <f t="shared" ca="1" si="5"/>
        <v>7</v>
      </c>
      <c r="D15" s="827">
        <v>2.0299999999999994</v>
      </c>
      <c r="F15" s="802" t="str">
        <f>+INDEX('Exh. No. BGM-3 4'!$7:$7&amp;" "&amp;'Exh. No. BGM-3 4'!$8:$8&amp;" "&amp;'Exh. No. BGM-3 4'!$9:$9,1,MATCH(D15,'Exh. No. BGM-3 4'!$10:$10,0))</f>
        <v xml:space="preserve">Uncollect. Expense  </v>
      </c>
      <c r="G15" s="804"/>
      <c r="I15" s="828">
        <v>-858.65000000000009</v>
      </c>
      <c r="J15" s="828"/>
      <c r="K15" s="828">
        <v>0</v>
      </c>
      <c r="L15" s="828"/>
      <c r="M15" s="830">
        <f t="shared" si="6"/>
        <v>1386.2318033363847</v>
      </c>
      <c r="P15" s="828">
        <f t="shared" si="0"/>
        <v>-858.65000000000009</v>
      </c>
      <c r="Q15" s="828"/>
      <c r="R15" s="828">
        <f t="shared" si="1"/>
        <v>0</v>
      </c>
      <c r="S15" s="828"/>
      <c r="T15" s="828">
        <f t="shared" si="2"/>
        <v>1386.2318033363847</v>
      </c>
      <c r="W15" s="830">
        <v>0</v>
      </c>
      <c r="X15" s="828"/>
      <c r="Y15" s="828">
        <f t="shared" si="3"/>
        <v>0</v>
      </c>
      <c r="Z15" s="839"/>
      <c r="AA15" s="839">
        <f>+INDEX('[3]ADJ DETAIL-INPUT'!$80:$80,1,MATCH(D15,'[3]ADJ DETAIL-INPUT'!$10:$10,0))-K15</f>
        <v>0</v>
      </c>
      <c r="AB15" s="831"/>
      <c r="AC15" s="828">
        <f t="shared" si="4"/>
        <v>0</v>
      </c>
      <c r="AE15" s="802" t="s">
        <v>820</v>
      </c>
      <c r="AG15" s="810"/>
      <c r="AH15" s="804"/>
      <c r="AJ15" s="834"/>
      <c r="AK15" s="832"/>
    </row>
    <row r="16" spans="1:51">
      <c r="B16" s="802">
        <f t="shared" ca="1" si="5"/>
        <v>8</v>
      </c>
      <c r="D16" s="827">
        <v>2.0399999999999991</v>
      </c>
      <c r="F16" s="802" t="str">
        <f>+INDEX('Exh. No. BGM-3 4'!$7:$7&amp;" "&amp;'Exh. No. BGM-3 4'!$8:$8&amp;" "&amp;'Exh. No. BGM-3 4'!$9:$9,1,MATCH(D16,'Exh. No. BGM-3 4'!$10:$10,0))</f>
        <v xml:space="preserve">Regulatory Expense  </v>
      </c>
      <c r="G16" s="804"/>
      <c r="I16" s="828">
        <v>-4.5500000000000007</v>
      </c>
      <c r="J16" s="828"/>
      <c r="K16" s="828">
        <v>0</v>
      </c>
      <c r="L16" s="828"/>
      <c r="M16" s="830">
        <f t="shared" si="6"/>
        <v>7.3456643628725917</v>
      </c>
      <c r="P16" s="828">
        <f t="shared" si="0"/>
        <v>-4.5500000000000007</v>
      </c>
      <c r="Q16" s="828"/>
      <c r="R16" s="828">
        <f t="shared" si="1"/>
        <v>0</v>
      </c>
      <c r="S16" s="828"/>
      <c r="T16" s="828">
        <f t="shared" si="2"/>
        <v>7.3456643628725917</v>
      </c>
      <c r="W16" s="830">
        <v>0</v>
      </c>
      <c r="X16" s="828"/>
      <c r="Y16" s="828">
        <f t="shared" si="3"/>
        <v>0</v>
      </c>
      <c r="Z16" s="839"/>
      <c r="AA16" s="839">
        <v>0</v>
      </c>
      <c r="AB16" s="831"/>
      <c r="AC16" s="828">
        <f t="shared" si="4"/>
        <v>0</v>
      </c>
      <c r="AE16" s="802" t="s">
        <v>820</v>
      </c>
      <c r="AG16" s="810"/>
      <c r="AH16" s="804"/>
      <c r="AJ16" s="834" t="s">
        <v>811</v>
      </c>
      <c r="AK16" s="828">
        <f>+K51</f>
        <v>1472291</v>
      </c>
    </row>
    <row r="17" spans="2:37">
      <c r="B17" s="802">
        <f t="shared" ca="1" si="5"/>
        <v>9</v>
      </c>
      <c r="D17" s="827">
        <v>2.0499999999999989</v>
      </c>
      <c r="F17" s="802" t="str">
        <f>+INDEX('Exh. No. BGM-3 4'!$7:$7&amp;" "&amp;'Exh. No. BGM-3 4'!$8:$8&amp;" "&amp;'Exh. No. BGM-3 4'!$9:$9,1,MATCH(D17,'Exh. No. BGM-3 4'!$10:$10,0))</f>
        <v>Injuries and  Damages</v>
      </c>
      <c r="G17" s="804"/>
      <c r="I17" s="828">
        <v>-98.15</v>
      </c>
      <c r="J17" s="828"/>
      <c r="K17" s="828">
        <v>0</v>
      </c>
      <c r="L17" s="828"/>
      <c r="M17" s="830">
        <f t="shared" si="6"/>
        <v>158.45647411339448</v>
      </c>
      <c r="P17" s="828">
        <f t="shared" si="0"/>
        <v>-98.15</v>
      </c>
      <c r="Q17" s="828"/>
      <c r="R17" s="828">
        <f t="shared" si="1"/>
        <v>0</v>
      </c>
      <c r="S17" s="828"/>
      <c r="T17" s="828">
        <f t="shared" si="2"/>
        <v>158.45647411339448</v>
      </c>
      <c r="W17" s="830">
        <v>0</v>
      </c>
      <c r="X17" s="828"/>
      <c r="Y17" s="828">
        <f t="shared" si="3"/>
        <v>0</v>
      </c>
      <c r="Z17" s="828"/>
      <c r="AA17" s="828">
        <v>0</v>
      </c>
      <c r="AB17" s="831"/>
      <c r="AC17" s="828">
        <f t="shared" si="4"/>
        <v>0</v>
      </c>
      <c r="AE17" s="802" t="s">
        <v>820</v>
      </c>
      <c r="AG17" s="810"/>
      <c r="AH17" s="804"/>
      <c r="AJ17" s="834"/>
    </row>
    <row r="18" spans="2:37">
      <c r="B18" s="802">
        <f t="shared" ca="1" si="5"/>
        <v>10</v>
      </c>
      <c r="D18" s="827">
        <v>2.0599999999999987</v>
      </c>
      <c r="F18" s="802" t="str">
        <f>+INDEX('Exh. No. BGM-3 4'!$7:$7&amp;" "&amp;'Exh. No. BGM-3 4'!$8:$8&amp;" "&amp;'Exh. No. BGM-3 4'!$9:$9,1,MATCH(D18,'Exh. No. BGM-3 4'!$10:$10,0))</f>
        <v>FIT/DFIT/ ITC Expense</v>
      </c>
      <c r="G18" s="804"/>
      <c r="I18" s="828">
        <v>-69</v>
      </c>
      <c r="J18" s="828"/>
      <c r="K18" s="828">
        <v>0</v>
      </c>
      <c r="L18" s="828"/>
      <c r="M18" s="830">
        <f t="shared" si="6"/>
        <v>111.39578923916676</v>
      </c>
      <c r="P18" s="828">
        <f t="shared" si="0"/>
        <v>-69</v>
      </c>
      <c r="Q18" s="828"/>
      <c r="R18" s="828">
        <f t="shared" si="1"/>
        <v>0</v>
      </c>
      <c r="S18" s="828"/>
      <c r="T18" s="828">
        <f t="shared" si="2"/>
        <v>111.39578923916676</v>
      </c>
      <c r="W18" s="830">
        <v>0</v>
      </c>
      <c r="X18" s="828"/>
      <c r="Y18" s="828">
        <f t="shared" si="3"/>
        <v>0</v>
      </c>
      <c r="Z18" s="828"/>
      <c r="AA18" s="828">
        <v>0</v>
      </c>
      <c r="AB18" s="831"/>
      <c r="AC18" s="828">
        <f t="shared" si="4"/>
        <v>0</v>
      </c>
      <c r="AE18" s="802" t="s">
        <v>820</v>
      </c>
      <c r="AG18" s="810"/>
      <c r="AH18" s="804"/>
      <c r="AJ18" s="834" t="s">
        <v>812</v>
      </c>
      <c r="AK18" s="828">
        <f>-((AK16*AK14)-(AK16*AK12))/AI4</f>
        <v>-14499.171150750784</v>
      </c>
    </row>
    <row r="19" spans="2:37">
      <c r="B19" s="802">
        <f t="shared" ca="1" si="5"/>
        <v>11</v>
      </c>
      <c r="D19" s="827">
        <v>2.0699999999999985</v>
      </c>
      <c r="F19" s="802" t="str">
        <f>+INDEX('Exh. No. BGM-3 4'!$7:$7&amp;" "&amp;'Exh. No. BGM-3 4'!$8:$8&amp;" "&amp;'Exh. No. BGM-3 4'!$9:$9,1,MATCH(D19,'Exh. No. BGM-3 4'!$10:$10,0))</f>
        <v>Office Space Charges to Non-Utility</v>
      </c>
      <c r="G19" s="804"/>
      <c r="I19" s="828">
        <v>20.149999999999999</v>
      </c>
      <c r="J19" s="828"/>
      <c r="K19" s="828">
        <v>0</v>
      </c>
      <c r="L19" s="828"/>
      <c r="M19" s="830">
        <f t="shared" si="6"/>
        <v>-32.530799321292896</v>
      </c>
      <c r="P19" s="828">
        <f t="shared" si="0"/>
        <v>20.149999999999999</v>
      </c>
      <c r="Q19" s="828"/>
      <c r="R19" s="828">
        <f t="shared" si="1"/>
        <v>0</v>
      </c>
      <c r="S19" s="828"/>
      <c r="T19" s="828">
        <f t="shared" si="2"/>
        <v>-32.530799321292896</v>
      </c>
      <c r="W19" s="830">
        <v>0</v>
      </c>
      <c r="X19" s="828"/>
      <c r="Y19" s="828">
        <f t="shared" si="3"/>
        <v>0</v>
      </c>
      <c r="Z19" s="828"/>
      <c r="AA19" s="828">
        <v>0</v>
      </c>
      <c r="AB19" s="831"/>
      <c r="AC19" s="828">
        <f t="shared" si="4"/>
        <v>0</v>
      </c>
      <c r="AE19" s="802" t="s">
        <v>820</v>
      </c>
      <c r="AG19" s="810"/>
      <c r="AH19" s="804"/>
      <c r="AJ19" s="834"/>
      <c r="AK19" s="835">
        <f>+AK18-M55</f>
        <v>-166.15012923528593</v>
      </c>
    </row>
    <row r="20" spans="2:37">
      <c r="B20" s="802">
        <f t="shared" ca="1" si="5"/>
        <v>12</v>
      </c>
      <c r="D20" s="827">
        <v>2.0799999999999983</v>
      </c>
      <c r="F20" s="802" t="str">
        <f>+INDEX('Exh. No. BGM-3 4'!$7:$7&amp;" "&amp;'Exh. No. BGM-3 4'!$8:$8&amp;" "&amp;'Exh. No. BGM-3 4'!$9:$9,1,MATCH(D20,'Exh. No. BGM-3 4'!$10:$10,0))</f>
        <v>Restate Excise Taxes</v>
      </c>
      <c r="G20" s="804"/>
      <c r="I20" s="828">
        <v>40.299999999999997</v>
      </c>
      <c r="J20" s="828"/>
      <c r="K20" s="828">
        <v>0</v>
      </c>
      <c r="L20" s="828"/>
      <c r="M20" s="830">
        <f t="shared" si="6"/>
        <v>-65.061598642585793</v>
      </c>
      <c r="P20" s="828">
        <f t="shared" si="0"/>
        <v>40.299999999999997</v>
      </c>
      <c r="Q20" s="828"/>
      <c r="R20" s="828">
        <f t="shared" si="1"/>
        <v>0</v>
      </c>
      <c r="S20" s="828"/>
      <c r="T20" s="828">
        <f t="shared" si="2"/>
        <v>-65.061598642585793</v>
      </c>
      <c r="W20" s="830">
        <v>0</v>
      </c>
      <c r="X20" s="828"/>
      <c r="Y20" s="828">
        <f t="shared" si="3"/>
        <v>0</v>
      </c>
      <c r="Z20" s="828"/>
      <c r="AA20" s="828">
        <v>0</v>
      </c>
      <c r="AB20" s="831"/>
      <c r="AC20" s="828">
        <f t="shared" si="4"/>
        <v>0</v>
      </c>
      <c r="AE20" s="802" t="s">
        <v>820</v>
      </c>
      <c r="AG20" s="810"/>
      <c r="AH20" s="804"/>
      <c r="AJ20" s="834"/>
      <c r="AK20" s="828"/>
    </row>
    <row r="21" spans="2:37">
      <c r="B21" s="802">
        <f t="shared" ca="1" si="5"/>
        <v>13</v>
      </c>
      <c r="D21" s="827">
        <v>2.0899999999999981</v>
      </c>
      <c r="F21" s="802" t="str">
        <f>+INDEX('Exh. No. BGM-3 4'!$7:$7&amp;" "&amp;'Exh. No. BGM-3 4'!$8:$8&amp;" "&amp;'Exh. No. BGM-3 4'!$9:$9,1,MATCH(D21,'Exh. No. BGM-3 4'!$10:$10,0))</f>
        <v>Net Gains /  Losses</v>
      </c>
      <c r="G21" s="804"/>
      <c r="I21" s="828">
        <v>61.1</v>
      </c>
      <c r="J21" s="828"/>
      <c r="K21" s="828">
        <v>0</v>
      </c>
      <c r="L21" s="828"/>
      <c r="M21" s="830">
        <f t="shared" si="6"/>
        <v>-98.64177858714622</v>
      </c>
      <c r="P21" s="828">
        <f t="shared" si="0"/>
        <v>61.1</v>
      </c>
      <c r="Q21" s="828"/>
      <c r="R21" s="828">
        <f t="shared" si="1"/>
        <v>0</v>
      </c>
      <c r="S21" s="828"/>
      <c r="T21" s="828">
        <f t="shared" si="2"/>
        <v>-98.64177858714622</v>
      </c>
      <c r="W21" s="830">
        <v>0</v>
      </c>
      <c r="X21" s="828"/>
      <c r="Y21" s="828">
        <f t="shared" si="3"/>
        <v>0</v>
      </c>
      <c r="Z21" s="828"/>
      <c r="AA21" s="828">
        <v>0</v>
      </c>
      <c r="AB21" s="831"/>
      <c r="AC21" s="828">
        <f t="shared" si="4"/>
        <v>0</v>
      </c>
      <c r="AE21" s="802" t="s">
        <v>820</v>
      </c>
      <c r="AG21" s="810"/>
      <c r="AH21" s="804"/>
    </row>
    <row r="22" spans="2:37">
      <c r="B22" s="802">
        <f t="shared" ca="1" si="5"/>
        <v>14</v>
      </c>
      <c r="D22" s="827">
        <v>2.0999999999999979</v>
      </c>
      <c r="F22" s="802" t="str">
        <f>+INDEX('Exh. No. BGM-3 4'!$7:$7&amp;" "&amp;'Exh. No. BGM-3 4'!$8:$8&amp;" "&amp;'Exh. No. BGM-3 4'!$9:$9,1,MATCH(D22,'Exh. No. BGM-3 4'!$10:$10,0))</f>
        <v xml:space="preserve">Weather  Normalization  </v>
      </c>
      <c r="G22" s="804"/>
      <c r="I22" s="828">
        <v>824.85</v>
      </c>
      <c r="J22" s="828"/>
      <c r="K22" s="828">
        <v>0</v>
      </c>
      <c r="L22" s="828"/>
      <c r="M22" s="830">
        <f t="shared" si="6"/>
        <v>-1331.664010926474</v>
      </c>
      <c r="P22" s="828">
        <f t="shared" si="0"/>
        <v>824.85</v>
      </c>
      <c r="Q22" s="828"/>
      <c r="R22" s="828">
        <f t="shared" si="1"/>
        <v>0</v>
      </c>
      <c r="S22" s="828"/>
      <c r="T22" s="828">
        <f t="shared" si="2"/>
        <v>-1331.664010926474</v>
      </c>
      <c r="W22" s="830">
        <v>0</v>
      </c>
      <c r="X22" s="828"/>
      <c r="Y22" s="828">
        <f t="shared" si="3"/>
        <v>0</v>
      </c>
      <c r="Z22" s="828"/>
      <c r="AA22" s="828">
        <v>0</v>
      </c>
      <c r="AB22" s="831"/>
      <c r="AC22" s="828">
        <f t="shared" si="4"/>
        <v>0</v>
      </c>
      <c r="AE22" s="802" t="s">
        <v>820</v>
      </c>
      <c r="AG22" s="810"/>
      <c r="AH22" s="804"/>
    </row>
    <row r="23" spans="2:37">
      <c r="B23" s="802">
        <f t="shared" ca="1" si="5"/>
        <v>15</v>
      </c>
      <c r="D23" s="827">
        <v>2.1099999999999977</v>
      </c>
      <c r="F23" s="802" t="str">
        <f>+INDEX('Exh. No. BGM-3 4'!$7:$7&amp;" "&amp;'Exh. No. BGM-3 4'!$8:$8&amp;" "&amp;'Exh. No. BGM-3 4'!$9:$9,1,MATCH(D23,'Exh. No. BGM-3 4'!$10:$10,0))</f>
        <v>Eliminate Adder Schedules</v>
      </c>
      <c r="G23" s="804"/>
      <c r="I23" s="828">
        <v>0</v>
      </c>
      <c r="J23" s="828"/>
      <c r="K23" s="828">
        <v>0</v>
      </c>
      <c r="L23" s="828"/>
      <c r="M23" s="830">
        <f t="shared" si="6"/>
        <v>0</v>
      </c>
      <c r="P23" s="828">
        <f t="shared" si="0"/>
        <v>0</v>
      </c>
      <c r="Q23" s="828"/>
      <c r="R23" s="828">
        <f t="shared" si="1"/>
        <v>0</v>
      </c>
      <c r="S23" s="828"/>
      <c r="T23" s="828">
        <f t="shared" si="2"/>
        <v>0</v>
      </c>
      <c r="W23" s="830">
        <v>0</v>
      </c>
      <c r="X23" s="828"/>
      <c r="Y23" s="828">
        <f t="shared" si="3"/>
        <v>0</v>
      </c>
      <c r="Z23" s="828"/>
      <c r="AA23" s="828">
        <v>0</v>
      </c>
      <c r="AB23" s="831"/>
      <c r="AC23" s="828">
        <f t="shared" si="4"/>
        <v>0</v>
      </c>
      <c r="AE23" s="802" t="s">
        <v>820</v>
      </c>
      <c r="AG23" s="810"/>
      <c r="AH23" s="804"/>
    </row>
    <row r="24" spans="2:37">
      <c r="B24" s="802">
        <f t="shared" ca="1" si="5"/>
        <v>16</v>
      </c>
      <c r="D24" s="827">
        <v>2.1199999999999974</v>
      </c>
      <c r="F24" s="802" t="str">
        <f>+INDEX('Exh. No. BGM-3 4'!$7:$7&amp;" "&amp;'Exh. No. BGM-3 4'!$8:$8&amp;" "&amp;'Exh. No. BGM-3 4'!$9:$9,1,MATCH(D24,'Exh. No. BGM-3 4'!$10:$10,0))</f>
        <v>Misc. Restating Non-Util / Non- Recurring Expenses</v>
      </c>
      <c r="G24" s="804"/>
      <c r="I24" s="828">
        <v>-969.15</v>
      </c>
      <c r="J24" s="828"/>
      <c r="K24" s="828">
        <v>0</v>
      </c>
      <c r="L24" s="828"/>
      <c r="M24" s="830">
        <f t="shared" si="6"/>
        <v>1564.6265092918618</v>
      </c>
      <c r="P24" s="828">
        <f t="shared" si="0"/>
        <v>-969.15</v>
      </c>
      <c r="Q24" s="828"/>
      <c r="R24" s="828">
        <f t="shared" si="1"/>
        <v>0</v>
      </c>
      <c r="S24" s="828"/>
      <c r="T24" s="828">
        <f t="shared" si="2"/>
        <v>1564.6265092918618</v>
      </c>
      <c r="W24" s="830">
        <v>0</v>
      </c>
      <c r="X24" s="828"/>
      <c r="Y24" s="828">
        <f t="shared" si="3"/>
        <v>0</v>
      </c>
      <c r="Z24" s="828"/>
      <c r="AA24" s="830">
        <v>0</v>
      </c>
      <c r="AB24" s="831"/>
      <c r="AC24" s="828">
        <f t="shared" si="4"/>
        <v>0</v>
      </c>
      <c r="AE24" s="802" t="s">
        <v>820</v>
      </c>
      <c r="AG24" s="810"/>
      <c r="AH24" s="804"/>
    </row>
    <row r="25" spans="2:37">
      <c r="B25" s="802">
        <f t="shared" ca="1" si="5"/>
        <v>17</v>
      </c>
      <c r="D25" s="827">
        <v>2.1299999999999972</v>
      </c>
      <c r="F25" s="802" t="str">
        <f>+INDEX('Exh. No. BGM-3 4'!$7:$7&amp;" "&amp;'Exh. No. BGM-3 4'!$8:$8&amp;" "&amp;'Exh. No. BGM-3 4'!$9:$9,1,MATCH(D25,'Exh. No. BGM-3 4'!$10:$10,0))</f>
        <v>Eliminate WA Power Cost Defer</v>
      </c>
      <c r="G25" s="804"/>
      <c r="I25" s="828">
        <v>4386</v>
      </c>
      <c r="J25" s="828"/>
      <c r="K25" s="828">
        <v>0</v>
      </c>
      <c r="L25" s="828"/>
      <c r="M25" s="830">
        <f t="shared" si="6"/>
        <v>-7080.8975594635567</v>
      </c>
      <c r="P25" s="828">
        <f t="shared" si="0"/>
        <v>4386</v>
      </c>
      <c r="Q25" s="828"/>
      <c r="R25" s="828">
        <f t="shared" si="1"/>
        <v>0</v>
      </c>
      <c r="S25" s="828"/>
      <c r="T25" s="828">
        <f t="shared" si="2"/>
        <v>-7080.8975594635567</v>
      </c>
      <c r="W25" s="830">
        <v>0</v>
      </c>
      <c r="X25" s="828"/>
      <c r="Y25" s="828">
        <f t="shared" si="3"/>
        <v>0</v>
      </c>
      <c r="Z25" s="828"/>
      <c r="AA25" s="830">
        <v>0</v>
      </c>
      <c r="AB25" s="831"/>
      <c r="AC25" s="828">
        <f t="shared" si="4"/>
        <v>0</v>
      </c>
      <c r="AE25" s="802" t="s">
        <v>820</v>
      </c>
      <c r="AG25" s="810"/>
      <c r="AH25" s="804"/>
    </row>
    <row r="26" spans="2:37">
      <c r="B26" s="802">
        <f t="shared" ca="1" si="5"/>
        <v>18</v>
      </c>
      <c r="D26" s="827">
        <v>2.139999999999997</v>
      </c>
      <c r="F26" s="802" t="str">
        <f>+INDEX('Exh. No. BGM-3 4'!$7:$7&amp;" "&amp;'Exh. No. BGM-3 4'!$8:$8&amp;" "&amp;'Exh. No. BGM-3 4'!$9:$9,1,MATCH(D26,'Exh. No. BGM-3 4'!$10:$10,0))</f>
        <v>Nez Perce Settlement Adjustment</v>
      </c>
      <c r="G26" s="804"/>
      <c r="I26" s="828">
        <v>2.6</v>
      </c>
      <c r="J26" s="828"/>
      <c r="K26" s="828">
        <v>0</v>
      </c>
      <c r="L26" s="828"/>
      <c r="M26" s="830">
        <f t="shared" si="6"/>
        <v>-4.1975224930700517</v>
      </c>
      <c r="P26" s="828">
        <f t="shared" si="0"/>
        <v>2.6</v>
      </c>
      <c r="Q26" s="828"/>
      <c r="R26" s="828">
        <f t="shared" si="1"/>
        <v>0</v>
      </c>
      <c r="S26" s="828"/>
      <c r="T26" s="828">
        <f t="shared" si="2"/>
        <v>-4.1975224930700517</v>
      </c>
      <c r="W26" s="830">
        <v>0</v>
      </c>
      <c r="X26" s="828"/>
      <c r="Y26" s="828">
        <f>+W26*(1-$AI$5)+$AA26*$AK$12*$AI$7</f>
        <v>0</v>
      </c>
      <c r="Z26" s="828"/>
      <c r="AA26" s="830">
        <v>0</v>
      </c>
      <c r="AB26" s="831"/>
      <c r="AC26" s="828">
        <f t="shared" si="4"/>
        <v>0</v>
      </c>
      <c r="AE26" s="802" t="s">
        <v>820</v>
      </c>
      <c r="AG26" s="810"/>
      <c r="AH26" s="804"/>
    </row>
    <row r="27" spans="2:37">
      <c r="B27" s="802">
        <f t="shared" ca="1" si="5"/>
        <v>19</v>
      </c>
      <c r="D27" s="827">
        <v>2.1499999999999968</v>
      </c>
      <c r="F27" s="802" t="str">
        <f>+INDEX('Exh. No. BGM-3 4'!$7:$7&amp;" "&amp;'Exh. No. BGM-3 4'!$8:$8&amp;" "&amp;'Exh. No. BGM-3 4'!$9:$9,1,MATCH(D27,'Exh. No. BGM-3 4'!$10:$10,0))</f>
        <v xml:space="preserve">Restating  Incentives </v>
      </c>
      <c r="G27" s="804"/>
      <c r="I27" s="828">
        <v>406.9</v>
      </c>
      <c r="J27" s="828"/>
      <c r="K27" s="828">
        <v>0</v>
      </c>
      <c r="L27" s="828"/>
      <c r="M27" s="830">
        <f t="shared" si="6"/>
        <v>-656.91227016546304</v>
      </c>
      <c r="P27" s="828">
        <f t="shared" ref="P27:P30" si="7">+I27+Y27</f>
        <v>406.9</v>
      </c>
      <c r="Q27" s="828"/>
      <c r="R27" s="828">
        <f t="shared" ref="R27:R30" si="8">+K27+AA27</f>
        <v>0</v>
      </c>
      <c r="S27" s="828"/>
      <c r="T27" s="828">
        <f t="shared" si="2"/>
        <v>-656.91227016546304</v>
      </c>
      <c r="W27" s="830">
        <v>0</v>
      </c>
      <c r="X27" s="828"/>
      <c r="Y27" s="828">
        <f t="shared" ref="Y27:Y30" si="9">+W27*(1-$AI$5)+$AA27*$AK$12*$AI$7</f>
        <v>0</v>
      </c>
      <c r="Z27" s="828"/>
      <c r="AA27" s="830">
        <v>0</v>
      </c>
      <c r="AB27" s="831"/>
      <c r="AC27" s="828">
        <f t="shared" si="4"/>
        <v>0</v>
      </c>
      <c r="AE27" s="802" t="s">
        <v>820</v>
      </c>
      <c r="AG27" s="810"/>
      <c r="AH27" s="804"/>
    </row>
    <row r="28" spans="2:37">
      <c r="B28" s="802">
        <f t="shared" ca="1" si="5"/>
        <v>20</v>
      </c>
      <c r="D28" s="827">
        <v>2.1599999999999966</v>
      </c>
      <c r="F28" s="802" t="str">
        <f>+INDEX('Exh. No. BGM-3 4'!$7:$7&amp;" "&amp;'Exh. No. BGM-3 4'!$8:$8&amp;" "&amp;'Exh. No. BGM-3 4'!$9:$9,1,MATCH(D28,'Exh. No. BGM-3 4'!$10:$10,0))</f>
        <v>Normalize CS2/Colstrip Major Maint</v>
      </c>
      <c r="G28" s="804"/>
      <c r="I28" s="828">
        <v>763.1</v>
      </c>
      <c r="J28" s="828"/>
      <c r="K28" s="828">
        <v>0</v>
      </c>
      <c r="L28" s="828"/>
      <c r="M28" s="830">
        <f t="shared" si="6"/>
        <v>-1231.9728517160602</v>
      </c>
      <c r="P28" s="828">
        <f t="shared" si="7"/>
        <v>763.1</v>
      </c>
      <c r="Q28" s="828"/>
      <c r="R28" s="828">
        <f t="shared" si="8"/>
        <v>0</v>
      </c>
      <c r="S28" s="828"/>
      <c r="T28" s="828">
        <f t="shared" si="2"/>
        <v>-1231.9728517160602</v>
      </c>
      <c r="W28" s="830">
        <v>0</v>
      </c>
      <c r="X28" s="828"/>
      <c r="Y28" s="828">
        <f t="shared" si="9"/>
        <v>0</v>
      </c>
      <c r="Z28" s="828"/>
      <c r="AA28" s="830">
        <v>0</v>
      </c>
      <c r="AB28" s="831"/>
      <c r="AC28" s="828">
        <f t="shared" si="4"/>
        <v>0</v>
      </c>
      <c r="AE28" s="802" t="s">
        <v>820</v>
      </c>
      <c r="AG28" s="810"/>
      <c r="AH28" s="804"/>
    </row>
    <row r="29" spans="2:37">
      <c r="B29" s="802">
        <f t="shared" ca="1" si="5"/>
        <v>21</v>
      </c>
      <c r="D29" s="827">
        <v>2.1699999999999964</v>
      </c>
      <c r="F29" s="802" t="str">
        <f>+INDEX('Exh. No. BGM-3 4'!$7:$7&amp;" "&amp;'Exh. No. BGM-3 4'!$8:$8&amp;" "&amp;'Exh. No. BGM-3 4'!$9:$9,1,MATCH(D29,'Exh. No. BGM-3 4'!$10:$10,0))</f>
        <v>Restate Debt Interest</v>
      </c>
      <c r="G29" s="804"/>
      <c r="I29" s="828">
        <v>759</v>
      </c>
      <c r="J29" s="828"/>
      <c r="K29" s="828">
        <v>0</v>
      </c>
      <c r="L29" s="828"/>
      <c r="M29" s="830">
        <f t="shared" si="6"/>
        <v>-1225.3536816308344</v>
      </c>
      <c r="P29" s="828">
        <f t="shared" si="7"/>
        <v>-325.53623259042479</v>
      </c>
      <c r="Q29" s="828"/>
      <c r="R29" s="828">
        <f t="shared" si="8"/>
        <v>0</v>
      </c>
      <c r="S29" s="828"/>
      <c r="T29" s="828">
        <f t="shared" si="2"/>
        <v>525.55602254138159</v>
      </c>
      <c r="W29" s="830">
        <v>0</v>
      </c>
      <c r="X29" s="828"/>
      <c r="Y29" s="828">
        <v>-1084.5362325904248</v>
      </c>
      <c r="Z29" s="828"/>
      <c r="AA29" s="830">
        <v>0</v>
      </c>
      <c r="AB29" s="831"/>
      <c r="AC29" s="828">
        <f t="shared" si="4"/>
        <v>1750.9097041722159</v>
      </c>
      <c r="AE29" s="802" t="s">
        <v>829</v>
      </c>
      <c r="AG29" s="810"/>
      <c r="AH29" s="804"/>
    </row>
    <row r="30" spans="2:37">
      <c r="B30" s="802">
        <f t="shared" ca="1" si="5"/>
        <v>22</v>
      </c>
      <c r="C30" s="801"/>
      <c r="D30" s="827">
        <v>2.1799999999999962</v>
      </c>
      <c r="E30" s="801"/>
      <c r="F30" s="802" t="str">
        <f>+INDEX('Exh. No. BGM-3 4'!$7:$7&amp;" "&amp;'Exh. No. BGM-3 4'!$8:$8&amp;" "&amp;'Exh. No. BGM-3 4'!$9:$9,1,MATCH(D30,'Exh. No. BGM-3 4'!$10:$10,0))</f>
        <v>Authorized  Power Supply</v>
      </c>
      <c r="G30" s="804"/>
      <c r="I30" s="836">
        <v>-7696</v>
      </c>
      <c r="J30" s="826"/>
      <c r="K30" s="836">
        <v>0</v>
      </c>
      <c r="L30" s="826"/>
      <c r="M30" s="836">
        <f t="shared" si="6"/>
        <v>12424.666579487353</v>
      </c>
      <c r="O30" s="805"/>
      <c r="P30" s="836">
        <f t="shared" si="7"/>
        <v>-7696</v>
      </c>
      <c r="Q30" s="828"/>
      <c r="R30" s="836">
        <f t="shared" si="8"/>
        <v>0</v>
      </c>
      <c r="S30" s="828"/>
      <c r="T30" s="836">
        <f t="shared" si="2"/>
        <v>12424.666579487353</v>
      </c>
      <c r="W30" s="836">
        <v>0</v>
      </c>
      <c r="X30" s="828"/>
      <c r="Y30" s="836">
        <f t="shared" si="9"/>
        <v>0</v>
      </c>
      <c r="Z30" s="828"/>
      <c r="AA30" s="836">
        <v>0</v>
      </c>
      <c r="AB30" s="831"/>
      <c r="AC30" s="836">
        <f t="shared" si="4"/>
        <v>0</v>
      </c>
      <c r="AE30" s="802" t="s">
        <v>820</v>
      </c>
      <c r="AG30" s="810"/>
      <c r="AH30" s="804"/>
    </row>
    <row r="31" spans="2:37">
      <c r="C31" s="801"/>
      <c r="D31" s="801"/>
      <c r="E31" s="801"/>
      <c r="F31" s="826"/>
      <c r="G31" s="804"/>
      <c r="I31" s="826"/>
      <c r="J31" s="826"/>
      <c r="K31" s="826"/>
      <c r="L31" s="826"/>
      <c r="M31" s="828"/>
      <c r="O31" s="805"/>
      <c r="P31" s="826"/>
      <c r="Q31" s="826"/>
      <c r="R31" s="826"/>
      <c r="S31" s="826"/>
      <c r="T31" s="828"/>
      <c r="W31" s="826"/>
      <c r="X31" s="802"/>
      <c r="Y31" s="826"/>
      <c r="Z31" s="826"/>
      <c r="AA31" s="826"/>
      <c r="AB31" s="826"/>
      <c r="AC31" s="828"/>
      <c r="AE31" s="802"/>
      <c r="AG31" s="810"/>
      <c r="AH31" s="804"/>
    </row>
    <row r="32" spans="2:37">
      <c r="B32" s="802">
        <f t="shared" ca="1" si="5"/>
        <v>23</v>
      </c>
      <c r="C32" s="801"/>
      <c r="D32" s="801"/>
      <c r="E32" s="801"/>
      <c r="F32" s="801" t="s">
        <v>813</v>
      </c>
      <c r="G32" s="804"/>
      <c r="I32" s="826">
        <f>+SUM(I$7:I$31)</f>
        <v>108162.55100000002</v>
      </c>
      <c r="J32" s="826"/>
      <c r="K32" s="826">
        <f>+SUM(K$7:K$31)</f>
        <v>1442726</v>
      </c>
      <c r="L32" s="826"/>
      <c r="M32" s="826">
        <f>+($K32*$AK$12-$I32)/$AI$4</f>
        <v>-9714.9239683377855</v>
      </c>
      <c r="O32" s="805"/>
      <c r="P32" s="826">
        <f>+SUM(P$7:P$31)</f>
        <v>107078.01476740959</v>
      </c>
      <c r="Q32" s="826"/>
      <c r="R32" s="826">
        <f>+SUM(R$7:R$31)</f>
        <v>1442726</v>
      </c>
      <c r="S32" s="826"/>
      <c r="T32" s="826">
        <f>+SUM(T$7:T$31)</f>
        <v>-7964.0142641655384</v>
      </c>
      <c r="W32" s="826">
        <f>+SUM(W$7:W$31)</f>
        <v>0</v>
      </c>
      <c r="X32" s="826"/>
      <c r="Y32" s="826">
        <f>+SUM(Y$7:Y$31)</f>
        <v>-1084.5362325904248</v>
      </c>
      <c r="Z32" s="826"/>
      <c r="AA32" s="826">
        <f>+SUM(AA$7:AA$31)</f>
        <v>0</v>
      </c>
      <c r="AB32" s="826"/>
      <c r="AC32" s="826">
        <f>+SUM(AC$7:AC$31)</f>
        <v>1750.9097041722159</v>
      </c>
      <c r="AE32" s="802"/>
      <c r="AG32" s="810"/>
      <c r="AH32" s="804"/>
    </row>
    <row r="33" spans="2:34">
      <c r="G33" s="804"/>
      <c r="W33" s="802"/>
      <c r="X33" s="802"/>
      <c r="Y33" s="802"/>
      <c r="Z33" s="802"/>
      <c r="AA33" s="802"/>
      <c r="AE33" s="802"/>
      <c r="AG33" s="810"/>
      <c r="AH33" s="804"/>
    </row>
    <row r="34" spans="2:34">
      <c r="B34" s="829" t="s">
        <v>311</v>
      </c>
      <c r="D34" s="827"/>
      <c r="G34" s="804"/>
      <c r="W34" s="828"/>
      <c r="X34" s="828"/>
      <c r="Y34" s="828"/>
      <c r="Z34" s="828"/>
      <c r="AA34" s="828"/>
      <c r="AB34" s="831"/>
      <c r="AC34" s="831"/>
      <c r="AE34" s="802"/>
      <c r="AG34" s="810"/>
      <c r="AH34" s="804"/>
    </row>
    <row r="35" spans="2:34">
      <c r="B35" s="802">
        <f t="shared" ca="1" si="5"/>
        <v>24</v>
      </c>
      <c r="D35" s="827">
        <v>3.01</v>
      </c>
      <c r="F35" s="802" t="str">
        <f>+INDEX('Exh. No. BGM-3 4'!$7:$7&amp;" "&amp;'Exh. No. BGM-3 4'!$8:$8&amp;" "&amp;'Exh. No. BGM-3 4'!$9:$9,1,MATCH(D35,'Exh. No. BGM-3 4'!$10:$10,0))</f>
        <v>Pro Forma  Trans/Power Sup Non-ERM Rev/Exp</v>
      </c>
      <c r="G35" s="804"/>
      <c r="I35" s="828">
        <v>-65.650000000000006</v>
      </c>
      <c r="J35" s="826"/>
      <c r="K35" s="828">
        <v>0</v>
      </c>
      <c r="L35" s="826"/>
      <c r="M35" s="830">
        <f t="shared" ref="M35:M49" si="10">+($K35*$AK$12-$I35)/$AI$4</f>
        <v>105.98744295001882</v>
      </c>
      <c r="P35" s="828">
        <f t="shared" ref="P35:P47" si="11">+I35+Y35</f>
        <v>-65.650000000000006</v>
      </c>
      <c r="Q35" s="828"/>
      <c r="R35" s="828">
        <f t="shared" ref="R35:R47" si="12">+K35+AA35</f>
        <v>0</v>
      </c>
      <c r="S35" s="828"/>
      <c r="T35" s="828">
        <f t="shared" ref="T35:T49" si="13">+($R35*$AK$12-$P35)/$AI$4</f>
        <v>105.98744295001882</v>
      </c>
      <c r="W35" s="830">
        <v>0</v>
      </c>
      <c r="X35" s="828"/>
      <c r="Y35" s="830">
        <f t="shared" ref="Y35:Y43" si="14">+W35*(1-$AI$5)+$AA35*$AK$12*$AI$5</f>
        <v>0</v>
      </c>
      <c r="Z35" s="828"/>
      <c r="AA35" s="828">
        <v>0</v>
      </c>
      <c r="AB35" s="831"/>
      <c r="AC35" s="828">
        <f t="shared" ref="AC35:AC49" si="15">+($AA35*$AK$12-$Y35)/$AI$4</f>
        <v>0</v>
      </c>
      <c r="AE35" s="802" t="s">
        <v>820</v>
      </c>
      <c r="AG35" s="810"/>
      <c r="AH35" s="804"/>
    </row>
    <row r="36" spans="2:34">
      <c r="B36" s="802">
        <f t="shared" ca="1" si="5"/>
        <v>25</v>
      </c>
      <c r="D36" s="827">
        <v>3.0199999999999996</v>
      </c>
      <c r="F36" s="802" t="str">
        <f>+INDEX('Exh. No. BGM-3 4'!$7:$7&amp;" "&amp;'Exh. No. BGM-3 4'!$8:$8&amp;" "&amp;'Exh. No. BGM-3 4'!$9:$9,1,MATCH(D36,'Exh. No. BGM-3 4'!$10:$10,0))</f>
        <v>Pro Forma  Labor Non-Exec</v>
      </c>
      <c r="G36" s="804"/>
      <c r="I36" s="828">
        <v>-1861.6</v>
      </c>
      <c r="J36" s="826"/>
      <c r="K36" s="828">
        <v>0</v>
      </c>
      <c r="L36" s="826"/>
      <c r="M36" s="830">
        <f t="shared" si="10"/>
        <v>3005.4261050381569</v>
      </c>
      <c r="P36" s="828">
        <f t="shared" si="11"/>
        <v>-1167.1022999999998</v>
      </c>
      <c r="Q36" s="828"/>
      <c r="R36" s="828">
        <f t="shared" si="12"/>
        <v>0</v>
      </c>
      <c r="S36" s="828"/>
      <c r="T36" s="828">
        <f t="shared" si="13"/>
        <v>1884.2069830629964</v>
      </c>
      <c r="W36" s="830">
        <f>+'[4]Washington Electric PF'!$K$125/1000</f>
        <v>1068.4580000000001</v>
      </c>
      <c r="X36" s="828"/>
      <c r="Y36" s="830">
        <f t="shared" si="14"/>
        <v>694.49770000000012</v>
      </c>
      <c r="Z36" s="828"/>
      <c r="AA36" s="828">
        <v>0</v>
      </c>
      <c r="AB36" s="831"/>
      <c r="AC36" s="828">
        <f t="shared" si="15"/>
        <v>-1121.2191219751605</v>
      </c>
      <c r="AE36" s="802" t="s">
        <v>821</v>
      </c>
      <c r="AG36" s="810"/>
      <c r="AH36" s="804"/>
    </row>
    <row r="37" spans="2:34">
      <c r="B37" s="802">
        <f t="shared" ca="1" si="5"/>
        <v>26</v>
      </c>
      <c r="D37" s="827">
        <v>3.0299999999999994</v>
      </c>
      <c r="F37" s="802" t="str">
        <f>+INDEX('Exh. No. BGM-3 4'!$7:$7&amp;" "&amp;'Exh. No. BGM-3 4'!$8:$8&amp;" "&amp;'Exh. No. BGM-3 4'!$9:$9,1,MATCH(D37,'Exh. No. BGM-3 4'!$10:$10,0))</f>
        <v>Pro Forma  Labor Exec</v>
      </c>
      <c r="G37" s="804"/>
      <c r="I37" s="828">
        <v>21.450000000000003</v>
      </c>
      <c r="J37" s="826"/>
      <c r="K37" s="828">
        <v>0</v>
      </c>
      <c r="L37" s="826"/>
      <c r="M37" s="830">
        <f t="shared" si="10"/>
        <v>-34.62956056782793</v>
      </c>
      <c r="P37" s="828">
        <f t="shared" si="11"/>
        <v>21.450000000000003</v>
      </c>
      <c r="Q37" s="828"/>
      <c r="R37" s="828">
        <f t="shared" si="12"/>
        <v>0</v>
      </c>
      <c r="S37" s="828"/>
      <c r="T37" s="828">
        <f t="shared" si="13"/>
        <v>-34.62956056782793</v>
      </c>
      <c r="W37" s="830">
        <v>0</v>
      </c>
      <c r="X37" s="828"/>
      <c r="Y37" s="830">
        <f t="shared" si="14"/>
        <v>0</v>
      </c>
      <c r="Z37" s="828"/>
      <c r="AA37" s="828">
        <v>0</v>
      </c>
      <c r="AB37" s="831"/>
      <c r="AC37" s="828">
        <f t="shared" si="15"/>
        <v>0</v>
      </c>
      <c r="AE37" s="802" t="s">
        <v>820</v>
      </c>
      <c r="AG37" s="810"/>
      <c r="AH37" s="804"/>
    </row>
    <row r="38" spans="2:34">
      <c r="B38" s="802">
        <f t="shared" ca="1" si="5"/>
        <v>27</v>
      </c>
      <c r="D38" s="827">
        <v>3.0399999999999991</v>
      </c>
      <c r="F38" s="802" t="str">
        <f>+INDEX('Exh. No. BGM-3 4'!$7:$7&amp;" "&amp;'Exh. No. BGM-3 4'!$8:$8&amp;" "&amp;'Exh. No. BGM-3 4'!$9:$9,1,MATCH(D38,'Exh. No. BGM-3 4'!$10:$10,0))</f>
        <v>Pro Forma  Employee  Benefits</v>
      </c>
      <c r="G38" s="804"/>
      <c r="I38" s="828">
        <v>234</v>
      </c>
      <c r="J38" s="826"/>
      <c r="K38" s="828">
        <v>0</v>
      </c>
      <c r="L38" s="826"/>
      <c r="M38" s="830">
        <f t="shared" si="10"/>
        <v>-377.77702437630467</v>
      </c>
      <c r="P38" s="828">
        <f t="shared" si="11"/>
        <v>234</v>
      </c>
      <c r="Q38" s="828"/>
      <c r="R38" s="828">
        <f t="shared" si="12"/>
        <v>0</v>
      </c>
      <c r="S38" s="828"/>
      <c r="T38" s="828">
        <f t="shared" si="13"/>
        <v>-377.77702437630467</v>
      </c>
      <c r="W38" s="830">
        <v>0</v>
      </c>
      <c r="X38" s="828"/>
      <c r="Y38" s="830">
        <f t="shared" si="14"/>
        <v>0</v>
      </c>
      <c r="Z38" s="839"/>
      <c r="AA38" s="839">
        <v>0</v>
      </c>
      <c r="AB38" s="831"/>
      <c r="AC38" s="828">
        <f t="shared" si="15"/>
        <v>0</v>
      </c>
      <c r="AE38" s="802" t="s">
        <v>820</v>
      </c>
      <c r="AG38" s="810"/>
      <c r="AH38" s="804"/>
    </row>
    <row r="39" spans="2:34">
      <c r="B39" s="802">
        <f t="shared" ca="1" si="5"/>
        <v>28</v>
      </c>
      <c r="D39" s="827">
        <v>3.0499999999999989</v>
      </c>
      <c r="F39" s="802" t="str">
        <f>+INDEX('Exh. No. BGM-3 4'!$7:$7&amp;" "&amp;'Exh. No. BGM-3 4'!$8:$8&amp;" "&amp;'Exh. No. BGM-3 4'!$9:$9,1,MATCH(D39,'Exh. No. BGM-3 4'!$10:$10,0))</f>
        <v>Pro Forma  Incentive Expenses</v>
      </c>
      <c r="G39" s="804"/>
      <c r="I39" s="828">
        <v>-77.349999999999994</v>
      </c>
      <c r="J39" s="826"/>
      <c r="K39" s="828">
        <v>0</v>
      </c>
      <c r="L39" s="826"/>
      <c r="M39" s="830">
        <f t="shared" si="10"/>
        <v>124.87629416883404</v>
      </c>
      <c r="P39" s="828">
        <f t="shared" si="11"/>
        <v>-77.349999999999994</v>
      </c>
      <c r="Q39" s="828"/>
      <c r="R39" s="828">
        <f t="shared" si="12"/>
        <v>0</v>
      </c>
      <c r="S39" s="828"/>
      <c r="T39" s="828">
        <f t="shared" si="13"/>
        <v>124.87629416883404</v>
      </c>
      <c r="W39" s="830">
        <v>0</v>
      </c>
      <c r="X39" s="828"/>
      <c r="Y39" s="830">
        <f t="shared" si="14"/>
        <v>0</v>
      </c>
      <c r="Z39" s="839"/>
      <c r="AA39" s="839">
        <v>0</v>
      </c>
      <c r="AB39" s="831"/>
      <c r="AC39" s="828">
        <f t="shared" si="15"/>
        <v>0</v>
      </c>
      <c r="AE39" s="802" t="s">
        <v>820</v>
      </c>
      <c r="AG39" s="810"/>
      <c r="AH39" s="804"/>
    </row>
    <row r="40" spans="2:34">
      <c r="B40" s="802">
        <f t="shared" ca="1" si="5"/>
        <v>29</v>
      </c>
      <c r="D40" s="827">
        <v>3.0599999999999987</v>
      </c>
      <c r="F40" s="802" t="str">
        <f>+INDEX('Exh. No. BGM-3 4'!$7:$7&amp;" "&amp;'Exh. No. BGM-3 4'!$8:$8&amp;" "&amp;'Exh. No. BGM-3 4'!$9:$9,1,MATCH(D40,'Exh. No. BGM-3 4'!$10:$10,0))</f>
        <v>Pro Forma  Property Tax</v>
      </c>
      <c r="G40" s="804"/>
      <c r="I40" s="828">
        <v>-1597.7</v>
      </c>
      <c r="J40" s="826"/>
      <c r="K40" s="828">
        <v>0</v>
      </c>
      <c r="L40" s="826"/>
      <c r="M40" s="830">
        <f t="shared" si="10"/>
        <v>2579.377571991547</v>
      </c>
      <c r="P40" s="828">
        <f t="shared" si="11"/>
        <v>-1597.7</v>
      </c>
      <c r="Q40" s="828"/>
      <c r="R40" s="828">
        <f t="shared" si="12"/>
        <v>0</v>
      </c>
      <c r="S40" s="828"/>
      <c r="T40" s="828">
        <f t="shared" si="13"/>
        <v>2579.377571991547</v>
      </c>
      <c r="W40" s="830">
        <v>0</v>
      </c>
      <c r="X40" s="828"/>
      <c r="Y40" s="830">
        <f t="shared" si="14"/>
        <v>0</v>
      </c>
      <c r="Z40" s="839"/>
      <c r="AA40" s="839">
        <f>+INDEX('[3]ADJ DETAIL-INPUT'!$80:$80,1,MATCH(D40,'[3]ADJ DETAIL-INPUT'!$10:$10,0))-K40</f>
        <v>0</v>
      </c>
      <c r="AB40" s="831"/>
      <c r="AC40" s="828">
        <f t="shared" si="15"/>
        <v>0</v>
      </c>
      <c r="AE40" s="802" t="s">
        <v>820</v>
      </c>
      <c r="AG40" s="810"/>
      <c r="AH40" s="804"/>
    </row>
    <row r="41" spans="2:34">
      <c r="B41" s="802">
        <f t="shared" ca="1" si="5"/>
        <v>30</v>
      </c>
      <c r="D41" s="827">
        <v>3.0699999999999985</v>
      </c>
      <c r="F41" s="802" t="str">
        <f>+INDEX('Exh. No. BGM-3 4'!$7:$7&amp;" "&amp;'Exh. No. BGM-3 4'!$8:$8&amp;" "&amp;'Exh. No. BGM-3 4'!$9:$9,1,MATCH(D41,'Exh. No. BGM-3 4'!$10:$10,0))</f>
        <v>Pro Forma  IS/IT Expense</v>
      </c>
      <c r="G41" s="804"/>
      <c r="I41" s="828">
        <v>-451.1</v>
      </c>
      <c r="J41" s="826"/>
      <c r="K41" s="828">
        <v>0</v>
      </c>
      <c r="L41" s="826"/>
      <c r="M41" s="830">
        <f t="shared" si="10"/>
        <v>728.27015254765399</v>
      </c>
      <c r="P41" s="828">
        <f t="shared" si="11"/>
        <v>-451.1</v>
      </c>
      <c r="Q41" s="828"/>
      <c r="R41" s="828">
        <f t="shared" si="12"/>
        <v>0</v>
      </c>
      <c r="S41" s="828"/>
      <c r="T41" s="828">
        <f t="shared" si="13"/>
        <v>728.27015254765399</v>
      </c>
      <c r="W41" s="830">
        <v>0</v>
      </c>
      <c r="X41" s="828"/>
      <c r="Y41" s="830">
        <f t="shared" si="14"/>
        <v>0</v>
      </c>
      <c r="Z41" s="839"/>
      <c r="AA41" s="839">
        <f>+INDEX('[3]ADJ DETAIL-INPUT'!$80:$80,1,MATCH(D41,'[3]ADJ DETAIL-INPUT'!$10:$10,0))-K41</f>
        <v>0</v>
      </c>
      <c r="AB41" s="831"/>
      <c r="AC41" s="828">
        <f t="shared" si="15"/>
        <v>0</v>
      </c>
      <c r="AE41" s="802" t="s">
        <v>820</v>
      </c>
      <c r="AG41" s="810"/>
      <c r="AH41" s="804"/>
    </row>
    <row r="42" spans="2:34">
      <c r="B42" s="802">
        <f t="shared" ca="1" si="5"/>
        <v>31</v>
      </c>
      <c r="D42" s="827">
        <v>3.0799999999999983</v>
      </c>
      <c r="F42" s="802" t="str">
        <f>+INDEX('Exh. No. BGM-3 4'!$7:$7&amp;" "&amp;'Exh. No. BGM-3 4'!$8:$8&amp;" "&amp;'Exh. No. BGM-3 4'!$9:$9,1,MATCH(D42,'Exh. No. BGM-3 4'!$10:$10,0))</f>
        <v>Pro Forma Revenue  Normalization</v>
      </c>
      <c r="G42" s="804"/>
      <c r="I42" s="828">
        <v>-3285.75</v>
      </c>
      <c r="J42" s="826"/>
      <c r="K42" s="828">
        <v>0</v>
      </c>
      <c r="L42" s="826"/>
      <c r="M42" s="830">
        <f t="shared" si="10"/>
        <v>5304.6190506172779</v>
      </c>
      <c r="P42" s="828">
        <f t="shared" si="11"/>
        <v>-3285.75</v>
      </c>
      <c r="Q42" s="828"/>
      <c r="R42" s="828">
        <f t="shared" si="12"/>
        <v>0</v>
      </c>
      <c r="S42" s="828"/>
      <c r="T42" s="828">
        <f t="shared" si="13"/>
        <v>5304.6190506172779</v>
      </c>
      <c r="W42" s="830">
        <v>0</v>
      </c>
      <c r="X42" s="828"/>
      <c r="Y42" s="830">
        <f t="shared" si="14"/>
        <v>0</v>
      </c>
      <c r="Z42" s="839"/>
      <c r="AA42" s="839">
        <v>0</v>
      </c>
      <c r="AB42" s="831"/>
      <c r="AC42" s="828">
        <f t="shared" si="15"/>
        <v>0</v>
      </c>
      <c r="AE42" s="802" t="s">
        <v>820</v>
      </c>
      <c r="AG42" s="810"/>
      <c r="AH42" s="804"/>
    </row>
    <row r="43" spans="2:34">
      <c r="B43" s="802">
        <f t="shared" ca="1" si="5"/>
        <v>32</v>
      </c>
      <c r="D43" s="827">
        <v>3.0899999999999981</v>
      </c>
      <c r="F43" s="802" t="str">
        <f>+INDEX('Exh. No. BGM-3 4'!$7:$7&amp;" "&amp;'Exh. No. BGM-3 4'!$8:$8&amp;" "&amp;'Exh. No. BGM-3 4'!$9:$9,1,MATCH(D43,'Exh. No. BGM-3 4'!$10:$10,0))</f>
        <v>Pro Forma  Def. Debits, Credits &amp; Regulatory Amorts</v>
      </c>
      <c r="G43" s="804"/>
      <c r="I43" s="828">
        <v>1012.9494300000001</v>
      </c>
      <c r="J43" s="826"/>
      <c r="K43" s="828">
        <v>-5346</v>
      </c>
      <c r="L43" s="826"/>
      <c r="M43" s="830">
        <f t="shared" si="10"/>
        <v>-2246.3949416625096</v>
      </c>
      <c r="P43" s="828">
        <f t="shared" si="11"/>
        <v>1012.9494300000001</v>
      </c>
      <c r="Q43" s="828"/>
      <c r="R43" s="828">
        <f t="shared" si="12"/>
        <v>-5346</v>
      </c>
      <c r="S43" s="828"/>
      <c r="T43" s="828">
        <f t="shared" si="13"/>
        <v>-2246.3949416625096</v>
      </c>
      <c r="W43" s="830">
        <v>0</v>
      </c>
      <c r="X43" s="828"/>
      <c r="Y43" s="830">
        <f t="shared" si="14"/>
        <v>0</v>
      </c>
      <c r="Z43" s="839"/>
      <c r="AA43" s="839">
        <v>0</v>
      </c>
      <c r="AB43" s="831"/>
      <c r="AC43" s="828">
        <f t="shared" si="15"/>
        <v>0</v>
      </c>
      <c r="AE43" s="802" t="s">
        <v>820</v>
      </c>
      <c r="AG43" s="810"/>
      <c r="AH43" s="804"/>
    </row>
    <row r="44" spans="2:34">
      <c r="B44" s="802">
        <f t="shared" ca="1" si="5"/>
        <v>33</v>
      </c>
      <c r="D44" s="827">
        <v>3.0999999999999979</v>
      </c>
      <c r="F44" s="802" t="str">
        <f>+INDEX('Exh. No. BGM-3 4'!$7:$7&amp;" "&amp;'Exh. No. BGM-3 4'!$8:$8&amp;" "&amp;'Exh. No. BGM-3 4'!$9:$9,1,MATCH(D44,'Exh. No. BGM-3 4'!$10:$10,0))</f>
        <v>Pro Forma  2017 Threshhold Capital Adds</v>
      </c>
      <c r="G44" s="804"/>
      <c r="I44" s="828">
        <v>-1742.9690050000002</v>
      </c>
      <c r="J44" s="826"/>
      <c r="K44" s="828">
        <v>34911</v>
      </c>
      <c r="L44" s="826"/>
      <c r="M44" s="830">
        <f t="shared" si="10"/>
        <v>6804.2934278098783</v>
      </c>
      <c r="P44" s="828">
        <f t="shared" si="11"/>
        <v>266.83099500000003</v>
      </c>
      <c r="Q44" s="828"/>
      <c r="R44" s="828">
        <f t="shared" si="12"/>
        <v>5565.2580658272636</v>
      </c>
      <c r="S44" s="828"/>
      <c r="T44" s="828">
        <f t="shared" si="13"/>
        <v>205.33840274674611</v>
      </c>
      <c r="W44" s="830">
        <f>+'[5]E-CAP SUMMARY'!$Q$18</f>
        <v>3092</v>
      </c>
      <c r="X44" s="828"/>
      <c r="Y44" s="830">
        <f>+W44*(1-$AI$5)</f>
        <v>2009.8000000000002</v>
      </c>
      <c r="Z44" s="839"/>
      <c r="AA44" s="839">
        <f>+'[5]E-CAP SUMMARY'!$Q$48</f>
        <v>-29345.741934172736</v>
      </c>
      <c r="AB44" s="831"/>
      <c r="AC44" s="828">
        <f t="shared" si="15"/>
        <v>-6598.9550250631319</v>
      </c>
      <c r="AE44" s="802" t="s">
        <v>821</v>
      </c>
      <c r="AG44" s="810"/>
      <c r="AH44" s="804"/>
    </row>
    <row r="45" spans="2:34">
      <c r="B45" s="802">
        <f t="shared" ca="1" si="5"/>
        <v>34</v>
      </c>
      <c r="D45" s="827">
        <v>3.1099999999999977</v>
      </c>
      <c r="F45" s="802" t="str">
        <f>+INDEX('Exh. No. BGM-3 4'!$7:$7&amp;" "&amp;'Exh. No. BGM-3 4'!$8:$8&amp;" "&amp;'Exh. No. BGM-3 4'!$9:$9,1,MATCH(D45,'Exh. No. BGM-3 4'!$10:$10,0))</f>
        <v>Pro Forma  O&amp;M   Offsets</v>
      </c>
      <c r="G45" s="804"/>
      <c r="I45" s="828">
        <v>641.54999999999995</v>
      </c>
      <c r="J45" s="826"/>
      <c r="K45" s="828">
        <v>0</v>
      </c>
      <c r="L45" s="826"/>
      <c r="M45" s="830">
        <f t="shared" si="10"/>
        <v>-1035.7386751650351</v>
      </c>
      <c r="P45" s="828">
        <f t="shared" si="11"/>
        <v>641.54999999999995</v>
      </c>
      <c r="Q45" s="828"/>
      <c r="R45" s="828">
        <f t="shared" si="12"/>
        <v>0</v>
      </c>
      <c r="S45" s="828"/>
      <c r="T45" s="828">
        <f t="shared" si="13"/>
        <v>-1035.7386751650351</v>
      </c>
      <c r="W45" s="830">
        <v>0</v>
      </c>
      <c r="X45" s="828"/>
      <c r="Y45" s="830">
        <f t="shared" ref="Y45:Y49" si="16">+W45*(1-$AI$5)+$AA45*$AK$12*$AI$5</f>
        <v>0</v>
      </c>
      <c r="Z45" s="839"/>
      <c r="AA45" s="839">
        <f>+INDEX('[3]ADJ DETAIL-INPUT'!$80:$80,1,MATCH(D45,'[3]ADJ DETAIL-INPUT'!$10:$10,0))-K45</f>
        <v>0</v>
      </c>
      <c r="AB45" s="831"/>
      <c r="AC45" s="828">
        <f t="shared" si="15"/>
        <v>0</v>
      </c>
      <c r="AE45" s="802" t="s">
        <v>820</v>
      </c>
      <c r="AG45" s="810"/>
      <c r="AH45" s="804"/>
    </row>
    <row r="46" spans="2:34">
      <c r="B46" s="802">
        <f t="shared" ca="1" si="5"/>
        <v>35</v>
      </c>
      <c r="D46" s="827">
        <v>3.1199999999999974</v>
      </c>
      <c r="F46" s="802" t="str">
        <f>+INDEX('Exh. No. BGM-3 4'!$7:$7&amp;" "&amp;'Exh. No. BGM-3 4'!$8:$8&amp;" "&amp;'Exh. No. BGM-3 4'!$9:$9,1,MATCH(D46,'Exh. No. BGM-3 4'!$10:$10,0))</f>
        <v>Pro Forma  Director  Fees Exp</v>
      </c>
      <c r="G46" s="804"/>
      <c r="I46" s="828">
        <v>-243.75</v>
      </c>
      <c r="J46" s="826"/>
      <c r="K46" s="828">
        <v>0</v>
      </c>
      <c r="L46" s="826"/>
      <c r="M46" s="830">
        <f t="shared" si="10"/>
        <v>393.51773372531738</v>
      </c>
      <c r="P46" s="828">
        <f t="shared" si="11"/>
        <v>0</v>
      </c>
      <c r="Q46" s="828"/>
      <c r="R46" s="828">
        <f t="shared" si="12"/>
        <v>0</v>
      </c>
      <c r="S46" s="828"/>
      <c r="T46" s="828">
        <f t="shared" si="13"/>
        <v>0</v>
      </c>
      <c r="W46" s="830">
        <v>375</v>
      </c>
      <c r="X46" s="828"/>
      <c r="Y46" s="830">
        <f t="shared" si="16"/>
        <v>243.75</v>
      </c>
      <c r="Z46" s="839"/>
      <c r="AA46" s="839">
        <f>+INDEX('[3]ADJ DETAIL-INPUT'!$80:$80,1,MATCH(D46,'[3]ADJ DETAIL-INPUT'!$10:$10,0))-K46</f>
        <v>0</v>
      </c>
      <c r="AB46" s="831"/>
      <c r="AC46" s="828">
        <f t="shared" si="15"/>
        <v>-393.51773372531738</v>
      </c>
      <c r="AE46" s="802" t="s">
        <v>821</v>
      </c>
      <c r="AG46" s="810"/>
      <c r="AH46" s="804"/>
    </row>
    <row r="47" spans="2:34">
      <c r="B47" s="802">
        <f t="shared" ca="1" si="5"/>
        <v>36</v>
      </c>
      <c r="D47" s="827">
        <v>3.1299999999999972</v>
      </c>
      <c r="F47" s="802" t="str">
        <f>+INDEX('Exh. No. BGM-3 4'!$7:$7&amp;" "&amp;'Exh. No. BGM-3 4'!$8:$8&amp;" "&amp;'Exh. No. BGM-3 4'!$9:$9,1,MATCH(D47,'Exh. No. BGM-3 4'!$10:$10,0))</f>
        <v>PF Normalize CS2/Colstrip Major Maint</v>
      </c>
      <c r="G47" s="804"/>
      <c r="I47" s="828">
        <v>-225.55</v>
      </c>
      <c r="J47" s="826"/>
      <c r="K47" s="828">
        <v>0</v>
      </c>
      <c r="L47" s="826"/>
      <c r="M47" s="830">
        <f t="shared" si="10"/>
        <v>364.135076273827</v>
      </c>
      <c r="P47" s="830">
        <f t="shared" si="11"/>
        <v>-225.55</v>
      </c>
      <c r="Q47" s="830"/>
      <c r="R47" s="830">
        <f t="shared" si="12"/>
        <v>0</v>
      </c>
      <c r="S47" s="830"/>
      <c r="T47" s="830">
        <f t="shared" si="13"/>
        <v>364.135076273827</v>
      </c>
      <c r="W47" s="830">
        <v>0</v>
      </c>
      <c r="X47" s="828"/>
      <c r="Y47" s="830">
        <f t="shared" si="16"/>
        <v>0</v>
      </c>
      <c r="Z47" s="839"/>
      <c r="AA47" s="839">
        <v>0</v>
      </c>
      <c r="AB47" s="831"/>
      <c r="AC47" s="828">
        <f t="shared" si="15"/>
        <v>0</v>
      </c>
      <c r="AE47" s="802" t="s">
        <v>820</v>
      </c>
      <c r="AG47" s="810"/>
      <c r="AH47" s="804"/>
    </row>
    <row r="48" spans="2:34">
      <c r="B48" s="802">
        <f t="shared" ca="1" si="5"/>
        <v>37</v>
      </c>
      <c r="D48" s="827">
        <v>3.139999999999997</v>
      </c>
      <c r="F48" s="802" t="str">
        <f>+INDEX('Exh. No. BGM-3 4'!$7:$7&amp;" "&amp;'Exh. No. BGM-3 4'!$8:$8&amp;" "&amp;'Exh. No. BGM-3 4'!$9:$9,1,MATCH(D48,'Exh. No. BGM-3 4'!$10:$10,0))</f>
        <v>Pro Forma Underground Equip Inspection</v>
      </c>
      <c r="G48" s="804"/>
      <c r="I48" s="828">
        <v>-345.8</v>
      </c>
      <c r="J48" s="826"/>
      <c r="K48" s="828">
        <v>0</v>
      </c>
      <c r="L48" s="826"/>
      <c r="M48" s="830">
        <f t="shared" si="10"/>
        <v>558.27049157831686</v>
      </c>
      <c r="P48" s="830">
        <f t="shared" ref="P48:P49" si="17">+I48+Y48</f>
        <v>-345.8</v>
      </c>
      <c r="Q48" s="830"/>
      <c r="R48" s="830">
        <f t="shared" ref="R48:R49" si="18">+K48+AA48</f>
        <v>0</v>
      </c>
      <c r="S48" s="830"/>
      <c r="T48" s="830">
        <f t="shared" si="13"/>
        <v>558.27049157831686</v>
      </c>
      <c r="W48" s="830">
        <v>0</v>
      </c>
      <c r="X48" s="828"/>
      <c r="Y48" s="830">
        <f t="shared" si="16"/>
        <v>0</v>
      </c>
      <c r="Z48" s="839"/>
      <c r="AA48" s="839">
        <v>0</v>
      </c>
      <c r="AB48" s="831"/>
      <c r="AC48" s="828">
        <f t="shared" si="15"/>
        <v>0</v>
      </c>
      <c r="AE48" s="802" t="s">
        <v>820</v>
      </c>
      <c r="AG48" s="810"/>
      <c r="AH48" s="804"/>
    </row>
    <row r="49" spans="1:39">
      <c r="D49" s="827">
        <v>4</v>
      </c>
      <c r="F49" s="802" t="str">
        <f>+INDEX('Exh. No. BGM-3 4'!$7:$7&amp;" "&amp;'Exh. No. BGM-3 4'!$8:$8&amp;" "&amp;'Exh. No. BGM-3 4'!$9:$9,1,MATCH(D49,'Exh. No. BGM-3 4'!$10:$10,0))</f>
        <v>Pro Forma  Power Supply &amp; Transm Revs</v>
      </c>
      <c r="G49" s="804"/>
      <c r="I49" s="836">
        <v>-10287.549999999999</v>
      </c>
      <c r="J49" s="826"/>
      <c r="K49" s="836">
        <v>0</v>
      </c>
      <c r="L49" s="826"/>
      <c r="M49" s="836">
        <f t="shared" si="10"/>
        <v>16608.547124454926</v>
      </c>
      <c r="P49" s="836">
        <f t="shared" si="17"/>
        <v>0</v>
      </c>
      <c r="Q49" s="830"/>
      <c r="R49" s="836">
        <f t="shared" si="18"/>
        <v>0</v>
      </c>
      <c r="S49" s="830"/>
      <c r="T49" s="836">
        <f t="shared" si="13"/>
        <v>0</v>
      </c>
      <c r="W49" s="836">
        <v>15827</v>
      </c>
      <c r="X49" s="828"/>
      <c r="Y49" s="836">
        <f t="shared" si="16"/>
        <v>10287.550000000001</v>
      </c>
      <c r="Z49" s="839"/>
      <c r="AA49" s="840">
        <f>+INDEX('[3]ADJ DETAIL-INPUT'!$80:$80,1,MATCH(D49,'[3]ADJ DETAIL-INPUT'!$10:$10,0))-K49</f>
        <v>0</v>
      </c>
      <c r="AB49" s="831"/>
      <c r="AC49" s="836">
        <f t="shared" si="15"/>
        <v>-16608.54712445493</v>
      </c>
      <c r="AE49" s="802" t="s">
        <v>821</v>
      </c>
      <c r="AG49" s="810"/>
      <c r="AH49" s="804"/>
    </row>
    <row r="50" spans="1:39">
      <c r="D50" s="827"/>
      <c r="G50" s="804"/>
      <c r="I50" s="828"/>
      <c r="J50" s="828"/>
      <c r="K50" s="828"/>
      <c r="L50" s="828"/>
      <c r="M50" s="828"/>
      <c r="P50" s="828"/>
      <c r="Q50" s="828"/>
      <c r="R50" s="828"/>
      <c r="S50" s="828"/>
      <c r="T50" s="828"/>
      <c r="W50" s="831"/>
      <c r="X50" s="831"/>
      <c r="Y50" s="831"/>
      <c r="Z50" s="831"/>
      <c r="AA50" s="831"/>
      <c r="AB50" s="831"/>
      <c r="AC50" s="831"/>
      <c r="AG50" s="810"/>
      <c r="AH50" s="804"/>
    </row>
    <row r="51" spans="1:39" ht="13.5" thickBot="1">
      <c r="B51" s="802">
        <f t="shared" ca="1" si="5"/>
        <v>38</v>
      </c>
      <c r="D51" s="827"/>
      <c r="F51" s="801" t="s">
        <v>814</v>
      </c>
      <c r="G51" s="804"/>
      <c r="I51" s="837">
        <f>+SUM(I$32:I$50)</f>
        <v>89887.731424999991</v>
      </c>
      <c r="J51" s="828"/>
      <c r="K51" s="837">
        <f>+SUM(K$32:K$50)</f>
        <v>1472291</v>
      </c>
      <c r="L51" s="828"/>
      <c r="M51" s="837">
        <f>+SUM(M$32:M$50)</f>
        <v>23167.856301046293</v>
      </c>
      <c r="P51" s="837">
        <f>+SUM(P$32:P$50)</f>
        <v>102038.79289240958</v>
      </c>
      <c r="Q51" s="828"/>
      <c r="R51" s="837">
        <f>+SUM(R$32:R$50)</f>
        <v>1442945.2580658272</v>
      </c>
      <c r="S51" s="828"/>
      <c r="T51" s="837">
        <f>+SUM(T$32:T$50)</f>
        <v>196.52700000000237</v>
      </c>
      <c r="W51" s="837">
        <f>+SUM(W$32:W$50)</f>
        <v>20362.457999999999</v>
      </c>
      <c r="X51" s="831"/>
      <c r="Y51" s="837">
        <f>+SUM(Y$32:Y$50)</f>
        <v>12151.061467409576</v>
      </c>
      <c r="Z51" s="828"/>
      <c r="AA51" s="837">
        <f>+SUM(AA$32:AA$50)</f>
        <v>-29345.741934172736</v>
      </c>
      <c r="AB51" s="828"/>
      <c r="AC51" s="837">
        <f>+($AA51*$AK$12-$Y51)/$AI$4</f>
        <v>-22971.329301046324</v>
      </c>
      <c r="AG51" s="810"/>
      <c r="AH51" s="804"/>
    </row>
    <row r="52" spans="1:39" s="809" customFormat="1" ht="13.5" thickTop="1">
      <c r="A52" s="802"/>
      <c r="B52" s="802"/>
      <c r="C52" s="802"/>
      <c r="D52" s="802"/>
      <c r="E52" s="802"/>
      <c r="F52" s="802"/>
      <c r="H52" s="804"/>
      <c r="I52" s="802"/>
      <c r="J52" s="802"/>
      <c r="K52" s="802"/>
      <c r="L52" s="802"/>
      <c r="M52" s="802"/>
      <c r="O52" s="807"/>
      <c r="P52" s="802"/>
      <c r="Q52" s="802"/>
      <c r="R52" s="802"/>
      <c r="S52" s="802"/>
      <c r="T52" s="802"/>
      <c r="U52" s="802"/>
      <c r="V52" s="807"/>
      <c r="W52" s="831"/>
      <c r="X52" s="831"/>
      <c r="Y52" s="831"/>
      <c r="Z52" s="831"/>
      <c r="AA52" s="831"/>
      <c r="AB52" s="831"/>
      <c r="AC52" s="831"/>
      <c r="AI52" s="802"/>
      <c r="AJ52" s="802"/>
      <c r="AK52" s="802"/>
      <c r="AL52" s="802"/>
      <c r="AM52" s="802"/>
    </row>
    <row r="53" spans="1:39" s="809" customFormat="1" ht="13.5" thickBot="1">
      <c r="A53" s="802"/>
      <c r="B53" s="802"/>
      <c r="C53" s="802"/>
      <c r="D53" s="802"/>
      <c r="E53" s="802"/>
      <c r="F53" s="802"/>
      <c r="H53" s="804"/>
      <c r="I53" s="802"/>
      <c r="J53" s="802"/>
      <c r="K53" s="834" t="s">
        <v>815</v>
      </c>
      <c r="L53" s="834"/>
      <c r="M53" s="837">
        <v>37500.877322561792</v>
      </c>
      <c r="O53" s="807"/>
      <c r="P53" s="802"/>
      <c r="Q53" s="802"/>
      <c r="R53" s="834" t="s">
        <v>817</v>
      </c>
      <c r="S53" s="802"/>
      <c r="T53" s="837">
        <f>+'Exh. No. BGM-3 2'!E24</f>
        <v>196.52699999999999</v>
      </c>
      <c r="U53" s="802"/>
      <c r="V53" s="830">
        <f>+M53+M55</f>
        <v>23167.856301046293</v>
      </c>
      <c r="AI53" s="802"/>
      <c r="AJ53" s="802"/>
      <c r="AK53" s="802"/>
      <c r="AL53" s="802"/>
      <c r="AM53" s="802"/>
    </row>
    <row r="54" spans="1:39" s="809" customFormat="1" ht="13.5" thickTop="1">
      <c r="A54" s="802"/>
      <c r="B54" s="802"/>
      <c r="C54" s="802"/>
      <c r="D54" s="802"/>
      <c r="E54" s="802"/>
      <c r="F54" s="802"/>
      <c r="H54" s="804"/>
      <c r="I54" s="802"/>
      <c r="J54" s="802"/>
      <c r="K54" s="802"/>
      <c r="L54" s="802"/>
      <c r="M54" s="802"/>
      <c r="O54" s="807"/>
      <c r="P54" s="802"/>
      <c r="Q54" s="802"/>
      <c r="R54" s="802"/>
      <c r="S54" s="802"/>
      <c r="T54" s="828"/>
      <c r="U54" s="802"/>
      <c r="V54" s="807"/>
      <c r="AI54" s="802"/>
      <c r="AJ54" s="802"/>
      <c r="AK54" s="802"/>
      <c r="AL54" s="802"/>
      <c r="AM54" s="802"/>
    </row>
    <row r="55" spans="1:39" ht="13.5" thickBot="1">
      <c r="K55" s="802" t="s">
        <v>816</v>
      </c>
      <c r="M55" s="837">
        <f>+M51-M53</f>
        <v>-14333.021021515498</v>
      </c>
      <c r="R55" s="834" t="s">
        <v>93</v>
      </c>
      <c r="T55" s="837">
        <f>+T51-T53</f>
        <v>2.3874235921539366E-12</v>
      </c>
    </row>
    <row r="56" spans="1:39" ht="13.5" thickTop="1"/>
  </sheetData>
  <pageMargins left="0.25" right="0.25" top="1.5" bottom="0.75" header="0.8" footer="0.3"/>
  <pageSetup scale="75" orientation="portrait" r:id="rId1"/>
  <colBreaks count="1" manualBreakCount="1">
    <brk id="20" max="5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0"/>
  <sheetViews>
    <sheetView view="pageBreakPreview" zoomScaleNormal="100" zoomScaleSheetLayoutView="100" workbookViewId="0">
      <selection sqref="A1:H1"/>
    </sheetView>
  </sheetViews>
  <sheetFormatPr defaultColWidth="10.7109375" defaultRowHeight="12.75"/>
  <cols>
    <col min="1" max="1" width="8.28515625" style="410" customWidth="1"/>
    <col min="2" max="2" width="18.7109375" style="90" customWidth="1"/>
    <col min="3" max="4" width="10.7109375" style="68" customWidth="1"/>
    <col min="5" max="5" width="10.140625" style="68" customWidth="1"/>
    <col min="6" max="6" width="14.7109375" style="71" customWidth="1"/>
    <col min="7" max="7" width="11.85546875" style="68" bestFit="1" customWidth="1"/>
    <col min="8" max="8" width="2.140625" style="68" customWidth="1"/>
    <col min="9" max="9" width="18.42578125" style="68" customWidth="1"/>
    <col min="10" max="10" width="19.140625" style="68" customWidth="1"/>
    <col min="11" max="11" width="10.85546875" style="68" bestFit="1" customWidth="1"/>
    <col min="12" max="16384" width="10.7109375" style="68"/>
  </cols>
  <sheetData>
    <row r="1" spans="1:9">
      <c r="A1" s="868" t="s">
        <v>116</v>
      </c>
      <c r="B1" s="868"/>
      <c r="C1" s="868"/>
      <c r="D1" s="868"/>
      <c r="E1" s="868"/>
      <c r="F1" s="868"/>
      <c r="G1" s="868"/>
      <c r="H1" s="868"/>
    </row>
    <row r="2" spans="1:9">
      <c r="A2" s="869" t="s">
        <v>599</v>
      </c>
      <c r="B2" s="869"/>
      <c r="C2" s="869"/>
      <c r="D2" s="869"/>
      <c r="E2" s="869"/>
      <c r="F2" s="869"/>
      <c r="G2" s="869"/>
      <c r="H2" s="869"/>
    </row>
    <row r="3" spans="1:9">
      <c r="A3" s="869" t="s">
        <v>167</v>
      </c>
      <c r="B3" s="869"/>
      <c r="C3" s="869"/>
      <c r="D3" s="869"/>
      <c r="E3" s="869"/>
      <c r="F3" s="869"/>
      <c r="G3" s="869"/>
      <c r="H3" s="869"/>
    </row>
    <row r="4" spans="1:9">
      <c r="A4" s="870" t="str">
        <f>'ADJ SUMMARY'!A4</f>
        <v>TWELVE MONTHS ENDED DECEMBER 31, 2016</v>
      </c>
      <c r="B4" s="870"/>
      <c r="C4" s="870"/>
      <c r="D4" s="870"/>
      <c r="E4" s="870"/>
      <c r="F4" s="870"/>
      <c r="G4" s="870"/>
      <c r="H4" s="870"/>
    </row>
    <row r="5" spans="1:9">
      <c r="A5" s="871" t="s">
        <v>146</v>
      </c>
      <c r="B5" s="871"/>
      <c r="C5" s="871"/>
      <c r="D5" s="871"/>
      <c r="E5" s="871"/>
      <c r="F5" s="871"/>
      <c r="G5" s="871"/>
      <c r="H5" s="871"/>
    </row>
    <row r="6" spans="1:9" ht="13.5" thickBot="1">
      <c r="A6" s="409"/>
      <c r="B6" s="416"/>
      <c r="C6" s="69"/>
      <c r="D6" s="70"/>
      <c r="E6" s="70"/>
      <c r="F6" s="70"/>
      <c r="I6" s="72" t="s">
        <v>600</v>
      </c>
    </row>
    <row r="7" spans="1:9" ht="13.5" thickBot="1">
      <c r="C7" s="71"/>
      <c r="D7" s="71"/>
      <c r="E7" s="865" t="s">
        <v>599</v>
      </c>
      <c r="F7" s="866"/>
      <c r="G7" s="867"/>
      <c r="I7" s="72" t="s">
        <v>601</v>
      </c>
    </row>
    <row r="8" spans="1:9">
      <c r="C8" s="71"/>
      <c r="D8" s="71"/>
      <c r="E8" s="410">
        <f>'Exh. No. BGM-3 4'!Y10</f>
        <v>2.1699999999999964</v>
      </c>
      <c r="F8" s="440"/>
      <c r="G8" s="440"/>
      <c r="I8" s="72"/>
    </row>
    <row r="9" spans="1:9">
      <c r="C9" s="71"/>
      <c r="D9" s="71"/>
      <c r="E9" s="73" t="s">
        <v>25</v>
      </c>
      <c r="F9" s="72" t="s">
        <v>633</v>
      </c>
      <c r="I9" s="72" t="s">
        <v>602</v>
      </c>
    </row>
    <row r="10" spans="1:9">
      <c r="B10" s="417" t="s">
        <v>147</v>
      </c>
      <c r="C10" s="71"/>
      <c r="D10" s="71"/>
      <c r="E10" s="421" t="s">
        <v>301</v>
      </c>
      <c r="F10" s="74" t="s">
        <v>148</v>
      </c>
      <c r="G10" s="74" t="s">
        <v>33</v>
      </c>
      <c r="I10" s="74" t="str">
        <f>F10</f>
        <v>Adjustments</v>
      </c>
    </row>
    <row r="11" spans="1:9">
      <c r="A11" s="410">
        <v>1</v>
      </c>
      <c r="B11" s="90" t="str">
        <f>'ADJ SUMMARY'!C10</f>
        <v>Results of Operations</v>
      </c>
      <c r="C11" s="71"/>
      <c r="D11" s="71"/>
      <c r="E11" s="420">
        <f>'ADJ SUMMARY'!E10</f>
        <v>1444926</v>
      </c>
      <c r="F11" s="406"/>
      <c r="G11" s="68">
        <f>SUM(E11:F11)</f>
        <v>1444926</v>
      </c>
      <c r="I11" s="441">
        <f>ROUND(E11*$E$51*-$F$58,0)+(E55*0.35)</f>
        <v>202.69999999999891</v>
      </c>
    </row>
    <row r="12" spans="1:9">
      <c r="A12" s="410">
        <f>'ADJ SUMMARY'!A11</f>
        <v>1.01</v>
      </c>
      <c r="B12" s="418" t="str">
        <f>'ADJ SUMMARY'!C11</f>
        <v>Deferred FIT Rate Base</v>
      </c>
      <c r="C12" s="71"/>
      <c r="D12" s="71"/>
      <c r="E12" s="75"/>
      <c r="F12" s="420">
        <f>'ADJ SUMMARY'!E11</f>
        <v>806</v>
      </c>
      <c r="G12" s="68">
        <f>SUM(E12:F12)</f>
        <v>806</v>
      </c>
      <c r="I12" s="420">
        <f>ROUND(F12*$E$51*-$F$58,0)</f>
        <v>-8</v>
      </c>
    </row>
    <row r="13" spans="1:9">
      <c r="A13" s="410">
        <f>'ADJ SUMMARY'!A12</f>
        <v>1.02</v>
      </c>
      <c r="B13" s="418" t="str">
        <f>'ADJ SUMMARY'!C12</f>
        <v>Deferred Debits and Credits</v>
      </c>
      <c r="C13" s="71"/>
      <c r="D13" s="71"/>
      <c r="E13" s="75"/>
      <c r="F13" s="420">
        <f>'ADJ SUMMARY'!E12</f>
        <v>0</v>
      </c>
      <c r="G13" s="420">
        <f t="shared" ref="G13:G16" si="0">SUM(E13:F13)</f>
        <v>0</v>
      </c>
      <c r="I13" s="420">
        <f>ROUND(F13*$E$51*-$F$58,0)</f>
        <v>0</v>
      </c>
    </row>
    <row r="14" spans="1:9">
      <c r="A14" s="410">
        <f>'ADJ SUMMARY'!A13</f>
        <v>1.03</v>
      </c>
      <c r="B14" s="418" t="str">
        <f>'ADJ SUMMARY'!C13</f>
        <v>Working Capital</v>
      </c>
      <c r="C14" s="71"/>
      <c r="D14" s="71"/>
      <c r="E14" s="75"/>
      <c r="F14" s="420">
        <f>'ADJ SUMMARY'!E13</f>
        <v>-3006</v>
      </c>
      <c r="G14" s="68">
        <f t="shared" si="0"/>
        <v>-3006</v>
      </c>
      <c r="I14" s="420">
        <f>ROUND(F14*$E$51*-$F$58,0)</f>
        <v>28</v>
      </c>
    </row>
    <row r="15" spans="1:9">
      <c r="B15" s="418"/>
      <c r="C15" s="71"/>
      <c r="D15" s="71"/>
      <c r="E15" s="75"/>
      <c r="F15" s="420"/>
      <c r="I15" s="420"/>
    </row>
    <row r="16" spans="1:9">
      <c r="A16" s="410">
        <f>'ADJ SUMMARY'!A14</f>
        <v>2.0099999999999998</v>
      </c>
      <c r="B16" s="418" t="str">
        <f>'ADJ SUMMARY'!C14</f>
        <v>Eliminate B &amp; O Taxes</v>
      </c>
      <c r="C16" s="71"/>
      <c r="D16" s="71"/>
      <c r="E16" s="75"/>
      <c r="F16" s="420">
        <f>'ADJ SUMMARY'!E14</f>
        <v>0</v>
      </c>
      <c r="G16" s="68">
        <f t="shared" si="0"/>
        <v>0</v>
      </c>
      <c r="I16" s="420">
        <f t="shared" ref="I16:I47" si="1">ROUND(F16*$E$51*-$F$58,0)</f>
        <v>0</v>
      </c>
    </row>
    <row r="17" spans="1:9">
      <c r="A17" s="410">
        <f>'ADJ SUMMARY'!A15</f>
        <v>2.0199999999999996</v>
      </c>
      <c r="B17" s="418" t="str">
        <f>'ADJ SUMMARY'!C15</f>
        <v>Restate Property Tax</v>
      </c>
      <c r="C17" s="71"/>
      <c r="D17" s="71"/>
      <c r="E17" s="75"/>
      <c r="F17" s="420">
        <f>'ADJ SUMMARY'!E15</f>
        <v>0</v>
      </c>
      <c r="G17" s="68">
        <f t="shared" ref="G17:G31" si="2">SUM(E17:F17)</f>
        <v>0</v>
      </c>
      <c r="I17" s="420">
        <f t="shared" si="1"/>
        <v>0</v>
      </c>
    </row>
    <row r="18" spans="1:9">
      <c r="A18" s="410">
        <f>'ADJ SUMMARY'!A16</f>
        <v>2.0299999999999994</v>
      </c>
      <c r="B18" s="418" t="str">
        <f>'ADJ SUMMARY'!C16</f>
        <v>Uncollect. Expense</v>
      </c>
      <c r="C18" s="71"/>
      <c r="D18" s="71"/>
      <c r="E18" s="75"/>
      <c r="F18" s="420">
        <f>'ADJ SUMMARY'!E16</f>
        <v>0</v>
      </c>
      <c r="G18" s="68">
        <f t="shared" si="2"/>
        <v>0</v>
      </c>
      <c r="I18" s="420">
        <f t="shared" si="1"/>
        <v>0</v>
      </c>
    </row>
    <row r="19" spans="1:9">
      <c r="A19" s="410">
        <f>'ADJ SUMMARY'!A17</f>
        <v>2.0399999999999991</v>
      </c>
      <c r="B19" s="418" t="str">
        <f>'ADJ SUMMARY'!C17</f>
        <v>Regulatory Expense</v>
      </c>
      <c r="C19" s="71"/>
      <c r="D19" s="71"/>
      <c r="E19" s="75"/>
      <c r="F19" s="420">
        <f>'ADJ SUMMARY'!E17</f>
        <v>0</v>
      </c>
      <c r="G19" s="68">
        <f t="shared" si="2"/>
        <v>0</v>
      </c>
      <c r="I19" s="420">
        <f t="shared" si="1"/>
        <v>0</v>
      </c>
    </row>
    <row r="20" spans="1:9">
      <c r="A20" s="410">
        <f>'ADJ SUMMARY'!A18</f>
        <v>2.0499999999999989</v>
      </c>
      <c r="B20" s="418" t="str">
        <f>'ADJ SUMMARY'!C18</f>
        <v>Injuries and Damages</v>
      </c>
      <c r="C20" s="71"/>
      <c r="D20" s="71"/>
      <c r="E20" s="75"/>
      <c r="F20" s="420">
        <f>'ADJ SUMMARY'!E18</f>
        <v>0</v>
      </c>
      <c r="G20" s="68">
        <f t="shared" si="2"/>
        <v>0</v>
      </c>
      <c r="I20" s="420">
        <f t="shared" si="1"/>
        <v>0</v>
      </c>
    </row>
    <row r="21" spans="1:9">
      <c r="A21" s="410">
        <f>'ADJ SUMMARY'!A19</f>
        <v>2.0599999999999987</v>
      </c>
      <c r="B21" s="418" t="str">
        <f>'ADJ SUMMARY'!C19</f>
        <v>FIT/DFIT/ ITC Expense</v>
      </c>
      <c r="C21" s="71"/>
      <c r="D21" s="71"/>
      <c r="E21" s="75"/>
      <c r="F21" s="420">
        <f>'ADJ SUMMARY'!E19</f>
        <v>0</v>
      </c>
      <c r="G21" s="68">
        <f t="shared" si="2"/>
        <v>0</v>
      </c>
      <c r="I21" s="420">
        <f t="shared" si="1"/>
        <v>0</v>
      </c>
    </row>
    <row r="22" spans="1:9">
      <c r="A22" s="410">
        <f>'ADJ SUMMARY'!A20</f>
        <v>2.0699999999999985</v>
      </c>
      <c r="B22" s="418" t="str">
        <f>'ADJ SUMMARY'!C20</f>
        <v>Office Space Charges to Non-Utility</v>
      </c>
      <c r="C22" s="71"/>
      <c r="D22" s="71"/>
      <c r="E22" s="75"/>
      <c r="F22" s="420">
        <f>'ADJ SUMMARY'!E20</f>
        <v>0</v>
      </c>
      <c r="G22" s="68">
        <f t="shared" si="2"/>
        <v>0</v>
      </c>
      <c r="I22" s="420">
        <f t="shared" si="1"/>
        <v>0</v>
      </c>
    </row>
    <row r="23" spans="1:9">
      <c r="A23" s="410">
        <f>'ADJ SUMMARY'!A21</f>
        <v>2.0799999999999983</v>
      </c>
      <c r="B23" s="418" t="str">
        <f>'ADJ SUMMARY'!C21</f>
        <v>Restate Excise Taxes</v>
      </c>
      <c r="C23" s="71"/>
      <c r="D23" s="71"/>
      <c r="E23" s="75"/>
      <c r="F23" s="420">
        <f>'ADJ SUMMARY'!E21</f>
        <v>0</v>
      </c>
      <c r="G23" s="68">
        <f t="shared" si="2"/>
        <v>0</v>
      </c>
      <c r="I23" s="420">
        <f t="shared" si="1"/>
        <v>0</v>
      </c>
    </row>
    <row r="24" spans="1:9">
      <c r="A24" s="410">
        <f>'ADJ SUMMARY'!A22</f>
        <v>2.0899999999999981</v>
      </c>
      <c r="B24" s="418" t="str">
        <f>'ADJ SUMMARY'!C22</f>
        <v>Net Gains / Losses</v>
      </c>
      <c r="C24" s="71"/>
      <c r="D24" s="71"/>
      <c r="E24" s="75"/>
      <c r="F24" s="420">
        <f>'ADJ SUMMARY'!E22</f>
        <v>0</v>
      </c>
      <c r="G24" s="68">
        <f t="shared" si="2"/>
        <v>0</v>
      </c>
      <c r="I24" s="420">
        <f t="shared" si="1"/>
        <v>0</v>
      </c>
    </row>
    <row r="25" spans="1:9">
      <c r="A25" s="410">
        <f>'ADJ SUMMARY'!A23</f>
        <v>2.0999999999999979</v>
      </c>
      <c r="B25" s="418" t="str">
        <f>'ADJ SUMMARY'!C23</f>
        <v>Weather Normalization</v>
      </c>
      <c r="C25" s="71"/>
      <c r="D25" s="71"/>
      <c r="E25" s="75"/>
      <c r="F25" s="420">
        <f>'ADJ SUMMARY'!E23</f>
        <v>0</v>
      </c>
      <c r="G25" s="68">
        <f t="shared" si="2"/>
        <v>0</v>
      </c>
      <c r="I25" s="420">
        <f t="shared" si="1"/>
        <v>0</v>
      </c>
    </row>
    <row r="26" spans="1:9">
      <c r="A26" s="410">
        <f>'ADJ SUMMARY'!A24</f>
        <v>2.1099999999999977</v>
      </c>
      <c r="B26" s="418" t="str">
        <f>'ADJ SUMMARY'!C24</f>
        <v>Eliminate Adder Schedules</v>
      </c>
      <c r="C26" s="71"/>
      <c r="D26" s="71"/>
      <c r="E26" s="75"/>
      <c r="F26" s="420">
        <f>'ADJ SUMMARY'!E24</f>
        <v>0</v>
      </c>
      <c r="G26" s="68">
        <f t="shared" si="2"/>
        <v>0</v>
      </c>
      <c r="I26" s="420">
        <f t="shared" si="1"/>
        <v>0</v>
      </c>
    </row>
    <row r="27" spans="1:9">
      <c r="A27" s="410">
        <f>'ADJ SUMMARY'!A25</f>
        <v>2.1199999999999974</v>
      </c>
      <c r="B27" s="418" t="str">
        <f>'ADJ SUMMARY'!C25</f>
        <v>Misc. Restating Non-Util / Non- Recurring Expenses</v>
      </c>
      <c r="C27" s="71"/>
      <c r="D27" s="71"/>
      <c r="E27" s="75"/>
      <c r="F27" s="420">
        <f>'ADJ SUMMARY'!E25</f>
        <v>0</v>
      </c>
      <c r="G27" s="68">
        <f t="shared" si="2"/>
        <v>0</v>
      </c>
      <c r="I27" s="420">
        <f t="shared" si="1"/>
        <v>0</v>
      </c>
    </row>
    <row r="28" spans="1:9">
      <c r="A28" s="410">
        <f>'ADJ SUMMARY'!A26</f>
        <v>2.1299999999999972</v>
      </c>
      <c r="B28" s="418" t="str">
        <f>'ADJ SUMMARY'!C26</f>
        <v>Eliminate WA Power Cost Defer</v>
      </c>
      <c r="C28" s="71"/>
      <c r="D28" s="71"/>
      <c r="E28" s="75"/>
      <c r="F28" s="420">
        <f>'ADJ SUMMARY'!E26</f>
        <v>0</v>
      </c>
      <c r="G28" s="68">
        <f t="shared" si="2"/>
        <v>0</v>
      </c>
      <c r="I28" s="420">
        <f t="shared" si="1"/>
        <v>0</v>
      </c>
    </row>
    <row r="29" spans="1:9">
      <c r="A29" s="410">
        <f>'ADJ SUMMARY'!A27</f>
        <v>2.139999999999997</v>
      </c>
      <c r="B29" s="418" t="str">
        <f>'ADJ SUMMARY'!C27</f>
        <v>Nez Perce Settlement Adjustment</v>
      </c>
      <c r="C29" s="71"/>
      <c r="D29" s="71"/>
      <c r="E29" s="75"/>
      <c r="F29" s="420">
        <f>'ADJ SUMMARY'!E27</f>
        <v>0</v>
      </c>
      <c r="G29" s="68">
        <f t="shared" si="2"/>
        <v>0</v>
      </c>
      <c r="I29" s="420">
        <f t="shared" si="1"/>
        <v>0</v>
      </c>
    </row>
    <row r="30" spans="1:9">
      <c r="A30" s="410">
        <f>'ADJ SUMMARY'!A29</f>
        <v>2.1599999999999966</v>
      </c>
      <c r="B30" s="418" t="str">
        <f>'ADJ SUMMARY'!C29</f>
        <v>Normalize CS2/Colstrip Major Maint</v>
      </c>
      <c r="C30" s="71"/>
      <c r="D30" s="71"/>
      <c r="E30" s="75"/>
      <c r="F30" s="420">
        <f>'ADJ SUMMARY'!E29</f>
        <v>0</v>
      </c>
      <c r="G30" s="68">
        <f>SUM(E30:F30)</f>
        <v>0</v>
      </c>
      <c r="I30" s="420">
        <f t="shared" si="1"/>
        <v>0</v>
      </c>
    </row>
    <row r="31" spans="1:9">
      <c r="A31" s="410">
        <f>'ADJ SUMMARY'!A30</f>
        <v>2.1699999999999964</v>
      </c>
      <c r="B31" s="418" t="str">
        <f>'ADJ SUMMARY'!C30</f>
        <v>Restate Debt Interest</v>
      </c>
      <c r="C31" s="71"/>
      <c r="D31" s="71"/>
      <c r="E31" s="75"/>
      <c r="F31" s="420">
        <f>'ADJ SUMMARY'!E30</f>
        <v>0</v>
      </c>
      <c r="G31" s="68">
        <f t="shared" si="2"/>
        <v>0</v>
      </c>
      <c r="I31" s="420">
        <f t="shared" si="1"/>
        <v>0</v>
      </c>
    </row>
    <row r="32" spans="1:9">
      <c r="A32" s="410">
        <f>'ADJ SUMMARY'!A31</f>
        <v>2.1799999999999962</v>
      </c>
      <c r="B32" s="418" t="str">
        <f>'ADJ SUMMARY'!C31</f>
        <v>Authorized Power Supply</v>
      </c>
      <c r="C32" s="71"/>
      <c r="D32" s="71"/>
      <c r="E32" s="75"/>
      <c r="F32" s="420">
        <f>'ADJ SUMMARY'!E31</f>
        <v>0</v>
      </c>
      <c r="G32" s="68">
        <f t="shared" ref="G32" si="3">SUM(E32:F32)</f>
        <v>0</v>
      </c>
      <c r="I32" s="420">
        <f t="shared" si="1"/>
        <v>0</v>
      </c>
    </row>
    <row r="33" spans="1:9">
      <c r="A33" s="410">
        <f>'ADJ SUMMARY'!A36</f>
        <v>3.01</v>
      </c>
      <c r="B33" s="418" t="str">
        <f>'ADJ SUMMARY'!C36</f>
        <v>Pro Forma Trans/Power Sup Non-ERM Rev/Exp</v>
      </c>
      <c r="C33" s="71"/>
      <c r="D33" s="71"/>
      <c r="E33" s="75"/>
      <c r="F33" s="420">
        <f>'ADJ SUMMARY'!E36</f>
        <v>0</v>
      </c>
      <c r="G33" s="68">
        <f t="shared" ref="G33:G38" si="4">SUM(E33:F33)</f>
        <v>0</v>
      </c>
      <c r="I33" s="420">
        <f t="shared" si="1"/>
        <v>0</v>
      </c>
    </row>
    <row r="34" spans="1:9">
      <c r="A34" s="410">
        <f>'ADJ SUMMARY'!A37</f>
        <v>3.0199999999999996</v>
      </c>
      <c r="B34" s="418" t="str">
        <f>'ADJ SUMMARY'!C37</f>
        <v>Pro Forma Labor Non-Exec</v>
      </c>
      <c r="C34" s="71"/>
      <c r="D34" s="71"/>
      <c r="E34" s="75"/>
      <c r="F34" s="420">
        <f>'ADJ SUMMARY'!E37</f>
        <v>0</v>
      </c>
      <c r="G34" s="68">
        <f t="shared" si="4"/>
        <v>0</v>
      </c>
      <c r="I34" s="420">
        <f t="shared" si="1"/>
        <v>0</v>
      </c>
    </row>
    <row r="35" spans="1:9">
      <c r="A35" s="410">
        <f>'ADJ SUMMARY'!A38</f>
        <v>3.0299999999999994</v>
      </c>
      <c r="B35" s="418" t="str">
        <f>'ADJ SUMMARY'!C38</f>
        <v>Pro Forma Labor Exec</v>
      </c>
      <c r="C35" s="71"/>
      <c r="D35" s="71"/>
      <c r="E35" s="75"/>
      <c r="F35" s="420">
        <f>'ADJ SUMMARY'!E38</f>
        <v>0</v>
      </c>
      <c r="G35" s="68">
        <f t="shared" si="4"/>
        <v>0</v>
      </c>
      <c r="I35" s="420">
        <f t="shared" si="1"/>
        <v>0</v>
      </c>
    </row>
    <row r="36" spans="1:9">
      <c r="A36" s="410">
        <f>'ADJ SUMMARY'!A39</f>
        <v>3.0399999999999991</v>
      </c>
      <c r="B36" s="418" t="str">
        <f>'ADJ SUMMARY'!C39</f>
        <v>Pro Forma Employee Benefits</v>
      </c>
      <c r="C36" s="71"/>
      <c r="D36" s="71"/>
      <c r="E36" s="75"/>
      <c r="F36" s="420">
        <f>'ADJ SUMMARY'!E39</f>
        <v>0</v>
      </c>
      <c r="G36" s="68">
        <f t="shared" si="4"/>
        <v>0</v>
      </c>
      <c r="I36" s="420">
        <f t="shared" si="1"/>
        <v>0</v>
      </c>
    </row>
    <row r="37" spans="1:9" ht="15.75" customHeight="1">
      <c r="A37" s="410">
        <f>'ADJ SUMMARY'!A40</f>
        <v>3.0499999999999989</v>
      </c>
      <c r="B37" s="418" t="str">
        <f>'ADJ SUMMARY'!C40</f>
        <v>Pro Forma Incentive Expenses</v>
      </c>
      <c r="C37" s="71"/>
      <c r="D37" s="71"/>
      <c r="E37" s="75"/>
      <c r="F37" s="420">
        <f>'ADJ SUMMARY'!E40</f>
        <v>0</v>
      </c>
      <c r="G37" s="68">
        <f>SUM(E37:F37)</f>
        <v>0</v>
      </c>
      <c r="I37" s="420">
        <f t="shared" si="1"/>
        <v>0</v>
      </c>
    </row>
    <row r="38" spans="1:9">
      <c r="A38" s="410">
        <f>'ADJ SUMMARY'!A41</f>
        <v>3.0599999999999987</v>
      </c>
      <c r="B38" s="418" t="str">
        <f>'ADJ SUMMARY'!C41</f>
        <v>Pro Forma Property Tax</v>
      </c>
      <c r="C38" s="71"/>
      <c r="D38" s="71"/>
      <c r="E38" s="75"/>
      <c r="F38" s="420">
        <f>'ADJ SUMMARY'!E41</f>
        <v>0</v>
      </c>
      <c r="G38" s="68">
        <f t="shared" si="4"/>
        <v>0</v>
      </c>
      <c r="I38" s="420">
        <f t="shared" si="1"/>
        <v>0</v>
      </c>
    </row>
    <row r="39" spans="1:9">
      <c r="A39" s="410">
        <f>'ADJ SUMMARY'!A42</f>
        <v>3.0699999999999985</v>
      </c>
      <c r="B39" s="418" t="str">
        <f>'ADJ SUMMARY'!C42</f>
        <v>Pro Forma IS/IT Expense</v>
      </c>
      <c r="C39" s="71"/>
      <c r="D39" s="71"/>
      <c r="E39" s="75"/>
      <c r="F39" s="420">
        <f>'ADJ SUMMARY'!E42</f>
        <v>0</v>
      </c>
      <c r="G39" s="68">
        <f t="shared" ref="G39" si="5">SUM(E39:F39)</f>
        <v>0</v>
      </c>
      <c r="I39" s="420">
        <f t="shared" si="1"/>
        <v>0</v>
      </c>
    </row>
    <row r="40" spans="1:9">
      <c r="A40" s="410">
        <f>'ADJ SUMMARY'!A43</f>
        <v>3.0799999999999983</v>
      </c>
      <c r="B40" s="418" t="str">
        <f>'ADJ SUMMARY'!C43</f>
        <v>Pro Forma Revenue Normalization</v>
      </c>
      <c r="C40" s="71"/>
      <c r="D40" s="71"/>
      <c r="E40" s="75"/>
      <c r="F40" s="420">
        <f>'ADJ SUMMARY'!E43</f>
        <v>0</v>
      </c>
      <c r="G40" s="68">
        <f t="shared" ref="G40" si="6">SUM(E40:F40)</f>
        <v>0</v>
      </c>
      <c r="I40" s="420">
        <f t="shared" si="1"/>
        <v>0</v>
      </c>
    </row>
    <row r="41" spans="1:9">
      <c r="A41" s="410">
        <f>'ADJ SUMMARY'!A44</f>
        <v>3.0899999999999981</v>
      </c>
      <c r="B41" s="418" t="str">
        <f>'ADJ SUMMARY'!C44</f>
        <v>Pro Forma Def. Debits, Credits &amp; Regulatory Amorts</v>
      </c>
      <c r="C41" s="71"/>
      <c r="D41" s="71"/>
      <c r="E41" s="75"/>
      <c r="F41" s="420">
        <f>'ADJ SUMMARY'!E44</f>
        <v>-5346</v>
      </c>
      <c r="G41" s="68">
        <f>SUM(E41:F41)</f>
        <v>-5346</v>
      </c>
      <c r="I41" s="420">
        <f t="shared" si="1"/>
        <v>50</v>
      </c>
    </row>
    <row r="42" spans="1:9">
      <c r="A42" s="410">
        <f>'ADJ SUMMARY'!A45</f>
        <v>3.0999999999999979</v>
      </c>
      <c r="B42" s="418" t="str">
        <f>'ADJ SUMMARY'!C45</f>
        <v>Pro Forma 2017 Threshhold Capital Adds</v>
      </c>
      <c r="C42" s="71"/>
      <c r="D42" s="71"/>
      <c r="E42" s="75"/>
      <c r="F42" s="420">
        <f>'ADJ SUMMARY'!E45</f>
        <v>5565</v>
      </c>
      <c r="G42" s="68">
        <f t="shared" ref="G42:G43" si="7">SUM(E42:F42)</f>
        <v>5565</v>
      </c>
      <c r="I42" s="420">
        <f t="shared" si="1"/>
        <v>-52</v>
      </c>
    </row>
    <row r="43" spans="1:9">
      <c r="A43" s="410">
        <f>'ADJ SUMMARY'!A46</f>
        <v>3.1099999999999977</v>
      </c>
      <c r="B43" s="418" t="str">
        <f>'ADJ SUMMARY'!C46</f>
        <v>Pro Forma O&amp;M Offsets</v>
      </c>
      <c r="C43" s="71"/>
      <c r="D43" s="71"/>
      <c r="E43" s="75"/>
      <c r="F43" s="420">
        <f>'ADJ SUMMARY'!E46</f>
        <v>0</v>
      </c>
      <c r="G43" s="68">
        <f t="shared" si="7"/>
        <v>0</v>
      </c>
      <c r="I43" s="420">
        <f t="shared" si="1"/>
        <v>0</v>
      </c>
    </row>
    <row r="44" spans="1:9">
      <c r="A44" s="410">
        <f>'ADJ SUMMARY'!A47</f>
        <v>3.1199999999999974</v>
      </c>
      <c r="B44" s="418" t="str">
        <f>'ADJ SUMMARY'!C47</f>
        <v>Pro Forma Director Fees Exp</v>
      </c>
      <c r="C44" s="71"/>
      <c r="D44" s="71"/>
      <c r="E44" s="75"/>
      <c r="F44" s="420">
        <f>'ADJ SUMMARY'!E47</f>
        <v>0</v>
      </c>
      <c r="G44" s="68">
        <f t="shared" ref="G44:G46" si="8">SUM(E44:F44)</f>
        <v>0</v>
      </c>
      <c r="I44" s="420">
        <f t="shared" si="1"/>
        <v>0</v>
      </c>
    </row>
    <row r="45" spans="1:9">
      <c r="A45" s="410">
        <f>'ADJ SUMMARY'!A48</f>
        <v>3.1299999999999972</v>
      </c>
      <c r="B45" s="418" t="str">
        <f>'ADJ SUMMARY'!C48</f>
        <v>PF Normalize CS2/Colstrip Major Maint</v>
      </c>
      <c r="C45" s="71"/>
      <c r="D45" s="71"/>
      <c r="E45" s="75"/>
      <c r="F45" s="420">
        <f>'ADJ SUMMARY'!E48</f>
        <v>0</v>
      </c>
      <c r="G45" s="68">
        <f t="shared" si="8"/>
        <v>0</v>
      </c>
      <c r="I45" s="420">
        <f t="shared" si="1"/>
        <v>0</v>
      </c>
    </row>
    <row r="46" spans="1:9">
      <c r="A46" s="410">
        <f>'ADJ SUMMARY'!A49</f>
        <v>3.139999999999997</v>
      </c>
      <c r="B46" s="418" t="str">
        <f>'ADJ SUMMARY'!C49</f>
        <v>Pro Forma Underground Equip Inspection</v>
      </c>
      <c r="C46" s="71"/>
      <c r="D46" s="71"/>
      <c r="E46" s="75"/>
      <c r="F46" s="420">
        <f>'ADJ SUMMARY'!E49</f>
        <v>0</v>
      </c>
      <c r="G46" s="68">
        <f t="shared" si="8"/>
        <v>0</v>
      </c>
      <c r="I46" s="420">
        <f t="shared" si="1"/>
        <v>0</v>
      </c>
    </row>
    <row r="47" spans="1:9">
      <c r="A47" s="410">
        <f>'ADJ SUMMARY'!A52</f>
        <v>4</v>
      </c>
      <c r="B47" s="418" t="str">
        <f>'ADJ SUMMARY'!C52</f>
        <v>Pro Forma Power Supply &amp; Transm Revs</v>
      </c>
      <c r="C47" s="71"/>
      <c r="D47" s="71"/>
      <c r="E47" s="75"/>
      <c r="F47" s="420">
        <f>'ADJ SUMMARY'!E52</f>
        <v>0</v>
      </c>
      <c r="G47" s="68">
        <f t="shared" ref="G47" si="9">SUM(E47:F47)</f>
        <v>0</v>
      </c>
      <c r="I47" s="420">
        <f t="shared" si="1"/>
        <v>0</v>
      </c>
    </row>
    <row r="48" spans="1:9" ht="5.25" customHeight="1">
      <c r="B48" s="418"/>
      <c r="C48" s="71"/>
      <c r="D48" s="645"/>
      <c r="E48" s="646"/>
      <c r="F48" s="647"/>
      <c r="G48" s="648"/>
      <c r="H48" s="649"/>
      <c r="I48" s="649"/>
    </row>
    <row r="49" spans="1:12">
      <c r="B49" s="418" t="s">
        <v>648</v>
      </c>
      <c r="C49" s="71"/>
      <c r="D49" s="71"/>
      <c r="E49" s="106">
        <f>SUM(E11:E46)</f>
        <v>1444926</v>
      </c>
      <c r="F49" s="106">
        <f>SUM(F11:F46)</f>
        <v>-1981</v>
      </c>
      <c r="G49" s="106">
        <f>SUM(G11:G46)</f>
        <v>1442945</v>
      </c>
      <c r="H49" s="75"/>
      <c r="I49" s="75"/>
      <c r="K49" s="650">
        <f>G49-'ADJ SUMMARY'!E54</f>
        <v>0</v>
      </c>
      <c r="L49" s="437" t="s">
        <v>630</v>
      </c>
    </row>
    <row r="50" spans="1:12" ht="5.25" customHeight="1">
      <c r="C50" s="71"/>
      <c r="D50" s="71"/>
      <c r="E50" s="106"/>
      <c r="F50" s="106"/>
      <c r="G50" s="106"/>
    </row>
    <row r="51" spans="1:12">
      <c r="B51" s="90" t="s">
        <v>168</v>
      </c>
      <c r="C51" s="71"/>
      <c r="D51" s="71"/>
      <c r="E51" s="316">
        <f>'Exh. No. BGM-3 2'!O13</f>
        <v>2.6800000000000001E-2</v>
      </c>
      <c r="F51" s="316">
        <f>E51-I51</f>
        <v>2.6800000000000001E-2</v>
      </c>
      <c r="G51" s="113"/>
      <c r="I51" s="316"/>
    </row>
    <row r="52" spans="1:12" ht="6" customHeight="1">
      <c r="C52" s="71"/>
      <c r="D52" s="71"/>
      <c r="E52" s="106"/>
      <c r="F52" s="106"/>
      <c r="G52" s="106"/>
    </row>
    <row r="53" spans="1:12">
      <c r="B53" s="90" t="s">
        <v>149</v>
      </c>
      <c r="C53" s="71"/>
      <c r="D53" s="71"/>
      <c r="E53" s="106">
        <f>E49*E51</f>
        <v>38724.016800000005</v>
      </c>
      <c r="F53" s="106">
        <f>F49*F51</f>
        <v>-53.090800000000002</v>
      </c>
      <c r="G53" s="106">
        <f>SUM(E53:F53)</f>
        <v>38670.926000000007</v>
      </c>
      <c r="I53" s="106">
        <f>SUM(I11:I46)</f>
        <v>220.69999999999891</v>
      </c>
    </row>
    <row r="54" spans="1:12">
      <c r="C54" s="71"/>
      <c r="D54" s="71"/>
      <c r="E54" s="106"/>
      <c r="F54" s="106"/>
      <c r="G54" s="106"/>
      <c r="I54" s="106"/>
    </row>
    <row r="55" spans="1:12">
      <c r="B55" s="90" t="s">
        <v>598</v>
      </c>
      <c r="C55" s="71"/>
      <c r="D55" s="71"/>
      <c r="E55" s="422">
        <v>39302</v>
      </c>
      <c r="F55" s="422"/>
      <c r="G55" s="113">
        <f>SUM(E55:F55)</f>
        <v>39302</v>
      </c>
      <c r="I55" s="422"/>
    </row>
    <row r="56" spans="1:12" ht="5.25" customHeight="1">
      <c r="C56" s="71"/>
      <c r="D56" s="71"/>
      <c r="E56" s="106"/>
      <c r="F56" s="106"/>
      <c r="G56" s="106"/>
      <c r="I56" s="106"/>
    </row>
    <row r="57" spans="1:12">
      <c r="B57" s="90" t="s">
        <v>151</v>
      </c>
      <c r="C57" s="71"/>
      <c r="D57" s="71"/>
      <c r="E57" s="106">
        <f>E53-E55</f>
        <v>-577.98319999999512</v>
      </c>
      <c r="F57" s="106">
        <f>F53-F55</f>
        <v>-53.090800000000002</v>
      </c>
      <c r="G57" s="106">
        <f>SUM(E57:F57)</f>
        <v>-631.07399999999507</v>
      </c>
      <c r="I57" s="106"/>
    </row>
    <row r="58" spans="1:12" ht="18" customHeight="1">
      <c r="B58" s="90" t="s">
        <v>152</v>
      </c>
      <c r="D58" s="71"/>
      <c r="E58" s="425">
        <v>0.35</v>
      </c>
      <c r="F58" s="425">
        <v>0.35</v>
      </c>
      <c r="G58" s="113"/>
      <c r="I58" s="425"/>
    </row>
    <row r="59" spans="1:12" ht="5.25" customHeight="1" thickBot="1">
      <c r="D59" s="71"/>
      <c r="E59" s="106"/>
      <c r="F59" s="106"/>
      <c r="G59" s="106"/>
      <c r="I59" s="106"/>
    </row>
    <row r="60" spans="1:12" ht="13.5" thickBot="1">
      <c r="B60" s="90" t="s">
        <v>153</v>
      </c>
      <c r="D60" s="71"/>
      <c r="E60" s="443">
        <f>ROUND(E57*-E58,0)</f>
        <v>202</v>
      </c>
      <c r="F60" s="148">
        <f>ROUND(F57*-F58,0)</f>
        <v>19</v>
      </c>
      <c r="G60" s="148">
        <f>SUM(E60:F60)</f>
        <v>221</v>
      </c>
      <c r="I60" s="148">
        <f>I53</f>
        <v>220.69999999999891</v>
      </c>
      <c r="J60" s="442" t="s">
        <v>634</v>
      </c>
      <c r="K60" s="68">
        <f>'Exh. No. BGM-3 4'!AR52+'Exh. No. BGM-3 4'!Y51-I60</f>
        <v>-0.11821999999889954</v>
      </c>
    </row>
    <row r="61" spans="1:12" ht="13.5" thickTop="1">
      <c r="D61" s="71"/>
      <c r="E61" s="444">
        <f>E8</f>
        <v>2.1699999999999964</v>
      </c>
      <c r="F61" s="112"/>
      <c r="G61" s="112"/>
      <c r="I61" s="112"/>
    </row>
    <row r="62" spans="1:12" ht="13.5" thickBot="1">
      <c r="E62" s="445" t="s">
        <v>25</v>
      </c>
      <c r="F62" s="423"/>
    </row>
    <row r="63" spans="1:12" hidden="1">
      <c r="A63" s="411" t="s">
        <v>248</v>
      </c>
      <c r="B63" s="419" t="s">
        <v>247</v>
      </c>
    </row>
    <row r="64" spans="1:12" hidden="1">
      <c r="B64" s="417" t="s">
        <v>150</v>
      </c>
    </row>
    <row r="65" spans="2:8" hidden="1">
      <c r="B65" s="90" t="s">
        <v>154</v>
      </c>
      <c r="C65" s="128">
        <v>2430</v>
      </c>
      <c r="H65" s="68" t="s">
        <v>231</v>
      </c>
    </row>
    <row r="66" spans="2:8" hidden="1">
      <c r="B66" s="90" t="s">
        <v>155</v>
      </c>
      <c r="C66" s="127">
        <v>2935</v>
      </c>
      <c r="H66" s="68" t="s">
        <v>231</v>
      </c>
    </row>
    <row r="67" spans="2:8" hidden="1">
      <c r="B67" s="90" t="s">
        <v>156</v>
      </c>
      <c r="C67" s="76">
        <f>C65+C66</f>
        <v>5365</v>
      </c>
    </row>
    <row r="68" spans="2:8" hidden="1">
      <c r="C68" s="75"/>
    </row>
    <row r="69" spans="2:8" hidden="1">
      <c r="C69" s="80"/>
      <c r="D69" s="72"/>
      <c r="E69" s="72" t="s">
        <v>157</v>
      </c>
    </row>
    <row r="70" spans="2:8" hidden="1">
      <c r="C70" s="74" t="s">
        <v>126</v>
      </c>
      <c r="D70" s="74" t="s">
        <v>158</v>
      </c>
      <c r="E70" s="74" t="s">
        <v>31</v>
      </c>
    </row>
    <row r="71" spans="2:8" hidden="1">
      <c r="B71" s="90" t="s">
        <v>159</v>
      </c>
      <c r="C71" s="91" t="e">
        <f>#REF!</f>
        <v>#REF!</v>
      </c>
      <c r="D71" s="92" t="e">
        <f>ROUND(C71/$C$74,4)</f>
        <v>#REF!</v>
      </c>
      <c r="E71" s="91" t="e">
        <f>D71*E74</f>
        <v>#REF!</v>
      </c>
      <c r="F71" s="134"/>
    </row>
    <row r="72" spans="2:8" hidden="1">
      <c r="B72" s="90" t="s">
        <v>160</v>
      </c>
      <c r="C72" s="93" t="e">
        <f>#REF!</f>
        <v>#REF!</v>
      </c>
      <c r="D72" s="92" t="e">
        <f>ROUND(C72/$C$74,4)</f>
        <v>#REF!</v>
      </c>
      <c r="E72" s="93" t="e">
        <f>D72*E74</f>
        <v>#REF!</v>
      </c>
    </row>
    <row r="73" spans="2:8" hidden="1">
      <c r="B73" s="90" t="s">
        <v>161</v>
      </c>
      <c r="C73" s="93" t="e">
        <f>#REF!</f>
        <v>#REF!</v>
      </c>
      <c r="D73" s="92" t="e">
        <f>ROUND(C73/$C$74,4)-0.0001</f>
        <v>#REF!</v>
      </c>
      <c r="E73" s="93" t="e">
        <f>E74*D73</f>
        <v>#REF!</v>
      </c>
    </row>
    <row r="74" spans="2:8" hidden="1">
      <c r="B74" s="90" t="s">
        <v>162</v>
      </c>
      <c r="C74" s="94" t="e">
        <f>C71+C72+C73</f>
        <v>#REF!</v>
      </c>
      <c r="D74" s="95" t="e">
        <f>D71+D72+D73</f>
        <v>#REF!</v>
      </c>
      <c r="E74" s="94">
        <f>C67</f>
        <v>5365</v>
      </c>
    </row>
    <row r="75" spans="2:8" hidden="1">
      <c r="C75" s="96"/>
      <c r="D75" s="96"/>
      <c r="E75" s="96"/>
    </row>
    <row r="76" spans="2:8" hidden="1">
      <c r="B76" s="90" t="s">
        <v>163</v>
      </c>
      <c r="C76" s="91" t="e">
        <f>#REF!</f>
        <v>#REF!</v>
      </c>
      <c r="D76" s="92" t="e">
        <f>C76/C78</f>
        <v>#REF!</v>
      </c>
      <c r="E76" s="91" t="e">
        <f>D76*E78</f>
        <v>#REF!</v>
      </c>
    </row>
    <row r="77" spans="2:8" hidden="1">
      <c r="B77" s="90" t="s">
        <v>164</v>
      </c>
      <c r="C77" s="96" t="e">
        <f>#REF!</f>
        <v>#REF!</v>
      </c>
      <c r="D77" s="92" t="e">
        <f>C77/C78</f>
        <v>#REF!</v>
      </c>
      <c r="E77" s="96" t="e">
        <f>D77*E78</f>
        <v>#REF!</v>
      </c>
    </row>
    <row r="78" spans="2:8" hidden="1">
      <c r="B78" s="90" t="s">
        <v>162</v>
      </c>
      <c r="C78" s="94" t="e">
        <f>C76+C77</f>
        <v>#REF!</v>
      </c>
      <c r="D78" s="95" t="e">
        <f>D76+D77</f>
        <v>#REF!</v>
      </c>
      <c r="E78" s="94" t="e">
        <f>E71</f>
        <v>#REF!</v>
      </c>
    </row>
    <row r="79" spans="2:8" hidden="1">
      <c r="C79" s="96"/>
      <c r="D79" s="96"/>
      <c r="E79" s="96"/>
    </row>
    <row r="80" spans="2:8" hidden="1">
      <c r="B80" s="90" t="s">
        <v>165</v>
      </c>
      <c r="C80" s="91" t="e">
        <f>#REF!</f>
        <v>#REF!</v>
      </c>
      <c r="D80" s="97" t="e">
        <f>C80/C82</f>
        <v>#REF!</v>
      </c>
      <c r="E80" s="91" t="e">
        <f>E82*D80</f>
        <v>#REF!</v>
      </c>
    </row>
    <row r="81" spans="1:6" hidden="1">
      <c r="B81" s="90" t="s">
        <v>166</v>
      </c>
      <c r="C81" s="96" t="e">
        <f>#REF!</f>
        <v>#REF!</v>
      </c>
      <c r="D81" s="98" t="e">
        <f>C81/C82</f>
        <v>#REF!</v>
      </c>
      <c r="E81" s="96" t="e">
        <f>E82*D81</f>
        <v>#REF!</v>
      </c>
    </row>
    <row r="82" spans="1:6" hidden="1">
      <c r="B82" s="90" t="s">
        <v>162</v>
      </c>
      <c r="C82" s="94" t="e">
        <f>SUM(C80:C81)</f>
        <v>#REF!</v>
      </c>
      <c r="D82" s="99" t="e">
        <f>SUM(D80:D81)</f>
        <v>#REF!</v>
      </c>
      <c r="E82" s="94" t="e">
        <f>E72</f>
        <v>#REF!</v>
      </c>
    </row>
    <row r="83" spans="1:6" hidden="1">
      <c r="A83" s="412" t="str">
        <f>A1</f>
        <v>AVISTA UTILITIES</v>
      </c>
      <c r="C83" s="66"/>
      <c r="D83" s="67"/>
      <c r="E83" s="66"/>
      <c r="F83" s="67"/>
    </row>
    <row r="84" spans="1:6" hidden="1">
      <c r="A84" s="412" t="str">
        <f>A2</f>
        <v>Restate Debt Interest</v>
      </c>
      <c r="C84" s="66"/>
      <c r="D84" s="67"/>
      <c r="E84" s="66"/>
      <c r="F84" s="67"/>
    </row>
    <row r="85" spans="1:6" hidden="1">
      <c r="A85" s="412" t="s">
        <v>169</v>
      </c>
      <c r="C85" s="66"/>
      <c r="D85" s="67"/>
      <c r="E85" s="66"/>
      <c r="F85" s="67"/>
    </row>
    <row r="86" spans="1:6" hidden="1">
      <c r="A86" s="413" t="str">
        <f>A4</f>
        <v>TWELVE MONTHS ENDED DECEMBER 31, 2016</v>
      </c>
      <c r="C86" s="69"/>
      <c r="D86" s="67"/>
      <c r="E86" s="69"/>
      <c r="F86" s="67"/>
    </row>
    <row r="87" spans="1:6" hidden="1">
      <c r="A87" s="414" t="s">
        <v>146</v>
      </c>
      <c r="C87" s="66"/>
      <c r="D87" s="67"/>
      <c r="E87" s="67"/>
      <c r="F87" s="67"/>
    </row>
    <row r="88" spans="1:6" hidden="1">
      <c r="C88" s="71"/>
      <c r="D88" s="71"/>
      <c r="E88" s="73"/>
      <c r="F88" s="72" t="s">
        <v>24</v>
      </c>
    </row>
    <row r="89" spans="1:6" hidden="1">
      <c r="B89" s="417" t="s">
        <v>147</v>
      </c>
      <c r="C89" s="71"/>
      <c r="D89" s="71"/>
      <c r="E89" s="73"/>
      <c r="F89" s="74" t="s">
        <v>148</v>
      </c>
    </row>
    <row r="90" spans="1:6" hidden="1">
      <c r="A90" s="410" t="e">
        <f>'ADJ SUMMARY'!#REF!</f>
        <v>#REF!</v>
      </c>
      <c r="B90" s="90" t="e">
        <f>'ADJ SUMMARY'!#REF!</f>
        <v>#REF!</v>
      </c>
      <c r="C90" s="71"/>
      <c r="D90" s="71"/>
      <c r="E90" s="75"/>
      <c r="F90" s="132" t="e">
        <f>'ADJ SUMMARY'!#REF!</f>
        <v>#REF!</v>
      </c>
    </row>
    <row r="91" spans="1:6" hidden="1">
      <c r="A91" s="410" t="e">
        <f>'ADJ SUMMARY'!#REF!</f>
        <v>#REF!</v>
      </c>
      <c r="B91" s="90" t="e">
        <f>'ADJ SUMMARY'!#REF!</f>
        <v>#REF!</v>
      </c>
      <c r="C91" s="71"/>
      <c r="D91" s="71"/>
      <c r="E91" s="75"/>
      <c r="F91" s="132" t="e">
        <f>'ADJ SUMMARY'!#REF!</f>
        <v>#REF!</v>
      </c>
    </row>
    <row r="92" spans="1:6" hidden="1">
      <c r="A92" s="410" t="e">
        <f>'ADJ SUMMARY'!#REF!</f>
        <v>#REF!</v>
      </c>
      <c r="B92" s="90" t="e">
        <f>'ADJ SUMMARY'!#REF!</f>
        <v>#REF!</v>
      </c>
      <c r="C92" s="71"/>
      <c r="D92" s="71"/>
      <c r="E92" s="75"/>
      <c r="F92" s="132" t="e">
        <f>'ADJ SUMMARY'!#REF!</f>
        <v>#REF!</v>
      </c>
    </row>
    <row r="93" spans="1:6" hidden="1">
      <c r="A93" s="410" t="e">
        <f>'ADJ SUMMARY'!#REF!</f>
        <v>#REF!</v>
      </c>
      <c r="B93" s="90" t="e">
        <f>'ADJ SUMMARY'!#REF!</f>
        <v>#REF!</v>
      </c>
      <c r="C93" s="71"/>
      <c r="D93" s="71"/>
      <c r="E93" s="75"/>
      <c r="F93" s="132" t="e">
        <f>'ADJ SUMMARY'!#REF!</f>
        <v>#REF!</v>
      </c>
    </row>
    <row r="94" spans="1:6" hidden="1">
      <c r="A94" s="410" t="e">
        <f>'ADJ SUMMARY'!#REF!</f>
        <v>#REF!</v>
      </c>
      <c r="B94" s="90" t="e">
        <f>'ADJ SUMMARY'!#REF!</f>
        <v>#REF!</v>
      </c>
      <c r="C94" s="71"/>
      <c r="D94" s="71"/>
      <c r="E94" s="75"/>
      <c r="F94" s="132" t="e">
        <f>'ADJ SUMMARY'!#REF!</f>
        <v>#REF!</v>
      </c>
    </row>
    <row r="95" spans="1:6" hidden="1">
      <c r="A95" s="410" t="e">
        <f>'ADJ SUMMARY'!#REF!</f>
        <v>#REF!</v>
      </c>
      <c r="B95" s="90" t="e">
        <f>'ADJ SUMMARY'!#REF!</f>
        <v>#REF!</v>
      </c>
      <c r="C95" s="71"/>
      <c r="D95" s="71"/>
      <c r="E95" s="75"/>
      <c r="F95" s="132" t="e">
        <f>'ADJ SUMMARY'!#REF!</f>
        <v>#REF!</v>
      </c>
    </row>
    <row r="96" spans="1:6" hidden="1">
      <c r="A96" s="410" t="e">
        <f>'ADJ SUMMARY'!#REF!</f>
        <v>#REF!</v>
      </c>
      <c r="B96" s="90" t="e">
        <f>'ADJ SUMMARY'!#REF!</f>
        <v>#REF!</v>
      </c>
      <c r="C96" s="71"/>
      <c r="D96" s="71"/>
      <c r="E96" s="75"/>
      <c r="F96" s="132" t="e">
        <f>'ADJ SUMMARY'!#REF!</f>
        <v>#REF!</v>
      </c>
    </row>
    <row r="97" spans="1:6" hidden="1">
      <c r="A97" s="410" t="e">
        <f>'ADJ SUMMARY'!#REF!</f>
        <v>#REF!</v>
      </c>
      <c r="B97" s="90" t="e">
        <f>'ADJ SUMMARY'!#REF!</f>
        <v>#REF!</v>
      </c>
      <c r="C97" s="71"/>
      <c r="D97" s="71"/>
      <c r="E97" s="75"/>
      <c r="F97" s="132" t="e">
        <f>'ADJ SUMMARY'!#REF!</f>
        <v>#REF!</v>
      </c>
    </row>
    <row r="98" spans="1:6" hidden="1">
      <c r="A98" s="410" t="e">
        <f>'ADJ SUMMARY'!#REF!</f>
        <v>#REF!</v>
      </c>
      <c r="B98" s="90" t="e">
        <f>'ADJ SUMMARY'!#REF!</f>
        <v>#REF!</v>
      </c>
      <c r="C98" s="71"/>
      <c r="D98" s="71"/>
      <c r="E98" s="75"/>
      <c r="F98" s="132" t="e">
        <f>'ADJ SUMMARY'!#REF!</f>
        <v>#REF!</v>
      </c>
    </row>
    <row r="99" spans="1:6" hidden="1">
      <c r="A99" s="410" t="e">
        <f>'ADJ SUMMARY'!#REF!</f>
        <v>#REF!</v>
      </c>
      <c r="B99" s="90" t="e">
        <f>'ADJ SUMMARY'!#REF!</f>
        <v>#REF!</v>
      </c>
      <c r="C99" s="71"/>
      <c r="D99" s="71"/>
      <c r="E99" s="75"/>
      <c r="F99" s="132" t="e">
        <f>'ADJ SUMMARY'!#REF!</f>
        <v>#REF!</v>
      </c>
    </row>
    <row r="100" spans="1:6" hidden="1">
      <c r="A100" s="410" t="e">
        <f>'ADJ SUMMARY'!#REF!</f>
        <v>#REF!</v>
      </c>
      <c r="B100" s="90" t="e">
        <f>'ADJ SUMMARY'!#REF!</f>
        <v>#REF!</v>
      </c>
      <c r="C100" s="71"/>
      <c r="D100" s="71"/>
      <c r="E100" s="75"/>
      <c r="F100" s="132" t="e">
        <f>'ADJ SUMMARY'!#REF!</f>
        <v>#REF!</v>
      </c>
    </row>
    <row r="101" spans="1:6" hidden="1">
      <c r="A101" s="410" t="e">
        <f>'ADJ SUMMARY'!#REF!</f>
        <v>#REF!</v>
      </c>
      <c r="B101" s="90" t="e">
        <f>'ADJ SUMMARY'!#REF!</f>
        <v>#REF!</v>
      </c>
      <c r="C101" s="71"/>
      <c r="D101" s="71"/>
      <c r="E101" s="75"/>
      <c r="F101" s="132" t="e">
        <f>'ADJ SUMMARY'!#REF!</f>
        <v>#REF!</v>
      </c>
    </row>
    <row r="102" spans="1:6" hidden="1">
      <c r="A102" s="410" t="e">
        <f>'ADJ SUMMARY'!#REF!</f>
        <v>#REF!</v>
      </c>
      <c r="B102" s="90" t="e">
        <f>'ADJ SUMMARY'!#REF!</f>
        <v>#REF!</v>
      </c>
      <c r="C102" s="71"/>
      <c r="D102" s="71"/>
      <c r="E102" s="75"/>
      <c r="F102" s="132" t="e">
        <f>'ADJ SUMMARY'!#REF!</f>
        <v>#REF!</v>
      </c>
    </row>
    <row r="103" spans="1:6" hidden="1">
      <c r="A103" s="410" t="e">
        <f>'ADJ SUMMARY'!#REF!</f>
        <v>#REF!</v>
      </c>
      <c r="B103" s="90" t="e">
        <f>'ADJ SUMMARY'!#REF!</f>
        <v>#REF!</v>
      </c>
      <c r="C103" s="71"/>
      <c r="D103" s="71"/>
      <c r="E103" s="75"/>
      <c r="F103" s="132" t="e">
        <f>'ADJ SUMMARY'!#REF!</f>
        <v>#REF!</v>
      </c>
    </row>
    <row r="104" spans="1:6" hidden="1">
      <c r="A104" s="410" t="e">
        <f>'ADJ SUMMARY'!#REF!</f>
        <v>#REF!</v>
      </c>
      <c r="B104" s="90" t="e">
        <f>'ADJ SUMMARY'!#REF!</f>
        <v>#REF!</v>
      </c>
      <c r="C104" s="71"/>
      <c r="D104" s="71"/>
      <c r="E104" s="75"/>
      <c r="F104" s="132" t="e">
        <f>'ADJ SUMMARY'!#REF!</f>
        <v>#REF!</v>
      </c>
    </row>
    <row r="105" spans="1:6" hidden="1">
      <c r="A105" s="410" t="e">
        <f>'ADJ SUMMARY'!#REF!</f>
        <v>#REF!</v>
      </c>
      <c r="B105" s="90" t="e">
        <f>'ADJ SUMMARY'!#REF!</f>
        <v>#REF!</v>
      </c>
      <c r="C105" s="71"/>
      <c r="D105" s="71"/>
      <c r="E105" s="75"/>
      <c r="F105" s="132" t="e">
        <f>'ADJ SUMMARY'!#REF!</f>
        <v>#REF!</v>
      </c>
    </row>
    <row r="106" spans="1:6" hidden="1">
      <c r="A106" s="410" t="e">
        <f>'ADJ SUMMARY'!#REF!</f>
        <v>#REF!</v>
      </c>
      <c r="B106" s="90" t="e">
        <f>'ADJ SUMMARY'!#REF!</f>
        <v>#REF!</v>
      </c>
      <c r="C106" s="71"/>
      <c r="D106" s="71"/>
      <c r="E106" s="75"/>
      <c r="F106" s="132" t="e">
        <f>'ADJ SUMMARY'!#REF!</f>
        <v>#REF!</v>
      </c>
    </row>
    <row r="107" spans="1:6" hidden="1">
      <c r="A107" s="410" t="e">
        <f>'ADJ SUMMARY'!#REF!</f>
        <v>#REF!</v>
      </c>
      <c r="B107" s="90" t="e">
        <f>'ADJ SUMMARY'!#REF!</f>
        <v>#REF!</v>
      </c>
      <c r="C107" s="71"/>
      <c r="D107" s="71"/>
      <c r="E107" s="75"/>
      <c r="F107" s="132" t="e">
        <f>'ADJ SUMMARY'!#REF!</f>
        <v>#REF!</v>
      </c>
    </row>
    <row r="108" spans="1:6" hidden="1">
      <c r="A108" s="410" t="e">
        <f>'ADJ SUMMARY'!#REF!</f>
        <v>#REF!</v>
      </c>
      <c r="B108" s="90" t="e">
        <f>'ADJ SUMMARY'!#REF!</f>
        <v>#REF!</v>
      </c>
      <c r="C108" s="71"/>
      <c r="D108" s="71"/>
      <c r="E108" s="75"/>
      <c r="F108" s="132" t="e">
        <f>'ADJ SUMMARY'!#REF!</f>
        <v>#REF!</v>
      </c>
    </row>
    <row r="109" spans="1:6" hidden="1">
      <c r="A109" s="410" t="e">
        <f>'ADJ SUMMARY'!#REF!</f>
        <v>#REF!</v>
      </c>
      <c r="B109" s="90" t="e">
        <f>'ADJ SUMMARY'!#REF!</f>
        <v>#REF!</v>
      </c>
      <c r="C109" s="71"/>
      <c r="D109" s="71"/>
      <c r="E109" s="75"/>
      <c r="F109" s="132" t="e">
        <f>'ADJ SUMMARY'!#REF!</f>
        <v>#REF!</v>
      </c>
    </row>
    <row r="110" spans="1:6" hidden="1">
      <c r="A110" s="410" t="e">
        <f>'ADJ SUMMARY'!#REF!</f>
        <v>#REF!</v>
      </c>
      <c r="B110" s="90" t="e">
        <f>'ADJ SUMMARY'!#REF!</f>
        <v>#REF!</v>
      </c>
      <c r="C110" s="71"/>
      <c r="D110" s="71"/>
      <c r="E110" s="75"/>
      <c r="F110" s="132" t="e">
        <f>'ADJ SUMMARY'!#REF!</f>
        <v>#REF!</v>
      </c>
    </row>
    <row r="111" spans="1:6" ht="5.25" hidden="1" customHeight="1">
      <c r="C111" s="71"/>
      <c r="D111" s="71"/>
      <c r="E111" s="75"/>
      <c r="F111" s="132"/>
    </row>
    <row r="112" spans="1:6" ht="13.5" hidden="1" customHeight="1">
      <c r="A112" s="410" t="e">
        <f>'ADJ SUMMARY'!#REF!</f>
        <v>#REF!</v>
      </c>
      <c r="B112" s="90" t="e">
        <f>'ADJ SUMMARY'!#REF!</f>
        <v>#REF!</v>
      </c>
      <c r="C112" s="71"/>
      <c r="D112" s="71"/>
      <c r="E112" s="75"/>
      <c r="F112" s="132" t="e">
        <f>'ADJ SUMMARY'!#REF!</f>
        <v>#REF!</v>
      </c>
    </row>
    <row r="113" spans="1:6" hidden="1">
      <c r="A113" s="410" t="e">
        <f>'ADJ SUMMARY'!#REF!</f>
        <v>#REF!</v>
      </c>
      <c r="B113" s="90" t="e">
        <f>'ADJ SUMMARY'!#REF!</f>
        <v>#REF!</v>
      </c>
      <c r="C113" s="71"/>
      <c r="D113" s="71"/>
      <c r="E113" s="75"/>
      <c r="F113" s="132" t="e">
        <f>'ADJ SUMMARY'!#REF!</f>
        <v>#REF!</v>
      </c>
    </row>
    <row r="114" spans="1:6" hidden="1">
      <c r="A114" s="410" t="e">
        <f>'ADJ SUMMARY'!#REF!</f>
        <v>#REF!</v>
      </c>
      <c r="B114" s="90" t="e">
        <f>'ADJ SUMMARY'!#REF!</f>
        <v>#REF!</v>
      </c>
      <c r="C114" s="71"/>
      <c r="D114" s="71"/>
      <c r="E114" s="75"/>
      <c r="F114" s="132" t="e">
        <f>'ADJ SUMMARY'!#REF!</f>
        <v>#REF!</v>
      </c>
    </row>
    <row r="115" spans="1:6" hidden="1">
      <c r="A115" s="410" t="e">
        <f>'ADJ SUMMARY'!#REF!</f>
        <v>#REF!</v>
      </c>
      <c r="B115" s="90" t="e">
        <f>'ADJ SUMMARY'!#REF!</f>
        <v>#REF!</v>
      </c>
      <c r="C115" s="71"/>
      <c r="D115" s="71"/>
      <c r="E115" s="75"/>
      <c r="F115" s="132" t="e">
        <f>'ADJ SUMMARY'!#REF!</f>
        <v>#REF!</v>
      </c>
    </row>
    <row r="116" spans="1:6" hidden="1">
      <c r="A116" s="410" t="e">
        <f>'ADJ SUMMARY'!#REF!</f>
        <v>#REF!</v>
      </c>
      <c r="B116" s="90" t="e">
        <f>'ADJ SUMMARY'!#REF!</f>
        <v>#REF!</v>
      </c>
      <c r="C116" s="71"/>
      <c r="D116" s="71"/>
      <c r="E116" s="75"/>
      <c r="F116" s="132" t="e">
        <f>'ADJ SUMMARY'!#REF!</f>
        <v>#REF!</v>
      </c>
    </row>
    <row r="117" spans="1:6" hidden="1">
      <c r="A117" s="410" t="e">
        <f>'ADJ SUMMARY'!#REF!</f>
        <v>#REF!</v>
      </c>
      <c r="B117" s="90" t="e">
        <f>'ADJ SUMMARY'!#REF!</f>
        <v>#REF!</v>
      </c>
      <c r="C117" s="71"/>
      <c r="D117" s="71"/>
      <c r="E117" s="75"/>
      <c r="F117" s="132" t="e">
        <f>'ADJ SUMMARY'!#REF!</f>
        <v>#REF!</v>
      </c>
    </row>
    <row r="118" spans="1:6" hidden="1">
      <c r="A118" s="410" t="e">
        <f>'ADJ SUMMARY'!#REF!</f>
        <v>#REF!</v>
      </c>
      <c r="B118" s="90" t="e">
        <f>'ADJ SUMMARY'!#REF!</f>
        <v>#REF!</v>
      </c>
      <c r="C118" s="71"/>
      <c r="D118" s="71"/>
      <c r="E118" s="75"/>
      <c r="F118" s="132" t="e">
        <f>'ADJ SUMMARY'!#REF!</f>
        <v>#REF!</v>
      </c>
    </row>
    <row r="119" spans="1:6" hidden="1">
      <c r="A119" s="410" t="e">
        <f>'ADJ SUMMARY'!#REF!</f>
        <v>#REF!</v>
      </c>
      <c r="B119" s="90" t="e">
        <f>'ADJ SUMMARY'!#REF!</f>
        <v>#REF!</v>
      </c>
      <c r="C119" s="71"/>
      <c r="D119" s="71"/>
      <c r="E119" s="75"/>
      <c r="F119" s="132" t="e">
        <f>'ADJ SUMMARY'!#REF!</f>
        <v>#REF!</v>
      </c>
    </row>
    <row r="120" spans="1:6" hidden="1">
      <c r="A120" s="410" t="e">
        <f>'ADJ SUMMARY'!#REF!</f>
        <v>#REF!</v>
      </c>
      <c r="B120" s="90" t="e">
        <f>'ADJ SUMMARY'!#REF!</f>
        <v>#REF!</v>
      </c>
      <c r="C120" s="71"/>
      <c r="D120" s="71"/>
      <c r="E120" s="75"/>
      <c r="F120" s="132" t="e">
        <f>'ADJ SUMMARY'!#REF!</f>
        <v>#REF!</v>
      </c>
    </row>
    <row r="121" spans="1:6" hidden="1">
      <c r="A121" s="410" t="e">
        <f>'ADJ SUMMARY'!#REF!</f>
        <v>#REF!</v>
      </c>
      <c r="B121" s="90" t="e">
        <f>'ADJ SUMMARY'!#REF!</f>
        <v>#REF!</v>
      </c>
      <c r="C121" s="71"/>
      <c r="D121" s="71"/>
      <c r="E121" s="75"/>
      <c r="F121" s="132" t="e">
        <f>'ADJ SUMMARY'!#REF!</f>
        <v>#REF!</v>
      </c>
    </row>
    <row r="122" spans="1:6" hidden="1">
      <c r="A122" s="410" t="e">
        <f>'ADJ SUMMARY'!#REF!</f>
        <v>#REF!</v>
      </c>
      <c r="B122" s="90" t="e">
        <f>'ADJ SUMMARY'!#REF!</f>
        <v>#REF!</v>
      </c>
      <c r="C122" s="71"/>
      <c r="D122" s="71"/>
      <c r="E122" s="75"/>
      <c r="F122" s="132" t="e">
        <f>'ADJ SUMMARY'!#REF!</f>
        <v>#REF!</v>
      </c>
    </row>
    <row r="123" spans="1:6" hidden="1">
      <c r="A123" s="410" t="e">
        <f>'ADJ SUMMARY'!#REF!</f>
        <v>#REF!</v>
      </c>
      <c r="B123" s="90" t="e">
        <f>'ADJ SUMMARY'!#REF!</f>
        <v>#REF!</v>
      </c>
      <c r="C123" s="71"/>
      <c r="D123" s="71"/>
      <c r="E123" s="75"/>
      <c r="F123" s="132" t="e">
        <f>'ADJ SUMMARY'!#REF!</f>
        <v>#REF!</v>
      </c>
    </row>
    <row r="124" spans="1:6" hidden="1">
      <c r="A124" s="410" t="e">
        <f>'ADJ SUMMARY'!#REF!</f>
        <v>#REF!</v>
      </c>
      <c r="B124" s="90" t="e">
        <f>'ADJ SUMMARY'!#REF!</f>
        <v>#REF!</v>
      </c>
      <c r="C124" s="71"/>
      <c r="D124" s="71"/>
      <c r="E124" s="75"/>
      <c r="F124" s="132" t="e">
        <f>'ADJ SUMMARY'!#REF!</f>
        <v>#REF!</v>
      </c>
    </row>
    <row r="125" spans="1:6" hidden="1">
      <c r="A125" s="410" t="e">
        <f>'ADJ SUMMARY'!#REF!</f>
        <v>#REF!</v>
      </c>
      <c r="B125" s="90" t="e">
        <f>'ADJ SUMMARY'!#REF!</f>
        <v>#REF!</v>
      </c>
      <c r="C125" s="71"/>
      <c r="D125" s="71"/>
      <c r="E125" s="75"/>
      <c r="F125" s="132" t="e">
        <f>'ADJ SUMMARY'!#REF!</f>
        <v>#REF!</v>
      </c>
    </row>
    <row r="126" spans="1:6" ht="13.5" hidden="1" customHeight="1">
      <c r="A126" s="410" t="e">
        <f>'ADJ SUMMARY'!#REF!</f>
        <v>#REF!</v>
      </c>
      <c r="B126" s="90" t="e">
        <f>'ADJ SUMMARY'!#REF!</f>
        <v>#REF!</v>
      </c>
      <c r="C126" s="71"/>
      <c r="D126" s="71"/>
      <c r="E126" s="75"/>
      <c r="F126" s="132" t="e">
        <f>'ADJ SUMMARY'!#REF!</f>
        <v>#REF!</v>
      </c>
    </row>
    <row r="127" spans="1:6" ht="0.75" hidden="1" customHeight="1">
      <c r="A127" s="410" t="e">
        <f>'ADJ SUMMARY'!#REF!</f>
        <v>#REF!</v>
      </c>
      <c r="B127" s="90" t="e">
        <f>'ADJ SUMMARY'!#REF!</f>
        <v>#REF!</v>
      </c>
      <c r="C127" s="71"/>
      <c r="D127" s="71"/>
      <c r="E127" s="75"/>
      <c r="F127" s="132" t="e">
        <f>'ADJ SUMMARY'!#REF!</f>
        <v>#REF!</v>
      </c>
    </row>
    <row r="128" spans="1:6" ht="13.5" hidden="1" customHeight="1">
      <c r="B128" s="90" t="s">
        <v>188</v>
      </c>
      <c r="C128" s="71"/>
      <c r="D128" s="71"/>
      <c r="E128" s="75"/>
      <c r="F128" s="76" t="e">
        <f>SUM(F90:F127)</f>
        <v>#REF!</v>
      </c>
    </row>
    <row r="129" spans="1:9" hidden="1">
      <c r="C129" s="71"/>
      <c r="D129" s="71"/>
      <c r="E129" s="71"/>
      <c r="F129" s="68"/>
      <c r="G129" s="149"/>
    </row>
    <row r="130" spans="1:9" hidden="1">
      <c r="B130" s="90" t="str">
        <f>B51</f>
        <v>Weighted Average Cost of Debt</v>
      </c>
      <c r="C130" s="87"/>
      <c r="D130" s="87"/>
      <c r="E130" s="88"/>
      <c r="F130" s="180" t="e">
        <f>'Exh. No. BGM-3 2'!#REF!</f>
        <v>#REF!</v>
      </c>
      <c r="H130" s="181" t="s">
        <v>245</v>
      </c>
      <c r="I130" s="96"/>
    </row>
    <row r="131" spans="1:9" hidden="1">
      <c r="C131" s="71"/>
      <c r="D131" s="71"/>
      <c r="F131" s="68"/>
    </row>
    <row r="132" spans="1:9" hidden="1">
      <c r="B132" s="90" t="s">
        <v>149</v>
      </c>
      <c r="C132" s="71"/>
      <c r="D132" s="71"/>
      <c r="E132" s="75"/>
      <c r="F132" s="75" t="e">
        <f>F128*F130</f>
        <v>#REF!</v>
      </c>
    </row>
    <row r="133" spans="1:9" hidden="1">
      <c r="C133" s="71"/>
      <c r="D133" s="71"/>
      <c r="E133" s="71"/>
      <c r="F133" s="68"/>
    </row>
    <row r="134" spans="1:9" hidden="1">
      <c r="B134" s="90" t="s">
        <v>249</v>
      </c>
      <c r="C134" s="71"/>
      <c r="D134" s="71"/>
      <c r="F134" s="158">
        <v>21469</v>
      </c>
      <c r="H134" s="163" t="s">
        <v>252</v>
      </c>
    </row>
    <row r="135" spans="1:9" hidden="1">
      <c r="C135" s="71"/>
      <c r="D135" s="71"/>
      <c r="E135" s="71"/>
      <c r="F135" s="68"/>
    </row>
    <row r="136" spans="1:9" hidden="1">
      <c r="B136" s="90" t="s">
        <v>151</v>
      </c>
      <c r="C136" s="71"/>
      <c r="D136" s="71"/>
      <c r="E136" s="75"/>
      <c r="F136" s="75" t="e">
        <f>F132-F134</f>
        <v>#REF!</v>
      </c>
    </row>
    <row r="137" spans="1:9" hidden="1">
      <c r="B137" s="90" t="s">
        <v>152</v>
      </c>
      <c r="D137" s="71"/>
      <c r="E137" s="78"/>
      <c r="F137" s="79">
        <v>0.35</v>
      </c>
    </row>
    <row r="138" spans="1:9" hidden="1">
      <c r="D138" s="71"/>
      <c r="E138" s="71"/>
      <c r="F138" s="68"/>
    </row>
    <row r="139" spans="1:9" hidden="1">
      <c r="B139" s="90" t="s">
        <v>153</v>
      </c>
      <c r="D139" s="71"/>
      <c r="E139" s="75"/>
      <c r="F139" s="75" t="e">
        <f>F136*-F137</f>
        <v>#REF!</v>
      </c>
      <c r="G139" s="75"/>
    </row>
    <row r="140" spans="1:9" ht="13.5" hidden="1" thickTop="1">
      <c r="D140" s="71"/>
      <c r="E140" s="75"/>
      <c r="F140" s="89"/>
    </row>
    <row r="141" spans="1:9" hidden="1">
      <c r="A141" s="415"/>
      <c r="F141" s="68"/>
    </row>
    <row r="142" spans="1:9" hidden="1">
      <c r="A142" s="415"/>
      <c r="B142" s="417" t="s">
        <v>150</v>
      </c>
      <c r="F142" s="68"/>
    </row>
    <row r="143" spans="1:9" hidden="1">
      <c r="A143" s="415"/>
      <c r="B143" s="90" t="s">
        <v>154</v>
      </c>
      <c r="C143" s="75">
        <f>C65</f>
        <v>2430</v>
      </c>
      <c r="F143" s="68"/>
    </row>
    <row r="144" spans="1:9" hidden="1">
      <c r="A144" s="415"/>
      <c r="B144" s="90" t="s">
        <v>155</v>
      </c>
      <c r="C144" s="68">
        <f>C66</f>
        <v>2935</v>
      </c>
      <c r="F144" s="68"/>
    </row>
    <row r="145" spans="1:6" hidden="1">
      <c r="A145" s="415"/>
      <c r="B145" s="90" t="s">
        <v>156</v>
      </c>
      <c r="C145" s="76">
        <f>C143+C144</f>
        <v>5365</v>
      </c>
      <c r="F145" s="68"/>
    </row>
    <row r="146" spans="1:6" hidden="1">
      <c r="A146" s="415"/>
      <c r="C146" s="75"/>
      <c r="F146" s="68"/>
    </row>
    <row r="147" spans="1:6" hidden="1">
      <c r="A147" s="415"/>
      <c r="C147" s="80"/>
      <c r="D147" s="72"/>
      <c r="E147" s="72" t="s">
        <v>157</v>
      </c>
      <c r="F147" s="68"/>
    </row>
    <row r="148" spans="1:6" hidden="1">
      <c r="A148" s="415"/>
      <c r="C148" s="74" t="s">
        <v>126</v>
      </c>
      <c r="D148" s="74" t="s">
        <v>158</v>
      </c>
      <c r="E148" s="74" t="s">
        <v>31</v>
      </c>
      <c r="F148" s="68"/>
    </row>
    <row r="149" spans="1:6" hidden="1">
      <c r="A149" s="415"/>
      <c r="B149" s="90" t="s">
        <v>159</v>
      </c>
      <c r="C149" s="75" t="e">
        <f>$C$71</f>
        <v>#REF!</v>
      </c>
      <c r="D149" s="77" t="e">
        <f>C149/C152</f>
        <v>#REF!</v>
      </c>
      <c r="E149" s="75" t="e">
        <f>D149*E152</f>
        <v>#REF!</v>
      </c>
      <c r="F149" s="68"/>
    </row>
    <row r="150" spans="1:6" hidden="1">
      <c r="A150" s="415"/>
      <c r="B150" s="90" t="s">
        <v>160</v>
      </c>
      <c r="C150" s="68" t="e">
        <f>$C$72</f>
        <v>#REF!</v>
      </c>
      <c r="D150" s="86" t="e">
        <f>C150/C152</f>
        <v>#REF!</v>
      </c>
      <c r="E150" s="81" t="e">
        <f>D150*E152</f>
        <v>#REF!</v>
      </c>
      <c r="F150" s="68"/>
    </row>
    <row r="151" spans="1:6" hidden="1">
      <c r="A151" s="415"/>
      <c r="B151" s="90" t="s">
        <v>161</v>
      </c>
      <c r="C151" s="68" t="e">
        <f>$C$73</f>
        <v>#REF!</v>
      </c>
      <c r="D151" s="86" t="e">
        <f>C151/C152</f>
        <v>#REF!</v>
      </c>
      <c r="E151" s="81" t="e">
        <f>E152*D151</f>
        <v>#REF!</v>
      </c>
      <c r="F151" s="68"/>
    </row>
    <row r="152" spans="1:6" hidden="1">
      <c r="A152" s="415"/>
      <c r="B152" s="90" t="s">
        <v>162</v>
      </c>
      <c r="C152" s="76" t="e">
        <f>C149+C150+C151</f>
        <v>#REF!</v>
      </c>
      <c r="D152" s="82" t="e">
        <f>D149+D150+D151</f>
        <v>#REF!</v>
      </c>
      <c r="E152" s="76">
        <f>C145</f>
        <v>5365</v>
      </c>
      <c r="F152" s="68"/>
    </row>
    <row r="153" spans="1:6" hidden="1">
      <c r="A153" s="415"/>
      <c r="F153" s="68"/>
    </row>
    <row r="154" spans="1:6" hidden="1">
      <c r="A154" s="415"/>
      <c r="B154" s="90" t="s">
        <v>163</v>
      </c>
      <c r="C154" s="75" t="e">
        <f>$C$76</f>
        <v>#REF!</v>
      </c>
      <c r="D154" s="77" t="e">
        <f>C154/C156</f>
        <v>#REF!</v>
      </c>
      <c r="E154" s="75" t="e">
        <f>D154*E156</f>
        <v>#REF!</v>
      </c>
      <c r="F154" s="68"/>
    </row>
    <row r="155" spans="1:6" hidden="1">
      <c r="A155" s="415"/>
      <c r="B155" s="90" t="s">
        <v>164</v>
      </c>
      <c r="C155" s="68" t="e">
        <f>$C$77</f>
        <v>#REF!</v>
      </c>
      <c r="D155" s="77" t="e">
        <f>C155/C156</f>
        <v>#REF!</v>
      </c>
      <c r="E155" s="68" t="e">
        <f>D155*E156</f>
        <v>#REF!</v>
      </c>
      <c r="F155" s="68"/>
    </row>
    <row r="156" spans="1:6" hidden="1">
      <c r="A156" s="415"/>
      <c r="B156" s="90" t="s">
        <v>162</v>
      </c>
      <c r="C156" s="76" t="e">
        <f>C154+C155</f>
        <v>#REF!</v>
      </c>
      <c r="D156" s="82" t="e">
        <f>D154+D155</f>
        <v>#REF!</v>
      </c>
      <c r="E156" s="76" t="e">
        <f>E149</f>
        <v>#REF!</v>
      </c>
      <c r="F156" s="68"/>
    </row>
    <row r="157" spans="1:6" hidden="1">
      <c r="A157" s="415"/>
      <c r="F157" s="68"/>
    </row>
    <row r="158" spans="1:6" hidden="1">
      <c r="A158" s="415"/>
      <c r="B158" s="90" t="s">
        <v>165</v>
      </c>
      <c r="C158" s="75" t="e">
        <f>$C$80</f>
        <v>#REF!</v>
      </c>
      <c r="D158" s="83" t="e">
        <f>C158/C160</f>
        <v>#REF!</v>
      </c>
      <c r="E158" s="75" t="e">
        <f>E160*D158</f>
        <v>#REF!</v>
      </c>
      <c r="F158" s="68"/>
    </row>
    <row r="159" spans="1:6" hidden="1">
      <c r="A159" s="415"/>
      <c r="B159" s="90" t="s">
        <v>166</v>
      </c>
      <c r="C159" s="68" t="e">
        <f>C$81</f>
        <v>#REF!</v>
      </c>
      <c r="D159" s="84" t="e">
        <f>C159/C160</f>
        <v>#REF!</v>
      </c>
      <c r="E159" s="68" t="e">
        <f>E160*D159</f>
        <v>#REF!</v>
      </c>
      <c r="F159" s="68"/>
    </row>
    <row r="160" spans="1:6" hidden="1">
      <c r="A160" s="415"/>
      <c r="B160" s="90" t="s">
        <v>162</v>
      </c>
      <c r="C160" s="76" t="e">
        <f>SUM(C158:C159)</f>
        <v>#REF!</v>
      </c>
      <c r="D160" s="85" t="e">
        <f>SUM(D158:D159)</f>
        <v>#REF!</v>
      </c>
      <c r="E160" s="76" t="e">
        <f>E150</f>
        <v>#REF!</v>
      </c>
      <c r="F160" s="68"/>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82" max="16383" man="1"/>
  </rowBreaks>
  <colBreaks count="1" manualBreakCount="1">
    <brk id="9" max="62"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122"/>
  <sheetViews>
    <sheetView zoomScaleNormal="100" workbookViewId="0">
      <selection sqref="A1:N1"/>
    </sheetView>
  </sheetViews>
  <sheetFormatPr defaultColWidth="9.140625" defaultRowHeight="12.75"/>
  <cols>
    <col min="1" max="1" width="6.42578125" style="391" customWidth="1"/>
    <col min="2" max="2" width="12.140625" style="26" customWidth="1"/>
    <col min="3" max="3" width="26" style="26" customWidth="1"/>
    <col min="4" max="4" width="9.42578125" style="26" customWidth="1"/>
    <col min="5" max="5" width="10.85546875" style="26" customWidth="1"/>
    <col min="6" max="6" width="1.5703125" style="26" customWidth="1"/>
    <col min="7" max="7" width="11.42578125" style="26" customWidth="1"/>
    <col min="8" max="8" width="11.28515625" style="58" customWidth="1"/>
    <col min="9" max="9" width="2" style="26" customWidth="1"/>
    <col min="10" max="10" width="12.85546875" style="55" customWidth="1"/>
    <col min="11" max="11" width="12" style="26" customWidth="1"/>
    <col min="12" max="12" width="1.140625" style="26" customWidth="1"/>
    <col min="13" max="13" width="13.42578125" style="26" customWidth="1"/>
    <col min="14" max="14" width="9.28515625" style="26" customWidth="1"/>
    <col min="15" max="15" width="7.7109375" style="26" hidden="1" customWidth="1"/>
    <col min="16" max="16" width="7.7109375" style="266" hidden="1" customWidth="1"/>
    <col min="17" max="17" width="18" style="26" bestFit="1" customWidth="1"/>
    <col min="18" max="18" width="8" style="106" bestFit="1" customWidth="1"/>
    <col min="19" max="19" width="7.42578125" style="26" bestFit="1" customWidth="1"/>
    <col min="20" max="16384" width="9.140625" style="26"/>
  </cols>
  <sheetData>
    <row r="1" spans="1:20" ht="21.75" customHeight="1">
      <c r="A1" s="872" t="s">
        <v>116</v>
      </c>
      <c r="B1" s="872"/>
      <c r="C1" s="872"/>
      <c r="D1" s="872"/>
      <c r="E1" s="872"/>
      <c r="F1" s="872"/>
      <c r="G1" s="872"/>
      <c r="H1" s="872"/>
      <c r="I1" s="872"/>
      <c r="J1" s="872"/>
      <c r="K1" s="872"/>
      <c r="L1" s="872"/>
      <c r="M1" s="872"/>
      <c r="N1" s="872"/>
      <c r="O1" s="271"/>
      <c r="Q1" s="167"/>
    </row>
    <row r="2" spans="1:20" ht="15.75" customHeight="1">
      <c r="A2" s="872" t="s">
        <v>268</v>
      </c>
      <c r="B2" s="872"/>
      <c r="C2" s="872"/>
      <c r="D2" s="872"/>
      <c r="E2" s="872"/>
      <c r="F2" s="872"/>
      <c r="G2" s="872"/>
      <c r="H2" s="872"/>
      <c r="I2" s="872"/>
      <c r="J2" s="872"/>
      <c r="K2" s="872"/>
      <c r="L2" s="872"/>
      <c r="M2" s="872"/>
      <c r="N2" s="872"/>
      <c r="O2" s="271"/>
      <c r="Q2" s="167"/>
    </row>
    <row r="3" spans="1:20" ht="15.75" customHeight="1">
      <c r="A3" s="872" t="s">
        <v>264</v>
      </c>
      <c r="B3" s="872"/>
      <c r="C3" s="872"/>
      <c r="D3" s="872"/>
      <c r="E3" s="872"/>
      <c r="F3" s="872"/>
      <c r="G3" s="872"/>
      <c r="H3" s="872"/>
      <c r="I3" s="872"/>
      <c r="J3" s="872"/>
      <c r="K3" s="872"/>
      <c r="L3" s="872"/>
      <c r="M3" s="872"/>
      <c r="N3" s="872"/>
      <c r="O3" s="271"/>
      <c r="Q3" s="167"/>
    </row>
    <row r="4" spans="1:20" s="28" customFormat="1">
      <c r="A4" s="391"/>
      <c r="B4" s="26"/>
      <c r="C4" s="26"/>
      <c r="D4" s="26"/>
      <c r="E4" s="173"/>
      <c r="F4" s="47"/>
      <c r="G4" s="26"/>
      <c r="H4" s="173"/>
      <c r="J4" s="26"/>
      <c r="K4" s="26"/>
      <c r="L4" s="26"/>
      <c r="M4" s="26"/>
      <c r="N4" s="26"/>
      <c r="O4" s="26"/>
      <c r="P4" s="266"/>
      <c r="Q4" s="156"/>
      <c r="R4" s="112"/>
    </row>
    <row r="5" spans="1:20">
      <c r="D5" s="797" t="s">
        <v>789</v>
      </c>
      <c r="E5" s="797"/>
      <c r="F5" s="797"/>
      <c r="G5" s="797"/>
      <c r="H5" s="26"/>
      <c r="I5" s="31"/>
      <c r="J5" s="26"/>
      <c r="K5" s="28"/>
      <c r="L5" s="263"/>
      <c r="M5" s="862" t="s">
        <v>259</v>
      </c>
      <c r="N5" s="862"/>
      <c r="O5" s="270"/>
      <c r="Q5" s="167"/>
    </row>
    <row r="6" spans="1:20">
      <c r="D6" s="874" t="s">
        <v>260</v>
      </c>
      <c r="E6" s="874"/>
      <c r="G6" s="875"/>
      <c r="H6" s="875"/>
      <c r="I6" s="31"/>
      <c r="J6" s="862" t="s">
        <v>261</v>
      </c>
      <c r="K6" s="862"/>
      <c r="L6" s="28"/>
      <c r="M6" s="862" t="s">
        <v>262</v>
      </c>
      <c r="N6" s="862"/>
      <c r="O6" s="270"/>
      <c r="Q6" s="167"/>
    </row>
    <row r="7" spans="1:20">
      <c r="D7" s="873" t="s">
        <v>78</v>
      </c>
      <c r="E7" s="873"/>
      <c r="G7" s="873" t="s">
        <v>78</v>
      </c>
      <c r="H7" s="873"/>
      <c r="I7" s="31"/>
      <c r="J7" s="873" t="s">
        <v>78</v>
      </c>
      <c r="K7" s="873"/>
      <c r="L7" s="28"/>
      <c r="M7" s="30" t="s">
        <v>263</v>
      </c>
      <c r="N7" s="30" t="s">
        <v>24</v>
      </c>
      <c r="O7" s="270"/>
    </row>
    <row r="8" spans="1:20">
      <c r="A8" s="392" t="s">
        <v>79</v>
      </c>
      <c r="B8" s="34" t="s">
        <v>80</v>
      </c>
      <c r="C8" s="30"/>
      <c r="D8" s="34" t="s">
        <v>81</v>
      </c>
      <c r="E8" s="34" t="s">
        <v>24</v>
      </c>
      <c r="F8" s="30"/>
      <c r="G8" s="34" t="s">
        <v>81</v>
      </c>
      <c r="H8" s="34" t="s">
        <v>24</v>
      </c>
      <c r="I8" s="31"/>
      <c r="J8" s="34" t="s">
        <v>81</v>
      </c>
      <c r="K8" s="34" t="s">
        <v>24</v>
      </c>
      <c r="M8" s="177">
        <f>'Exh. No. BGM-3 2'!E22</f>
        <v>0.61941299999999999</v>
      </c>
      <c r="N8" s="218">
        <f>'Exh. No. BGM-3 2'!N14</f>
        <v>7.0800000000000002E-2</v>
      </c>
      <c r="O8" s="42"/>
      <c r="Q8" s="167"/>
    </row>
    <row r="9" spans="1:20">
      <c r="A9" s="394">
        <f>'Exh. No. BGM-3 4'!E$10</f>
        <v>1</v>
      </c>
      <c r="B9" s="54" t="str">
        <f>TRIM(CONCATENATE('Exh. No. BGM-3 4'!E$8," ",'Exh. No. BGM-3 4'!E$9," "))</f>
        <v>Results of Operations</v>
      </c>
      <c r="C9" s="55"/>
      <c r="D9" s="57">
        <v>0</v>
      </c>
      <c r="E9" s="57">
        <v>0</v>
      </c>
      <c r="F9" s="55"/>
      <c r="G9" s="56">
        <f>'Exh. No. BGM-3 4'!E$56</f>
        <v>110557</v>
      </c>
      <c r="H9" s="57">
        <f>'Exh. No. BGM-3 4'!E$80</f>
        <v>1444926</v>
      </c>
      <c r="I9" s="58"/>
      <c r="J9" s="56">
        <f>G9-D9</f>
        <v>110557</v>
      </c>
      <c r="K9" s="56">
        <f>H9-E9</f>
        <v>1444926</v>
      </c>
      <c r="L9" s="48"/>
      <c r="M9" s="207">
        <f>J9/$M$8*-1</f>
        <v>-178486.72856397912</v>
      </c>
      <c r="N9" s="207">
        <f>K9*$N$8/$M$8</f>
        <v>165157.59404468426</v>
      </c>
      <c r="O9" s="207">
        <f>(H9*$N$8/$M$8)-(G9/$M$8)</f>
        <v>-13329.134519294865</v>
      </c>
      <c r="P9" s="267">
        <f>SUM(M9:N9)</f>
        <v>-13329.134519294865</v>
      </c>
      <c r="Q9" s="39"/>
    </row>
    <row r="10" spans="1:20" s="55" customFormat="1">
      <c r="A10" s="394">
        <f>'Exh. No. BGM-3 4'!F$10</f>
        <v>1.01</v>
      </c>
      <c r="B10" s="54" t="str">
        <f>TRIM(CONCATENATE('Exh. No. BGM-3 4'!F$7," ",'Exh. No. BGM-3 4'!F$8," ",'Exh. No. BGM-3 4'!F$9))</f>
        <v>Deferred FIT Rate Base</v>
      </c>
      <c r="D10" s="57">
        <v>0</v>
      </c>
      <c r="E10" s="57">
        <v>0</v>
      </c>
      <c r="G10" s="57">
        <f>'Exh. No. BGM-3 4'!F$56</f>
        <v>7.5602799999999997</v>
      </c>
      <c r="H10" s="57">
        <f>'Exh. No. BGM-3 4'!F$80</f>
        <v>806</v>
      </c>
      <c r="I10" s="143"/>
      <c r="J10" s="56">
        <f t="shared" ref="J10:J12" si="0">G10-D10</f>
        <v>7.5602799999999997</v>
      </c>
      <c r="K10" s="56">
        <f t="shared" ref="K10:K12" si="1">H10-E10</f>
        <v>806</v>
      </c>
      <c r="L10" s="48"/>
      <c r="M10" s="207">
        <f t="shared" ref="M10:M12" si="2">J10/$M$8*-1</f>
        <v>-12.205555905349096</v>
      </c>
      <c r="N10" s="207">
        <f t="shared" ref="N10:N12" si="3">K10*$N$8/$M$8</f>
        <v>92.127223677901497</v>
      </c>
      <c r="O10" s="207">
        <f>(H10*$N$8/$M$8)-(G10/$M$8)</f>
        <v>79.921667772552397</v>
      </c>
      <c r="P10" s="267">
        <f>SUM(M10:N10)</f>
        <v>79.921667772552397</v>
      </c>
      <c r="Q10" s="39"/>
      <c r="R10" s="150"/>
    </row>
    <row r="11" spans="1:20" s="55" customFormat="1">
      <c r="A11" s="394">
        <f>'Exh. No. BGM-3 4'!G$10</f>
        <v>1.02</v>
      </c>
      <c r="B11" s="54" t="str">
        <f>TRIM(CONCATENATE('Exh. No. BGM-3 4'!G$7," ",'Exh. No. BGM-3 4'!G$8," ",'Exh. No. BGM-3 4'!G$9))</f>
        <v>Deferred Debits and Credits</v>
      </c>
      <c r="D11" s="57">
        <v>0</v>
      </c>
      <c r="E11" s="57">
        <v>0</v>
      </c>
      <c r="G11" s="57">
        <f>'Exh. No. BGM-3 4'!G$56</f>
        <v>-7.8000000000000007</v>
      </c>
      <c r="H11" s="57">
        <f>'Exh. No. BGM-3 4'!G$80</f>
        <v>0</v>
      </c>
      <c r="I11" s="143"/>
      <c r="J11" s="56">
        <f t="shared" si="0"/>
        <v>-7.8000000000000007</v>
      </c>
      <c r="K11" s="56">
        <f t="shared" si="1"/>
        <v>0</v>
      </c>
      <c r="L11" s="219"/>
      <c r="M11" s="207">
        <f t="shared" si="2"/>
        <v>12.592567479210157</v>
      </c>
      <c r="N11" s="207">
        <f t="shared" si="3"/>
        <v>0</v>
      </c>
      <c r="O11" s="207">
        <f t="shared" ref="O11:O35" si="4">(H11*$N$8/$M$8)-(G11/$M$8)</f>
        <v>12.592567479210157</v>
      </c>
      <c r="P11" s="267">
        <f t="shared" ref="P11:P12" si="5">SUM(M11:N11)</f>
        <v>12.592567479210157</v>
      </c>
      <c r="Q11" s="39"/>
      <c r="R11" s="150"/>
    </row>
    <row r="12" spans="1:20" ht="13.5" customHeight="1">
      <c r="A12" s="394">
        <f>'Exh. No. BGM-3 4'!H$10</f>
        <v>1.03</v>
      </c>
      <c r="B12" s="54" t="str">
        <f>TRIM(CONCATENATE('Exh. No. BGM-3 4'!H$7," ",'Exh. No. BGM-3 4'!H$8," ",'Exh. No. BGM-3 4'!H$9))</f>
        <v>Working Capital</v>
      </c>
      <c r="C12" s="55"/>
      <c r="D12" s="57">
        <v>0</v>
      </c>
      <c r="E12" s="57">
        <v>0</v>
      </c>
      <c r="F12" s="55"/>
      <c r="G12" s="57">
        <f>'Exh. No. BGM-3 4'!H$56</f>
        <v>-28.196279999999998</v>
      </c>
      <c r="H12" s="57">
        <f>'Exh. No. BGM-3 4'!H$80</f>
        <v>-3006</v>
      </c>
      <c r="I12" s="64"/>
      <c r="J12" s="56">
        <f t="shared" si="0"/>
        <v>-28.196279999999998</v>
      </c>
      <c r="K12" s="56">
        <f t="shared" si="1"/>
        <v>-3006</v>
      </c>
      <c r="M12" s="207">
        <f t="shared" si="2"/>
        <v>45.520969046500475</v>
      </c>
      <c r="N12" s="207">
        <f t="shared" si="3"/>
        <v>-343.5911096473597</v>
      </c>
      <c r="O12" s="207">
        <f t="shared" si="4"/>
        <v>-298.07014060085925</v>
      </c>
      <c r="P12" s="267">
        <f t="shared" si="5"/>
        <v>-298.07014060085925</v>
      </c>
      <c r="Q12" s="208"/>
      <c r="R12" s="273"/>
      <c r="S12" s="262"/>
    </row>
    <row r="13" spans="1:20">
      <c r="A13" s="395"/>
      <c r="B13" s="26" t="s">
        <v>83</v>
      </c>
      <c r="D13" s="40">
        <f>SUM(D9:D12)</f>
        <v>0</v>
      </c>
      <c r="E13" s="40">
        <f>SUM(E9:E12)</f>
        <v>0</v>
      </c>
      <c r="G13" s="40">
        <f>SUM(G9:G12)</f>
        <v>110528.564</v>
      </c>
      <c r="H13" s="40">
        <f>SUM(H9:H12)</f>
        <v>1442726</v>
      </c>
      <c r="I13" s="62"/>
      <c r="J13" s="40">
        <f>SUM(J9:J12)</f>
        <v>110528.564</v>
      </c>
      <c r="K13" s="40">
        <f>SUM(K9:K12)</f>
        <v>1442726</v>
      </c>
      <c r="L13" s="30"/>
      <c r="M13" s="40">
        <f>SUM(M9:M12)</f>
        <v>-178440.82058335876</v>
      </c>
      <c r="N13" s="40">
        <f>SUM(N9:N12)</f>
        <v>164906.1301587148</v>
      </c>
      <c r="O13" s="207">
        <f t="shared" si="4"/>
        <v>-13534.690424643952</v>
      </c>
      <c r="Q13" s="167"/>
    </row>
    <row r="14" spans="1:20">
      <c r="A14" s="393"/>
      <c r="G14" s="41"/>
      <c r="H14" s="41"/>
      <c r="I14" s="64"/>
      <c r="J14" s="37"/>
      <c r="K14" s="196"/>
      <c r="L14" s="30"/>
      <c r="O14" s="207">
        <f t="shared" si="4"/>
        <v>0</v>
      </c>
      <c r="Q14" s="167"/>
      <c r="S14" s="263"/>
      <c r="T14" s="55"/>
    </row>
    <row r="15" spans="1:20" s="48" customFormat="1">
      <c r="A15" s="394">
        <f>'Exh. No. BGM-3 4'!I$10</f>
        <v>2.0099999999999998</v>
      </c>
      <c r="B15" s="54" t="str">
        <f>TRIM(CONCATENATE('Exh. No. BGM-3 4'!I$7," ",'Exh. No. BGM-3 4'!I$8," ",'Exh. No. BGM-3 4'!I$9))</f>
        <v>Eliminate B &amp; O Taxes</v>
      </c>
      <c r="C15" s="55"/>
      <c r="D15" s="57">
        <v>0</v>
      </c>
      <c r="E15" s="57">
        <v>0</v>
      </c>
      <c r="F15" s="55"/>
      <c r="G15" s="57">
        <f>'Exh. No. BGM-3 4'!I$56</f>
        <v>-95.550000000000011</v>
      </c>
      <c r="H15" s="57">
        <f>'Exh. No. BGM-3 4'!I$80</f>
        <v>0</v>
      </c>
      <c r="I15" s="64"/>
      <c r="J15" s="56">
        <f t="shared" ref="J15:J31" si="6">G15-D15</f>
        <v>-95.550000000000011</v>
      </c>
      <c r="K15" s="56">
        <f t="shared" ref="K15:K31" si="7">H15-E15</f>
        <v>0</v>
      </c>
      <c r="L15" s="220"/>
      <c r="M15" s="207">
        <f t="shared" ref="M15:M31" si="8">J15/$M$8*-1</f>
        <v>154.25895162032441</v>
      </c>
      <c r="N15" s="207">
        <f t="shared" ref="N15:N31" si="9">K15*$N$8/$M$8</f>
        <v>0</v>
      </c>
      <c r="O15" s="207">
        <f t="shared" si="4"/>
        <v>154.25895162032441</v>
      </c>
      <c r="P15" s="267">
        <f t="shared" ref="P15:P24" si="10">SUM(M15:N15)</f>
        <v>154.25895162032441</v>
      </c>
      <c r="Q15" s="39"/>
      <c r="R15" s="248"/>
      <c r="S15" s="264"/>
      <c r="T15" s="55"/>
    </row>
    <row r="16" spans="1:20" s="48" customFormat="1">
      <c r="A16" s="394">
        <f>'Exh. No. BGM-3 4'!J$10</f>
        <v>2.0199999999999996</v>
      </c>
      <c r="B16" s="54" t="str">
        <f>TRIM(CONCATENATE('Exh. No. BGM-3 4'!J$7," ",'Exh. No. BGM-3 4'!J$8," ",'Exh. No. BGM-3 4'!J$9))</f>
        <v>Restate Property Tax</v>
      </c>
      <c r="C16" s="55"/>
      <c r="D16" s="57">
        <v>0</v>
      </c>
      <c r="E16" s="57">
        <v>0</v>
      </c>
      <c r="F16" s="55"/>
      <c r="G16" s="57">
        <f>'Exh. No. BGM-3 4'!J$56</f>
        <v>162.5</v>
      </c>
      <c r="H16" s="57">
        <f>'Exh. No. BGM-3 4'!J$80</f>
        <v>0</v>
      </c>
      <c r="I16" s="64"/>
      <c r="J16" s="56">
        <f t="shared" si="6"/>
        <v>162.5</v>
      </c>
      <c r="K16" s="56">
        <f t="shared" si="7"/>
        <v>0</v>
      </c>
      <c r="L16" s="220"/>
      <c r="M16" s="207">
        <f t="shared" si="8"/>
        <v>-262.34515581687822</v>
      </c>
      <c r="N16" s="207">
        <f t="shared" si="9"/>
        <v>0</v>
      </c>
      <c r="O16" s="207">
        <f t="shared" ref="O16" si="11">(H16*$N$8/$M$8)-(G16/$M$8)</f>
        <v>-262.34515581687822</v>
      </c>
      <c r="P16" s="267">
        <f t="shared" ref="P16" si="12">SUM(M16:N16)</f>
        <v>-262.34515581687822</v>
      </c>
      <c r="Q16" s="39"/>
      <c r="R16" s="248"/>
      <c r="S16" s="264"/>
      <c r="T16" s="55"/>
    </row>
    <row r="17" spans="1:20" s="48" customFormat="1">
      <c r="A17" s="394">
        <f>'Exh. No. BGM-3 4'!K$10</f>
        <v>2.0299999999999994</v>
      </c>
      <c r="B17" s="54" t="str">
        <f>TRIM(CONCATENATE('Exh. No. BGM-3 4'!K$7," ",'Exh. No. BGM-3 4'!K$8," ",'Exh. No. BGM-3 4'!K$9))</f>
        <v>Uncollect. Expense</v>
      </c>
      <c r="C17" s="55"/>
      <c r="D17" s="57">
        <v>0</v>
      </c>
      <c r="E17" s="57">
        <v>0</v>
      </c>
      <c r="F17" s="55"/>
      <c r="G17" s="57">
        <f>'Exh. No. BGM-3 4'!K$56</f>
        <v>-858.65000000000009</v>
      </c>
      <c r="H17" s="57">
        <f>'Exh. No. BGM-3 4'!K$80</f>
        <v>0</v>
      </c>
      <c r="I17" s="64"/>
      <c r="J17" s="56">
        <f t="shared" si="6"/>
        <v>-858.65000000000009</v>
      </c>
      <c r="K17" s="56">
        <f t="shared" si="7"/>
        <v>0</v>
      </c>
      <c r="L17" s="220"/>
      <c r="M17" s="207">
        <f t="shared" si="8"/>
        <v>1386.2318033363847</v>
      </c>
      <c r="N17" s="207">
        <f t="shared" si="9"/>
        <v>0</v>
      </c>
      <c r="O17" s="207">
        <f t="shared" si="4"/>
        <v>1386.2318033363847</v>
      </c>
      <c r="P17" s="267">
        <f t="shared" si="10"/>
        <v>1386.2318033363847</v>
      </c>
      <c r="Q17" s="39"/>
      <c r="R17" s="248"/>
      <c r="S17" s="262"/>
    </row>
    <row r="18" spans="1:20" s="48" customFormat="1">
      <c r="A18" s="394">
        <f>'Exh. No. BGM-3 4'!L$10</f>
        <v>2.0399999999999991</v>
      </c>
      <c r="B18" s="54" t="str">
        <f>TRIM(CONCATENATE('Exh. No. BGM-3 4'!L$7," ",'Exh. No. BGM-3 4'!L$8," ",'Exh. No. BGM-3 4'!L$9))</f>
        <v>Regulatory Expense</v>
      </c>
      <c r="C18" s="55"/>
      <c r="D18" s="57">
        <v>0</v>
      </c>
      <c r="E18" s="57">
        <v>0</v>
      </c>
      <c r="F18" s="55"/>
      <c r="G18" s="57">
        <f>'Exh. No. BGM-3 4'!L$56</f>
        <v>-4.5500000000000007</v>
      </c>
      <c r="H18" s="57">
        <f>'Exh. No. BGM-3 4'!L$80</f>
        <v>0</v>
      </c>
      <c r="I18" s="64"/>
      <c r="J18" s="56">
        <f t="shared" si="6"/>
        <v>-4.5500000000000007</v>
      </c>
      <c r="K18" s="56">
        <f t="shared" si="7"/>
        <v>0</v>
      </c>
      <c r="L18" s="220"/>
      <c r="M18" s="207">
        <f t="shared" si="8"/>
        <v>7.3456643628725917</v>
      </c>
      <c r="N18" s="207">
        <f t="shared" si="9"/>
        <v>0</v>
      </c>
      <c r="O18" s="207">
        <f t="shared" si="4"/>
        <v>7.3456643628725917</v>
      </c>
      <c r="P18" s="267">
        <f t="shared" si="10"/>
        <v>7.3456643628725917</v>
      </c>
      <c r="Q18" s="39"/>
      <c r="R18" s="248"/>
      <c r="S18" s="262"/>
    </row>
    <row r="19" spans="1:20" s="48" customFormat="1">
      <c r="A19" s="394">
        <f>'Exh. No. BGM-3 4'!M$10</f>
        <v>2.0499999999999989</v>
      </c>
      <c r="B19" s="54" t="str">
        <f>TRIM(CONCATENATE('Exh. No. BGM-3 4'!M$7," ",'Exh. No. BGM-3 4'!M$8," ",'Exh. No. BGM-3 4'!M$9))</f>
        <v>Injuries and Damages</v>
      </c>
      <c r="C19" s="55"/>
      <c r="D19" s="57">
        <v>0</v>
      </c>
      <c r="E19" s="57">
        <v>0</v>
      </c>
      <c r="F19" s="55"/>
      <c r="G19" s="57">
        <f>'Exh. No. BGM-3 4'!M$56</f>
        <v>-98.15</v>
      </c>
      <c r="H19" s="57">
        <f>'Exh. No. BGM-3 4'!M$80</f>
        <v>0</v>
      </c>
      <c r="I19" s="64"/>
      <c r="J19" s="56">
        <f t="shared" si="6"/>
        <v>-98.15</v>
      </c>
      <c r="K19" s="56">
        <f t="shared" si="7"/>
        <v>0</v>
      </c>
      <c r="L19" s="220"/>
      <c r="M19" s="207">
        <f t="shared" si="8"/>
        <v>158.45647411339448</v>
      </c>
      <c r="N19" s="207">
        <f t="shared" si="9"/>
        <v>0</v>
      </c>
      <c r="O19" s="207">
        <f t="shared" si="4"/>
        <v>158.45647411339448</v>
      </c>
      <c r="P19" s="267">
        <f t="shared" si="10"/>
        <v>158.45647411339448</v>
      </c>
      <c r="Q19" s="39"/>
      <c r="R19" s="248"/>
      <c r="S19" s="262"/>
    </row>
    <row r="20" spans="1:20" s="139" customFormat="1">
      <c r="A20" s="394">
        <f>'Exh. No. BGM-3 4'!N$10</f>
        <v>2.0599999999999987</v>
      </c>
      <c r="B20" s="54" t="str">
        <f>TRIM(CONCATENATE('Exh. No. BGM-3 4'!N$7," ",'Exh. No. BGM-3 4'!N$8," ",'Exh. No. BGM-3 4'!N$9))</f>
        <v>FIT/DFIT/ ITC Expense</v>
      </c>
      <c r="C20" s="55"/>
      <c r="D20" s="57">
        <v>0</v>
      </c>
      <c r="E20" s="57">
        <v>0</v>
      </c>
      <c r="F20" s="55"/>
      <c r="G20" s="57">
        <f>'Exh. No. BGM-3 4'!N$56</f>
        <v>-69</v>
      </c>
      <c r="H20" s="57">
        <f>'Exh. No. BGM-3 4'!N$80</f>
        <v>0</v>
      </c>
      <c r="I20" s="137"/>
      <c r="J20" s="56">
        <f t="shared" si="6"/>
        <v>-69</v>
      </c>
      <c r="K20" s="56">
        <f t="shared" si="7"/>
        <v>0</v>
      </c>
      <c r="L20" s="138"/>
      <c r="M20" s="207">
        <f t="shared" si="8"/>
        <v>111.39578923916676</v>
      </c>
      <c r="N20" s="207">
        <f t="shared" si="9"/>
        <v>0</v>
      </c>
      <c r="O20" s="207">
        <f t="shared" si="4"/>
        <v>111.39578923916676</v>
      </c>
      <c r="P20" s="267">
        <f t="shared" si="10"/>
        <v>111.39578923916676</v>
      </c>
      <c r="Q20" s="39"/>
      <c r="R20" s="249"/>
      <c r="S20" s="262"/>
    </row>
    <row r="21" spans="1:20">
      <c r="A21" s="394">
        <f>'Exh. No. BGM-3 4'!O$10</f>
        <v>2.0699999999999985</v>
      </c>
      <c r="B21" s="54" t="str">
        <f>TRIM(CONCATENATE('Exh. No. BGM-3 4'!O$7," ",'Exh. No. BGM-3 4'!O$8," ",'Exh. No. BGM-3 4'!O$9))</f>
        <v>Office Space Charges to Non-Utility</v>
      </c>
      <c r="C21" s="55"/>
      <c r="D21" s="57">
        <v>0</v>
      </c>
      <c r="E21" s="57">
        <v>0</v>
      </c>
      <c r="F21" s="55"/>
      <c r="G21" s="57">
        <f>'Exh. No. BGM-3 4'!O$56</f>
        <v>20.149999999999999</v>
      </c>
      <c r="H21" s="57">
        <f>'Exh. No. BGM-3 4'!O$80</f>
        <v>0</v>
      </c>
      <c r="I21" s="64"/>
      <c r="J21" s="56">
        <f t="shared" si="6"/>
        <v>20.149999999999999</v>
      </c>
      <c r="K21" s="56">
        <f t="shared" si="7"/>
        <v>0</v>
      </c>
      <c r="L21" s="30"/>
      <c r="M21" s="207">
        <f t="shared" si="8"/>
        <v>-32.530799321292896</v>
      </c>
      <c r="N21" s="207">
        <f t="shared" si="9"/>
        <v>0</v>
      </c>
      <c r="O21" s="207">
        <f t="shared" si="4"/>
        <v>-32.530799321292896</v>
      </c>
      <c r="P21" s="267">
        <f t="shared" si="10"/>
        <v>-32.530799321292896</v>
      </c>
      <c r="Q21" s="39"/>
      <c r="S21" s="262"/>
    </row>
    <row r="22" spans="1:20" s="139" customFormat="1">
      <c r="A22" s="394">
        <f>'Exh. No. BGM-3 4'!P$10</f>
        <v>2.0799999999999983</v>
      </c>
      <c r="B22" s="54" t="str">
        <f>TRIM(CONCATENATE('Exh. No. BGM-3 4'!P$7," ",'Exh. No. BGM-3 4'!P$8," ",'Exh. No. BGM-3 4'!P$9))</f>
        <v>Restate Excise Taxes</v>
      </c>
      <c r="C22" s="55"/>
      <c r="D22" s="57">
        <v>0</v>
      </c>
      <c r="E22" s="57">
        <v>0</v>
      </c>
      <c r="F22" s="55"/>
      <c r="G22" s="57">
        <f>'Exh. No. BGM-3 4'!P$56</f>
        <v>40.299999999999997</v>
      </c>
      <c r="H22" s="57">
        <f>'Exh. No. BGM-3 4'!P$80</f>
        <v>0</v>
      </c>
      <c r="I22" s="152"/>
      <c r="J22" s="56">
        <f t="shared" si="6"/>
        <v>40.299999999999997</v>
      </c>
      <c r="K22" s="56">
        <f t="shared" si="7"/>
        <v>0</v>
      </c>
      <c r="L22" s="138"/>
      <c r="M22" s="207">
        <f t="shared" si="8"/>
        <v>-65.061598642585793</v>
      </c>
      <c r="N22" s="207">
        <f t="shared" si="9"/>
        <v>0</v>
      </c>
      <c r="O22" s="207">
        <f t="shared" si="4"/>
        <v>-65.061598642585793</v>
      </c>
      <c r="P22" s="267">
        <f t="shared" si="10"/>
        <v>-65.061598642585793</v>
      </c>
      <c r="Q22" s="208"/>
      <c r="R22" s="249"/>
    </row>
    <row r="23" spans="1:20" s="139" customFormat="1">
      <c r="A23" s="394">
        <f>'Exh. No. BGM-3 4'!Q$10</f>
        <v>2.0899999999999981</v>
      </c>
      <c r="B23" s="54" t="str">
        <f>TRIM(CONCATENATE('Exh. No. BGM-3 4'!Q$7," ",'Exh. No. BGM-3 4'!Q$8," ",'Exh. No. BGM-3 4'!Q$9))</f>
        <v>Net Gains / Losses</v>
      </c>
      <c r="C23" s="55"/>
      <c r="D23" s="57">
        <v>0</v>
      </c>
      <c r="E23" s="57">
        <v>0</v>
      </c>
      <c r="F23" s="55"/>
      <c r="G23" s="57">
        <f>'Exh. No. BGM-3 4'!Q$56</f>
        <v>61.1</v>
      </c>
      <c r="H23" s="57">
        <f>'Exh. No. BGM-3 4'!Q$80</f>
        <v>0</v>
      </c>
      <c r="I23" s="152"/>
      <c r="J23" s="56">
        <f t="shared" si="6"/>
        <v>61.1</v>
      </c>
      <c r="K23" s="56">
        <f t="shared" si="7"/>
        <v>0</v>
      </c>
      <c r="L23" s="138"/>
      <c r="M23" s="207">
        <f t="shared" si="8"/>
        <v>-98.64177858714622</v>
      </c>
      <c r="N23" s="207">
        <f t="shared" si="9"/>
        <v>0</v>
      </c>
      <c r="O23" s="207">
        <f t="shared" si="4"/>
        <v>-98.64177858714622</v>
      </c>
      <c r="P23" s="267">
        <f t="shared" si="10"/>
        <v>-98.64177858714622</v>
      </c>
      <c r="Q23" s="208"/>
      <c r="R23" s="249"/>
      <c r="S23" s="262"/>
      <c r="T23" s="263"/>
    </row>
    <row r="24" spans="1:20">
      <c r="A24" s="394">
        <f>'Exh. No. BGM-3 4'!R$10</f>
        <v>2.0999999999999979</v>
      </c>
      <c r="B24" s="54" t="str">
        <f>TRIM(CONCATENATE('Exh. No. BGM-3 4'!R$7," ",'Exh. No. BGM-3 4'!R$8," ",'Exh. No. BGM-3 4'!R$9))</f>
        <v>Weather Normalization</v>
      </c>
      <c r="C24" s="55"/>
      <c r="D24" s="57">
        <v>0</v>
      </c>
      <c r="E24" s="57">
        <v>0</v>
      </c>
      <c r="F24" s="55"/>
      <c r="G24" s="57">
        <f>'Exh. No. BGM-3 4'!R$56</f>
        <v>824.85</v>
      </c>
      <c r="H24" s="57">
        <f>'Exh. No. BGM-3 4'!R$80</f>
        <v>0</v>
      </c>
      <c r="I24" s="154"/>
      <c r="J24" s="56">
        <f t="shared" si="6"/>
        <v>824.85</v>
      </c>
      <c r="K24" s="56">
        <f t="shared" si="7"/>
        <v>0</v>
      </c>
      <c r="L24" s="30"/>
      <c r="M24" s="207">
        <f t="shared" si="8"/>
        <v>-1331.664010926474</v>
      </c>
      <c r="N24" s="207">
        <f t="shared" si="9"/>
        <v>0</v>
      </c>
      <c r="O24" s="207">
        <f t="shared" si="4"/>
        <v>-1331.664010926474</v>
      </c>
      <c r="P24" s="267">
        <f t="shared" si="10"/>
        <v>-1331.664010926474</v>
      </c>
      <c r="Q24" s="208"/>
      <c r="T24" s="264"/>
    </row>
    <row r="25" spans="1:20" s="139" customFormat="1">
      <c r="A25" s="394">
        <f>'Exh. No. BGM-3 4'!S$10</f>
        <v>2.1099999999999977</v>
      </c>
      <c r="B25" s="54" t="str">
        <f>TRIM(CONCATENATE('Exh. No. BGM-3 4'!S$7," ",'Exh. No. BGM-3 4'!S$8," ",'Exh. No. BGM-3 4'!S$9))</f>
        <v>Eliminate Adder Schedules</v>
      </c>
      <c r="C25" s="55"/>
      <c r="D25" s="57">
        <v>0</v>
      </c>
      <c r="E25" s="57">
        <v>0</v>
      </c>
      <c r="F25" s="55"/>
      <c r="G25" s="57">
        <f>'Exh. No. BGM-3 4'!S$56</f>
        <v>0</v>
      </c>
      <c r="H25" s="57">
        <f>'Exh. No. BGM-3 4'!T$80</f>
        <v>0</v>
      </c>
      <c r="I25" s="137"/>
      <c r="J25" s="56">
        <f t="shared" si="6"/>
        <v>0</v>
      </c>
      <c r="K25" s="56">
        <f t="shared" si="7"/>
        <v>0</v>
      </c>
      <c r="M25" s="207">
        <f t="shared" si="8"/>
        <v>0</v>
      </c>
      <c r="N25" s="207">
        <f t="shared" si="9"/>
        <v>0</v>
      </c>
      <c r="O25" s="207">
        <f t="shared" ref="O25" si="13">(H25*$N$8/$M$8)-(G25/$M$8)</f>
        <v>0</v>
      </c>
      <c r="P25" s="267">
        <f t="shared" ref="P25" si="14">SUM(M25:N25)</f>
        <v>0</v>
      </c>
      <c r="Q25" s="208"/>
      <c r="R25" s="249"/>
      <c r="S25" s="262"/>
    </row>
    <row r="26" spans="1:20" s="139" customFormat="1">
      <c r="A26" s="394">
        <f>'Exh. No. BGM-3 4'!T$10</f>
        <v>2.1199999999999974</v>
      </c>
      <c r="B26" s="54" t="str">
        <f>TRIM(CONCATENATE('Exh. No. BGM-3 4'!T$7," ",'Exh. No. BGM-3 4'!T$8," ",'Exh. No. BGM-3 4'!T$9))</f>
        <v>Misc. Restating Non-Util / Non- Recurring Expenses</v>
      </c>
      <c r="C26" s="55"/>
      <c r="D26" s="57">
        <v>0</v>
      </c>
      <c r="E26" s="57">
        <v>0</v>
      </c>
      <c r="F26" s="55"/>
      <c r="G26" s="57">
        <f>'Exh. No. BGM-3 4'!T$56</f>
        <v>-969.15</v>
      </c>
      <c r="H26" s="57">
        <f>'Exh. No. BGM-3 4'!T$80</f>
        <v>0</v>
      </c>
      <c r="I26" s="137"/>
      <c r="J26" s="56">
        <f t="shared" si="6"/>
        <v>-969.15</v>
      </c>
      <c r="K26" s="56">
        <f t="shared" si="7"/>
        <v>0</v>
      </c>
      <c r="M26" s="207">
        <f t="shared" si="8"/>
        <v>1564.6265092918618</v>
      </c>
      <c r="N26" s="207">
        <f t="shared" si="9"/>
        <v>0</v>
      </c>
      <c r="O26" s="207">
        <f>(H26*$N$8/$M$8)-(G26/$M$8)</f>
        <v>1564.6265092918618</v>
      </c>
      <c r="P26" s="267">
        <f>SUM(M26:N26)</f>
        <v>1564.6265092918618</v>
      </c>
      <c r="Q26" s="208"/>
      <c r="R26" s="249"/>
      <c r="S26" s="262"/>
    </row>
    <row r="27" spans="1:20" s="48" customFormat="1">
      <c r="A27" s="394">
        <f>'Exh. No. BGM-3 4'!U$10</f>
        <v>2.1299999999999972</v>
      </c>
      <c r="B27" s="54" t="str">
        <f>TRIM(CONCATENATE('Exh. No. BGM-3 4'!U$7," ",'Exh. No. BGM-3 4'!U$8," ",'Exh. No. BGM-3 4'!U$9))</f>
        <v>Eliminate WA Power Cost Defer</v>
      </c>
      <c r="C27" s="55"/>
      <c r="D27" s="57">
        <v>0</v>
      </c>
      <c r="E27" s="57">
        <v>0</v>
      </c>
      <c r="F27" s="55"/>
      <c r="G27" s="57">
        <f>'Exh. No. BGM-3 4'!U$56</f>
        <v>4386</v>
      </c>
      <c r="H27" s="57">
        <f>'Exh. No. BGM-3 4'!U$80</f>
        <v>0</v>
      </c>
      <c r="I27" s="64"/>
      <c r="J27" s="56">
        <f t="shared" si="6"/>
        <v>4386</v>
      </c>
      <c r="K27" s="56">
        <f t="shared" si="7"/>
        <v>0</v>
      </c>
      <c r="L27" s="220"/>
      <c r="M27" s="207">
        <f t="shared" si="8"/>
        <v>-7080.8975594635567</v>
      </c>
      <c r="N27" s="207">
        <f t="shared" si="9"/>
        <v>0</v>
      </c>
      <c r="O27" s="207">
        <f>(H27*$N$8/$M$8)-(G27/$M$8)</f>
        <v>-7080.8975594635567</v>
      </c>
      <c r="P27" s="267">
        <f>SUM(M27:N27)</f>
        <v>-7080.8975594635567</v>
      </c>
      <c r="Q27" s="39"/>
      <c r="R27" s="248"/>
    </row>
    <row r="28" spans="1:20" s="48" customFormat="1" ht="12" customHeight="1">
      <c r="A28" s="394">
        <f>'Exh. No. BGM-3 4'!V$10</f>
        <v>2.139999999999997</v>
      </c>
      <c r="B28" s="54" t="str">
        <f>TRIM(CONCATENATE('Exh. No. BGM-3 4'!V$7," ",'Exh. No. BGM-3 4'!V$8," ",'Exh. No. BGM-3 4'!V$9))</f>
        <v>Nez Perce Settlement Adjustment</v>
      </c>
      <c r="C28" s="55"/>
      <c r="D28" s="57">
        <v>0</v>
      </c>
      <c r="E28" s="57">
        <v>0</v>
      </c>
      <c r="F28" s="55"/>
      <c r="G28" s="57">
        <f>'Exh. No. BGM-3 4'!V$56</f>
        <v>2.6</v>
      </c>
      <c r="H28" s="57">
        <f>'Exh. No. BGM-3 4'!V$80</f>
        <v>0</v>
      </c>
      <c r="I28" s="64"/>
      <c r="J28" s="56">
        <f t="shared" si="6"/>
        <v>2.6</v>
      </c>
      <c r="K28" s="56">
        <f t="shared" si="7"/>
        <v>0</v>
      </c>
      <c r="L28" s="220"/>
      <c r="M28" s="207">
        <f t="shared" si="8"/>
        <v>-4.1975224930700517</v>
      </c>
      <c r="N28" s="207">
        <f t="shared" si="9"/>
        <v>0</v>
      </c>
      <c r="O28" s="207">
        <f>(H28*$N$8/$M$8)-(G28/$M$8)</f>
        <v>-4.1975224930700517</v>
      </c>
      <c r="P28" s="267">
        <f>SUM(M28:N28)</f>
        <v>-4.1975224930700517</v>
      </c>
      <c r="Q28" s="39"/>
      <c r="R28" s="248"/>
      <c r="S28" s="262"/>
    </row>
    <row r="29" spans="1:20" s="48" customFormat="1" ht="12" customHeight="1">
      <c r="A29" s="394">
        <f>'Exh. No. BGM-3 4'!W$10</f>
        <v>2.1499999999999968</v>
      </c>
      <c r="B29" s="54" t="str">
        <f>TRIM(CONCATENATE('Exh. No. BGM-3 4'!W$7," ",'Exh. No. BGM-3 4'!W$8," ",'Exh. No. BGM-3 4'!W$9))</f>
        <v>Restating Incentives</v>
      </c>
      <c r="C29" s="55"/>
      <c r="D29" s="57">
        <v>0</v>
      </c>
      <c r="E29" s="57">
        <v>0</v>
      </c>
      <c r="F29" s="55"/>
      <c r="G29" s="57">
        <f>'Exh. No. BGM-3 4'!W$56</f>
        <v>406.9</v>
      </c>
      <c r="H29" s="57">
        <f>'Exh. No. BGM-3 4'!W$80</f>
        <v>0</v>
      </c>
      <c r="I29" s="64"/>
      <c r="J29" s="56">
        <f t="shared" ref="J29" si="15">G29-D29</f>
        <v>406.9</v>
      </c>
      <c r="K29" s="56">
        <f t="shared" ref="K29" si="16">H29-E29</f>
        <v>0</v>
      </c>
      <c r="L29" s="220"/>
      <c r="M29" s="207">
        <f t="shared" ref="M29" si="17">J29/$M$8*-1</f>
        <v>-656.91227016546304</v>
      </c>
      <c r="N29" s="207">
        <f t="shared" ref="N29" si="18">K29*$N$8/$M$8</f>
        <v>0</v>
      </c>
      <c r="O29" s="207">
        <f>(H29*$N$8/$M$8)-(G29/$M$8)</f>
        <v>-656.91227016546304</v>
      </c>
      <c r="P29" s="267">
        <f>SUM(M29:N29)</f>
        <v>-656.91227016546304</v>
      </c>
      <c r="Q29" s="39"/>
      <c r="R29" s="248"/>
      <c r="S29" s="262"/>
    </row>
    <row r="30" spans="1:20">
      <c r="A30" s="621">
        <f>'Exh. No. BGM-3 4'!X$10</f>
        <v>2.1599999999999966</v>
      </c>
      <c r="B30" s="483" t="str">
        <f>TRIM(CONCATENATE('Exh. No. BGM-3 4'!X$7," ",'Exh. No. BGM-3 4'!X$8," ",'Exh. No. BGM-3 4'!X$9))</f>
        <v>Normalize CS2/Colstrip Major Maint</v>
      </c>
      <c r="C30" s="197"/>
      <c r="D30" s="57">
        <v>0</v>
      </c>
      <c r="E30" s="57">
        <v>0</v>
      </c>
      <c r="F30" s="144"/>
      <c r="G30" s="118">
        <f>'Exh. No. BGM-3 4'!X$56</f>
        <v>763.1</v>
      </c>
      <c r="H30" s="118">
        <f>'Exh. No. BGM-3 4'!X$80</f>
        <v>0</v>
      </c>
      <c r="I30" s="64"/>
      <c r="J30" s="56">
        <f>G30-D30</f>
        <v>763.1</v>
      </c>
      <c r="K30" s="56">
        <f>H30-E30</f>
        <v>0</v>
      </c>
      <c r="L30" s="31"/>
      <c r="M30" s="207">
        <f>J30/$M$8*-1</f>
        <v>-1231.9728517160602</v>
      </c>
      <c r="N30" s="207">
        <f>K30*$N$8/$M$8</f>
        <v>0</v>
      </c>
      <c r="O30" s="207">
        <f t="shared" ref="O30" si="19">(H30*$N$8/$M$8)-(G30/$M$8)</f>
        <v>-1231.9728517160602</v>
      </c>
      <c r="P30" s="267">
        <f t="shared" ref="P30" si="20">SUM(M30:N30)</f>
        <v>-1231.9728517160602</v>
      </c>
      <c r="Q30" s="208"/>
      <c r="R30" s="185"/>
      <c r="S30" s="262"/>
    </row>
    <row r="31" spans="1:20" s="173" customFormat="1">
      <c r="A31" s="396">
        <f>'Exh. No. BGM-3 4'!Y$10</f>
        <v>2.1699999999999964</v>
      </c>
      <c r="B31" s="171" t="str">
        <f>TRIM(CONCATENATE('Exh. No. BGM-3 4'!Y$7," ",'Exh. No. BGM-3 4'!Y$8," ",'Exh. No. BGM-3 4'!Y$9))</f>
        <v>Restate Debt Interest</v>
      </c>
      <c r="C31" s="172"/>
      <c r="D31" s="57">
        <v>0</v>
      </c>
      <c r="E31" s="57">
        <v>0</v>
      </c>
      <c r="F31" s="172"/>
      <c r="G31" s="151">
        <f>'Exh. No. BGM-3 4'!Y$56</f>
        <v>-202</v>
      </c>
      <c r="H31" s="151">
        <f>'Exh. No. BGM-3 4'!Y$80</f>
        <v>0</v>
      </c>
      <c r="I31" s="205"/>
      <c r="J31" s="56">
        <f t="shared" si="6"/>
        <v>-202</v>
      </c>
      <c r="K31" s="56">
        <f t="shared" si="7"/>
        <v>0</v>
      </c>
      <c r="L31" s="221"/>
      <c r="M31" s="207">
        <f t="shared" si="8"/>
        <v>326.11520907698093</v>
      </c>
      <c r="N31" s="207">
        <f t="shared" si="9"/>
        <v>0</v>
      </c>
      <c r="O31" s="207">
        <f>(H31*$N$8/$M$8)-(G31/$M$8)</f>
        <v>326.11520907698093</v>
      </c>
      <c r="P31" s="267">
        <f>SUM(M31:N31)</f>
        <v>326.11520907698093</v>
      </c>
      <c r="Q31" s="208"/>
      <c r="R31" s="185"/>
      <c r="S31" s="262"/>
    </row>
    <row r="32" spans="1:20" s="173" customFormat="1">
      <c r="A32" s="396">
        <f>'Exh. No. BGM-3 4'!Z$10</f>
        <v>2.1799999999999962</v>
      </c>
      <c r="B32" s="171" t="str">
        <f>TRIM(CONCATENATE('Exh. No. BGM-3 4'!Z$7," ",'Exh. No. BGM-3 4'!Z$8," ",'Exh. No. BGM-3 4'!Z$9))</f>
        <v>Authorized Power Supply</v>
      </c>
      <c r="C32" s="172"/>
      <c r="D32" s="57">
        <v>0</v>
      </c>
      <c r="E32" s="57">
        <v>0</v>
      </c>
      <c r="F32" s="172"/>
      <c r="G32" s="151">
        <f>'Exh. No. BGM-3 4'!Z$56</f>
        <v>-7696</v>
      </c>
      <c r="H32" s="151">
        <f>'Exh. No. BGM-3 4'!Z$80</f>
        <v>0</v>
      </c>
      <c r="I32" s="205"/>
      <c r="J32" s="56">
        <f t="shared" ref="J32" si="21">G32-D32</f>
        <v>-7696</v>
      </c>
      <c r="K32" s="56">
        <f t="shared" ref="K32" si="22">H32-E32</f>
        <v>0</v>
      </c>
      <c r="L32" s="221"/>
      <c r="M32" s="207">
        <f t="shared" ref="M32" si="23">J32/$M$8*-1</f>
        <v>12424.666579487353</v>
      </c>
      <c r="N32" s="207">
        <f t="shared" ref="N32" si="24">K32*$N$8/$M$8</f>
        <v>0</v>
      </c>
      <c r="O32" s="207">
        <f>(H32*$N$8/$M$8)-(G32/$M$8)</f>
        <v>12424.666579487353</v>
      </c>
      <c r="P32" s="267">
        <f>SUM(M32:N32)</f>
        <v>12424.666579487353</v>
      </c>
      <c r="Q32" s="208"/>
      <c r="R32" s="559"/>
      <c r="S32" s="262"/>
    </row>
    <row r="33" spans="1:19" s="116" customFormat="1">
      <c r="A33" s="397"/>
      <c r="B33" s="54"/>
      <c r="C33" s="55"/>
      <c r="D33" s="232"/>
      <c r="E33" s="232"/>
      <c r="F33" s="55"/>
      <c r="G33" s="133"/>
      <c r="H33" s="133"/>
      <c r="I33" s="64"/>
      <c r="J33" s="236"/>
      <c r="K33" s="232"/>
      <c r="L33" s="222"/>
      <c r="M33" s="237"/>
      <c r="N33" s="237"/>
      <c r="O33" s="207"/>
      <c r="P33" s="266"/>
      <c r="Q33" s="260"/>
      <c r="R33" s="278"/>
      <c r="S33" s="262"/>
    </row>
    <row r="34" spans="1:19" ht="13.5" thickBot="1">
      <c r="A34" s="398"/>
      <c r="B34" s="26" t="s">
        <v>84</v>
      </c>
      <c r="D34" s="45">
        <f>SUM(D13:D33)</f>
        <v>0</v>
      </c>
      <c r="E34" s="45">
        <f>SUM(E13:E33)</f>
        <v>0</v>
      </c>
      <c r="G34" s="45">
        <f>SUM(G13:G33)</f>
        <v>107203.01400000002</v>
      </c>
      <c r="H34" s="45">
        <f>SUM(H13:H33)</f>
        <v>1442726</v>
      </c>
      <c r="I34" s="62"/>
      <c r="J34" s="45">
        <f>SUM(J13:J33)</f>
        <v>107203.01400000002</v>
      </c>
      <c r="K34" s="45">
        <f>SUM(K13:K33)</f>
        <v>1442726</v>
      </c>
      <c r="L34" s="30"/>
      <c r="M34" s="45">
        <f>SUM(M13:M33)</f>
        <v>-173071.947149963</v>
      </c>
      <c r="N34" s="45">
        <f>SUM(N13:N33)</f>
        <v>164906.1301587148</v>
      </c>
      <c r="O34" s="207">
        <f t="shared" si="4"/>
        <v>-8165.8169912481972</v>
      </c>
      <c r="Q34" s="167"/>
      <c r="R34" s="185"/>
      <c r="S34" s="262"/>
    </row>
    <row r="35" spans="1:19" ht="14.25" customHeight="1" thickTop="1">
      <c r="A35" s="653" t="s">
        <v>311</v>
      </c>
      <c r="B35" s="167"/>
      <c r="C35" s="167"/>
      <c r="D35" s="167"/>
      <c r="E35" s="167"/>
      <c r="G35" s="129"/>
      <c r="H35" s="36"/>
      <c r="I35" s="62"/>
      <c r="J35" s="37"/>
      <c r="K35" s="144"/>
      <c r="L35" s="30"/>
      <c r="O35" s="207">
        <f t="shared" si="4"/>
        <v>0</v>
      </c>
      <c r="Q35" s="167"/>
      <c r="R35" s="185"/>
      <c r="S35" s="262"/>
    </row>
    <row r="36" spans="1:19">
      <c r="A36" s="394">
        <f>'Exh. No. BGM-3 4'!AD$10</f>
        <v>3.01</v>
      </c>
      <c r="B36" s="171" t="str">
        <f>TRIM(CONCATENATE('Exh. No. BGM-3 4'!AD$7," ",'Exh. No. BGM-3 4'!AD$8," ",'Exh. No. BGM-3 4'!AD$9))</f>
        <v>Pro Forma Trans/Power Sup Non-ERM Rev/Exp</v>
      </c>
      <c r="C36" s="172"/>
      <c r="D36" s="57">
        <v>0</v>
      </c>
      <c r="E36" s="57">
        <v>0</v>
      </c>
      <c r="F36" s="55"/>
      <c r="G36" s="57">
        <f>'Exh. No. BGM-3 4'!AD$56</f>
        <v>-65.650000000000006</v>
      </c>
      <c r="H36" s="57">
        <f>'Exh. No. BGM-3 4'!AD$80</f>
        <v>0</v>
      </c>
      <c r="I36" s="64"/>
      <c r="J36" s="56">
        <f t="shared" ref="J36:J46" si="25">G36-D36</f>
        <v>-65.650000000000006</v>
      </c>
      <c r="K36" s="56">
        <f t="shared" ref="K36:K46" si="26">H36-E36</f>
        <v>0</v>
      </c>
      <c r="L36" s="30"/>
      <c r="M36" s="207">
        <f t="shared" ref="M36:M46" si="27">J36/$M$8*-1</f>
        <v>105.98744295001882</v>
      </c>
      <c r="N36" s="207">
        <f t="shared" ref="N36:N46" si="28">K36*$N$8/$M$8</f>
        <v>0</v>
      </c>
      <c r="O36" s="207">
        <f t="shared" ref="O36:O45" si="29">(H36*$N$8/$M$8)-(G36/$M$8)</f>
        <v>105.98744295001882</v>
      </c>
      <c r="P36" s="267">
        <f t="shared" ref="P36:P45" si="30">SUM(M36:N36)</f>
        <v>105.98744295001882</v>
      </c>
      <c r="Q36" s="208"/>
      <c r="R36" s="185"/>
      <c r="S36" s="262"/>
    </row>
    <row r="37" spans="1:19">
      <c r="A37" s="394">
        <f>'Exh. No. BGM-3 4'!AE$10</f>
        <v>3.0199999999999996</v>
      </c>
      <c r="B37" s="171" t="str">
        <f>TRIM(CONCATENATE('Exh. No. BGM-3 4'!AE$7," ",'Exh. No. BGM-3 4'!AE$8," ",'Exh. No. BGM-3 4'!AE$9))</f>
        <v>Pro Forma Labor Non-Exec</v>
      </c>
      <c r="C37" s="172"/>
      <c r="D37" s="57">
        <v>0</v>
      </c>
      <c r="E37" s="57">
        <v>0</v>
      </c>
      <c r="F37" s="55"/>
      <c r="G37" s="57">
        <f>'Exh. No. BGM-3 4'!AE$56</f>
        <v>-997.19360000000017</v>
      </c>
      <c r="H37" s="57">
        <f>'Exh. No. BGM-3 4'!AE$80</f>
        <v>0</v>
      </c>
      <c r="I37" s="64"/>
      <c r="J37" s="56">
        <f t="shared" si="25"/>
        <v>-997.19360000000017</v>
      </c>
      <c r="K37" s="56">
        <f t="shared" si="26"/>
        <v>0</v>
      </c>
      <c r="L37" s="30"/>
      <c r="M37" s="207">
        <f t="shared" si="27"/>
        <v>1609.9009869021156</v>
      </c>
      <c r="N37" s="207">
        <f t="shared" si="28"/>
        <v>0</v>
      </c>
      <c r="O37" s="207">
        <f t="shared" si="29"/>
        <v>1609.9009869021156</v>
      </c>
      <c r="P37" s="267">
        <f t="shared" si="30"/>
        <v>1609.9009869021156</v>
      </c>
      <c r="Q37" s="208"/>
      <c r="R37" s="185"/>
      <c r="S37" s="262"/>
    </row>
    <row r="38" spans="1:19" ht="12" customHeight="1">
      <c r="A38" s="394">
        <f>'Exh. No. BGM-3 4'!AF$10</f>
        <v>3.0299999999999994</v>
      </c>
      <c r="B38" s="171" t="str">
        <f>TRIM(CONCATENATE('Exh. No. BGM-3 4'!AF$7," ",'Exh. No. BGM-3 4'!AF$8," ",'Exh. No. BGM-3 4'!AF$9))</f>
        <v>Pro Forma Labor Exec</v>
      </c>
      <c r="C38" s="172"/>
      <c r="D38" s="57">
        <v>0</v>
      </c>
      <c r="E38" s="57">
        <v>0</v>
      </c>
      <c r="F38" s="55"/>
      <c r="G38" s="57">
        <f>'Exh. No. BGM-3 4'!AF$56</f>
        <v>21.450000000000003</v>
      </c>
      <c r="H38" s="57">
        <f>'Exh. No. BGM-3 4'!AF$80</f>
        <v>0</v>
      </c>
      <c r="I38" s="64"/>
      <c r="J38" s="56">
        <f t="shared" si="25"/>
        <v>21.450000000000003</v>
      </c>
      <c r="K38" s="56">
        <f t="shared" si="26"/>
        <v>0</v>
      </c>
      <c r="L38" s="30"/>
      <c r="M38" s="207">
        <f t="shared" si="27"/>
        <v>-34.62956056782793</v>
      </c>
      <c r="N38" s="207">
        <f t="shared" si="28"/>
        <v>0</v>
      </c>
      <c r="O38" s="207">
        <f t="shared" si="29"/>
        <v>-34.62956056782793</v>
      </c>
      <c r="P38" s="267">
        <f t="shared" si="30"/>
        <v>-34.62956056782793</v>
      </c>
      <c r="Q38" s="208"/>
      <c r="R38" s="185"/>
      <c r="S38" s="262"/>
    </row>
    <row r="39" spans="1:19">
      <c r="A39" s="394">
        <f>'Exh. No. BGM-3 4'!AG$10</f>
        <v>3.0399999999999991</v>
      </c>
      <c r="B39" s="171" t="str">
        <f>TRIM(CONCATENATE('Exh. No. BGM-3 4'!AG$7," ",'Exh. No. BGM-3 4'!AG$8," ",'Exh. No. BGM-3 4'!AG$9))</f>
        <v>Pro Forma Employee Benefits</v>
      </c>
      <c r="C39" s="172"/>
      <c r="D39" s="57">
        <v>0</v>
      </c>
      <c r="E39" s="57">
        <v>0</v>
      </c>
      <c r="F39" s="55"/>
      <c r="G39" s="57">
        <f>'Exh. No. BGM-3 4'!AG$56</f>
        <v>234</v>
      </c>
      <c r="H39" s="57">
        <f>'Exh. No. BGM-3 4'!AG$80</f>
        <v>0</v>
      </c>
      <c r="I39" s="64"/>
      <c r="J39" s="56">
        <f t="shared" si="25"/>
        <v>234</v>
      </c>
      <c r="K39" s="56">
        <f t="shared" si="26"/>
        <v>0</v>
      </c>
      <c r="M39" s="207">
        <f t="shared" si="27"/>
        <v>-377.77702437630467</v>
      </c>
      <c r="N39" s="207">
        <f t="shared" si="28"/>
        <v>0</v>
      </c>
      <c r="O39" s="207">
        <f t="shared" si="29"/>
        <v>-377.77702437630467</v>
      </c>
      <c r="P39" s="267">
        <f t="shared" si="30"/>
        <v>-377.77702437630467</v>
      </c>
      <c r="Q39" s="208"/>
      <c r="R39" s="247"/>
      <c r="S39" s="265"/>
    </row>
    <row r="40" spans="1:19" s="173" customFormat="1">
      <c r="A40" s="396">
        <f>'Exh. No. BGM-3 4'!AH$10</f>
        <v>3.0499999999999989</v>
      </c>
      <c r="B40" s="171" t="str">
        <f>TRIM(CONCATENATE('Exh. No. BGM-3 4'!AH$7," ",'Exh. No. BGM-3 4'!AH$8," ",'Exh. No. BGM-3 4'!AH$9))</f>
        <v>Pro Forma Incentive Expenses</v>
      </c>
      <c r="C40" s="172"/>
      <c r="D40" s="57">
        <v>0</v>
      </c>
      <c r="E40" s="57">
        <v>0</v>
      </c>
      <c r="F40" s="172"/>
      <c r="G40" s="151">
        <f>'Exh. No. BGM-3 4'!AH$56</f>
        <v>-77.349999999999994</v>
      </c>
      <c r="H40" s="151">
        <f>'Exh. No. BGM-3 4'!AH$80</f>
        <v>0</v>
      </c>
      <c r="I40" s="205"/>
      <c r="J40" s="56">
        <f>G40-D40</f>
        <v>-77.349999999999994</v>
      </c>
      <c r="K40" s="56">
        <f>H40-E40</f>
        <v>0</v>
      </c>
      <c r="L40" s="221"/>
      <c r="M40" s="207">
        <f>J40/$M$8*-1</f>
        <v>124.87629416883404</v>
      </c>
      <c r="N40" s="207">
        <f>K40*$N$8/$M$8</f>
        <v>0</v>
      </c>
      <c r="O40" s="207">
        <f>(H40*$N$8/$M$8)-(G40/$M$8)</f>
        <v>124.87629416883404</v>
      </c>
      <c r="P40" s="267">
        <f>SUM(M40:N40)</f>
        <v>124.87629416883404</v>
      </c>
      <c r="Q40" s="208"/>
      <c r="R40" s="250"/>
      <c r="S40" s="262"/>
    </row>
    <row r="41" spans="1:19" s="48" customFormat="1">
      <c r="A41" s="394">
        <f>'Exh. No. BGM-3 4'!AI$10</f>
        <v>3.0599999999999987</v>
      </c>
      <c r="B41" s="54" t="str">
        <f>TRIM(CONCATENATE('Exh. No. BGM-3 4'!AI$7," ",'Exh. No. BGM-3 4'!AI$8," ",'Exh. No. BGM-3 4'!AI$9))</f>
        <v>Pro Forma Property Tax</v>
      </c>
      <c r="C41" s="55"/>
      <c r="D41" s="57">
        <v>0</v>
      </c>
      <c r="E41" s="57">
        <v>0</v>
      </c>
      <c r="F41" s="55"/>
      <c r="G41" s="57">
        <f>'Exh. No. BGM-3 4'!AI$56</f>
        <v>-1597.7</v>
      </c>
      <c r="H41" s="57">
        <f>'Exh. No. BGM-3 4'!AI$80</f>
        <v>0</v>
      </c>
      <c r="I41" s="64"/>
      <c r="J41" s="56">
        <f t="shared" si="25"/>
        <v>-1597.7</v>
      </c>
      <c r="K41" s="56">
        <f t="shared" si="26"/>
        <v>0</v>
      </c>
      <c r="L41" s="220"/>
      <c r="M41" s="207">
        <f t="shared" si="27"/>
        <v>2579.377571991547</v>
      </c>
      <c r="N41" s="207">
        <f t="shared" si="28"/>
        <v>0</v>
      </c>
      <c r="O41" s="207">
        <f>(H41*$N$8/$M$8)-(G41/$M$8)</f>
        <v>2579.377571991547</v>
      </c>
      <c r="P41" s="267">
        <f>SUM(M41:N41)</f>
        <v>2579.377571991547</v>
      </c>
      <c r="Q41" s="39"/>
      <c r="R41" s="248"/>
      <c r="S41" s="262"/>
    </row>
    <row r="42" spans="1:19" s="48" customFormat="1">
      <c r="A42" s="394">
        <f>'Exh. No. BGM-3 4'!AJ$10</f>
        <v>3.0699999999999985</v>
      </c>
      <c r="B42" s="54" t="str">
        <f>TRIM(CONCATENATE('Exh. No. BGM-3 4'!AJ$7," ",'Exh. No. BGM-3 4'!AJ$8," ",'Exh. No. BGM-3 4'!AJ$9))</f>
        <v>Pro Forma IS/IT Expense</v>
      </c>
      <c r="C42" s="55"/>
      <c r="D42" s="57">
        <v>0</v>
      </c>
      <c r="E42" s="57">
        <v>0</v>
      </c>
      <c r="F42" s="55"/>
      <c r="G42" s="57">
        <f>'Exh. No. BGM-3 4'!AJ$56</f>
        <v>-451.1</v>
      </c>
      <c r="H42" s="57">
        <f>'Exh. No. BGM-3 4'!AJ$80</f>
        <v>0</v>
      </c>
      <c r="I42" s="64"/>
      <c r="J42" s="56">
        <f t="shared" ref="J42" si="31">G42-D42</f>
        <v>-451.1</v>
      </c>
      <c r="K42" s="56">
        <f t="shared" ref="K42" si="32">H42-E42</f>
        <v>0</v>
      </c>
      <c r="L42" s="220"/>
      <c r="M42" s="207">
        <f t="shared" ref="M42" si="33">J42/$M$8*-1</f>
        <v>728.27015254765399</v>
      </c>
      <c r="N42" s="207">
        <f t="shared" ref="N42" si="34">K42*$N$8/$M$8</f>
        <v>0</v>
      </c>
      <c r="O42" s="207">
        <f>(H42*$N$8/$M$8)-(G42/$M$8)</f>
        <v>728.27015254765399</v>
      </c>
      <c r="P42" s="267">
        <f>SUM(M42:N42)</f>
        <v>728.27015254765399</v>
      </c>
      <c r="Q42" s="39"/>
      <c r="R42" s="248"/>
      <c r="S42" s="262"/>
    </row>
    <row r="43" spans="1:19" s="167" customFormat="1" ht="11.25" customHeight="1">
      <c r="A43" s="396">
        <f>'Exh. No. BGM-3 4'!AK$10</f>
        <v>3.0799999999999983</v>
      </c>
      <c r="B43" s="171" t="str">
        <f>TRIM(CONCATENATE('Exh. No. BGM-3 4'!AK$7," ",'Exh. No. BGM-3 4'!AK$8," ",'Exh. No. BGM-3 4'!AK$9))</f>
        <v>Pro Forma Revenue Normalization</v>
      </c>
      <c r="C43" s="172"/>
      <c r="D43" s="57">
        <v>0</v>
      </c>
      <c r="E43" s="57">
        <v>0</v>
      </c>
      <c r="F43" s="172"/>
      <c r="G43" s="174">
        <f>'Exh. No. BGM-3 4'!AK$56</f>
        <v>-3285.75</v>
      </c>
      <c r="H43" s="174">
        <f>'Exh. No. BGM-3 4'!AK$80</f>
        <v>0</v>
      </c>
      <c r="I43" s="206"/>
      <c r="J43" s="56">
        <f t="shared" si="25"/>
        <v>-3285.75</v>
      </c>
      <c r="K43" s="56">
        <f t="shared" si="26"/>
        <v>0</v>
      </c>
      <c r="L43" s="43"/>
      <c r="M43" s="207">
        <f t="shared" si="27"/>
        <v>5304.6190506172779</v>
      </c>
      <c r="N43" s="207">
        <f t="shared" si="28"/>
        <v>0</v>
      </c>
      <c r="O43" s="207">
        <f t="shared" ref="O43" si="35">(H43*$N$8/$M$8)-(G43/$M$8)</f>
        <v>5304.6190506172779</v>
      </c>
      <c r="P43" s="267">
        <f t="shared" ref="P43" si="36">SUM(M43:N43)</f>
        <v>5304.6190506172779</v>
      </c>
      <c r="Q43" s="208"/>
      <c r="R43" s="185"/>
      <c r="S43" s="262"/>
    </row>
    <row r="44" spans="1:19">
      <c r="A44" s="394">
        <f>'Exh. No. BGM-3 4'!AL$10</f>
        <v>3.0899999999999981</v>
      </c>
      <c r="B44" s="54" t="str">
        <f>TRIM(CONCATENATE('Exh. No. BGM-3 4'!AL$7," ",'Exh. No. BGM-3 4'!AL$8," ",'Exh. No. BGM-3 4'!AL$9))</f>
        <v>Pro Forma Def. Debits, Credits &amp; Regulatory Amorts</v>
      </c>
      <c r="C44" s="55"/>
      <c r="D44" s="57">
        <v>0</v>
      </c>
      <c r="E44" s="57">
        <v>0</v>
      </c>
      <c r="F44" s="55"/>
      <c r="G44" s="57">
        <f>'Exh. No. BGM-3 4'!AL$56</f>
        <v>1016.5045200000001</v>
      </c>
      <c r="H44" s="57">
        <f>'Exh. No. BGM-3 4'!AL$80</f>
        <v>-5346</v>
      </c>
      <c r="I44" s="64"/>
      <c r="J44" s="56">
        <f>G44-D44</f>
        <v>1016.5045200000001</v>
      </c>
      <c r="K44" s="56">
        <f>H44-E44</f>
        <v>-5346</v>
      </c>
      <c r="M44" s="207">
        <f>J44/$M$8*-1</f>
        <v>-1641.0771488489911</v>
      </c>
      <c r="N44" s="207">
        <f>K44*$N$8/$M$8</f>
        <v>-611.05724290578337</v>
      </c>
      <c r="O44" s="207">
        <f>(H44*$N$8/$M$8)-(G44/$M$8)</f>
        <v>-2252.1343917547747</v>
      </c>
      <c r="P44" s="267">
        <f>SUM(M44:N44)</f>
        <v>-2252.1343917547747</v>
      </c>
      <c r="Q44" s="208"/>
      <c r="R44" s="247"/>
      <c r="S44" s="265"/>
    </row>
    <row r="45" spans="1:19">
      <c r="A45" s="621">
        <f>'Exh. No. BGM-3 4'!AM$10</f>
        <v>3.0999999999999979</v>
      </c>
      <c r="B45" s="483" t="str">
        <f>TRIM(CONCATENATE('Exh. No. BGM-3 4'!AM$7," ",'Exh. No. BGM-3 4'!AM$8," ",'Exh. No. BGM-3 4'!AM$9))</f>
        <v>Pro Forma 2017 Threshhold Capital Adds</v>
      </c>
      <c r="C45" s="197"/>
      <c r="D45" s="57">
        <v>0</v>
      </c>
      <c r="E45" s="57">
        <v>0</v>
      </c>
      <c r="F45" s="144"/>
      <c r="G45" s="118">
        <f>'Exh. No. BGM-3 4'!AM$56</f>
        <v>-31.650300000000016</v>
      </c>
      <c r="H45" s="118">
        <f>'Exh. No. BGM-3 4'!AM$80</f>
        <v>5565</v>
      </c>
      <c r="I45" s="64"/>
      <c r="J45" s="56">
        <f t="shared" si="25"/>
        <v>-31.650300000000016</v>
      </c>
      <c r="K45" s="56">
        <f t="shared" si="26"/>
        <v>5565</v>
      </c>
      <c r="L45" s="31"/>
      <c r="M45" s="207">
        <f t="shared" si="27"/>
        <v>51.097248524005821</v>
      </c>
      <c r="N45" s="207">
        <f t="shared" si="28"/>
        <v>636.08932973637945</v>
      </c>
      <c r="O45" s="207">
        <f t="shared" si="29"/>
        <v>687.18657826038532</v>
      </c>
      <c r="P45" s="267">
        <f t="shared" si="30"/>
        <v>687.18657826038532</v>
      </c>
      <c r="R45" s="185"/>
      <c r="S45" s="262"/>
    </row>
    <row r="46" spans="1:19">
      <c r="A46" s="621">
        <f>'Exh. No. BGM-3 4'!AN$10</f>
        <v>3.1099999999999977</v>
      </c>
      <c r="B46" s="483" t="str">
        <f>TRIM(CONCATENATE('Exh. No. BGM-3 4'!AN$7," ",'Exh. No. BGM-3 4'!AN$8," ",'Exh. No. BGM-3 4'!AN$9))</f>
        <v>Pro Forma O&amp;M Offsets</v>
      </c>
      <c r="C46" s="197"/>
      <c r="D46" s="57">
        <v>0</v>
      </c>
      <c r="E46" s="57">
        <v>0</v>
      </c>
      <c r="F46" s="144"/>
      <c r="G46" s="118">
        <f>'Exh. No. BGM-3 4'!AN$56</f>
        <v>641.54999999999995</v>
      </c>
      <c r="H46" s="118">
        <f>'Exh. No. BGM-3 4'!AN$80</f>
        <v>0</v>
      </c>
      <c r="I46" s="64"/>
      <c r="J46" s="56">
        <f t="shared" si="25"/>
        <v>641.54999999999995</v>
      </c>
      <c r="K46" s="56">
        <f t="shared" si="26"/>
        <v>0</v>
      </c>
      <c r="L46" s="28"/>
      <c r="M46" s="207">
        <f t="shared" si="27"/>
        <v>-1035.7386751650351</v>
      </c>
      <c r="N46" s="207">
        <f t="shared" si="28"/>
        <v>0</v>
      </c>
      <c r="O46" s="207">
        <f t="shared" ref="O46" si="37">(H46*$N$8/$M$8)-(G46/$M$8)</f>
        <v>-1035.7386751650351</v>
      </c>
      <c r="P46" s="267">
        <f t="shared" ref="P46" si="38">SUM(M46:N46)</f>
        <v>-1035.7386751650351</v>
      </c>
      <c r="Q46" s="272"/>
      <c r="R46" s="247"/>
      <c r="S46" s="265"/>
    </row>
    <row r="47" spans="1:19">
      <c r="A47" s="621">
        <f>'Exh. No. BGM-3 4'!AO$10</f>
        <v>3.1199999999999974</v>
      </c>
      <c r="B47" s="483" t="str">
        <f>TRIM(CONCATENATE('Exh. No. BGM-3 4'!AO$7," ",'Exh. No. BGM-3 4'!AO$8," ",'Exh. No. BGM-3 4'!AO$9))</f>
        <v>Pro Forma Director Fees Exp</v>
      </c>
      <c r="C47" s="197"/>
      <c r="D47" s="57">
        <v>0</v>
      </c>
      <c r="E47" s="57">
        <v>0</v>
      </c>
      <c r="F47" s="144"/>
      <c r="G47" s="118">
        <f>'Exh. No. BGM-3 4'!AO$56</f>
        <v>0</v>
      </c>
      <c r="H47" s="118">
        <f>'Exh. No. BGM-3 4'!AO$80</f>
        <v>0</v>
      </c>
      <c r="I47" s="64"/>
      <c r="J47" s="56">
        <f t="shared" ref="J47:J48" si="39">G47-D47</f>
        <v>0</v>
      </c>
      <c r="K47" s="56">
        <f t="shared" ref="K47:K48" si="40">H47-E47</f>
        <v>0</v>
      </c>
      <c r="L47" s="28"/>
      <c r="M47" s="207">
        <f t="shared" ref="M47:M48" si="41">J47/$M$8*-1</f>
        <v>0</v>
      </c>
      <c r="N47" s="207">
        <f t="shared" ref="N47:N48" si="42">K47*$N$8/$M$8</f>
        <v>0</v>
      </c>
      <c r="O47" s="207">
        <f t="shared" ref="O47:O48" si="43">(H47*$N$8/$M$8)-(G47/$M$8)</f>
        <v>0</v>
      </c>
      <c r="P47" s="267">
        <f t="shared" ref="P47:P48" si="44">SUM(M47:N47)</f>
        <v>0</v>
      </c>
      <c r="Q47" s="272"/>
      <c r="R47" s="247"/>
      <c r="S47" s="265"/>
    </row>
    <row r="48" spans="1:19">
      <c r="A48" s="621">
        <f>'Exh. No. BGM-3 4'!AP$10</f>
        <v>3.1299999999999972</v>
      </c>
      <c r="B48" s="483" t="str">
        <f>TRIM(CONCATENATE('Exh. No. BGM-3 4'!AP$7," ",'Exh. No. BGM-3 4'!AP$8," ",'Exh. No. BGM-3 4'!AP$9))</f>
        <v>PF Normalize CS2/Colstrip Major Maint</v>
      </c>
      <c r="C48" s="197"/>
      <c r="D48" s="57">
        <v>0</v>
      </c>
      <c r="E48" s="57">
        <v>0</v>
      </c>
      <c r="F48" s="144"/>
      <c r="G48" s="118">
        <f>'Exh. No. BGM-3 4'!AP$56</f>
        <v>-225.55</v>
      </c>
      <c r="H48" s="118">
        <f>'Exh. No. BGM-3 4'!AP$80</f>
        <v>0</v>
      </c>
      <c r="I48" s="64"/>
      <c r="J48" s="56">
        <f t="shared" si="39"/>
        <v>-225.55</v>
      </c>
      <c r="K48" s="56">
        <f t="shared" si="40"/>
        <v>0</v>
      </c>
      <c r="L48" s="28"/>
      <c r="M48" s="207">
        <f t="shared" si="41"/>
        <v>364.135076273827</v>
      </c>
      <c r="N48" s="207">
        <f t="shared" si="42"/>
        <v>0</v>
      </c>
      <c r="O48" s="207">
        <f t="shared" si="43"/>
        <v>364.135076273827</v>
      </c>
      <c r="P48" s="267">
        <f t="shared" si="44"/>
        <v>364.135076273827</v>
      </c>
      <c r="Q48" s="272"/>
      <c r="R48" s="247"/>
      <c r="S48" s="265"/>
    </row>
    <row r="49" spans="1:23">
      <c r="A49" s="621">
        <f>'Exh. No. BGM-3 4'!AQ$10</f>
        <v>3.139999999999997</v>
      </c>
      <c r="B49" s="483" t="str">
        <f>TRIM(CONCATENATE('Exh. No. BGM-3 4'!AQ$7," ",'Exh. No. BGM-3 4'!AQ$8," ",'Exh. No. BGM-3 4'!AQ$9))</f>
        <v>Pro Forma Underground Equip Inspection</v>
      </c>
      <c r="C49" s="197"/>
      <c r="D49" s="57">
        <v>0</v>
      </c>
      <c r="E49" s="57">
        <v>0</v>
      </c>
      <c r="F49" s="144"/>
      <c r="G49" s="118">
        <f>'Exh. No. BGM-3 4'!AQ$56</f>
        <v>-345.8</v>
      </c>
      <c r="H49" s="118">
        <f>'Exh. No. BGM-3 4'!AQ$80</f>
        <v>0</v>
      </c>
      <c r="I49" s="64"/>
      <c r="J49" s="56">
        <f t="shared" ref="J49" si="45">G49-D49</f>
        <v>-345.8</v>
      </c>
      <c r="K49" s="56">
        <f t="shared" ref="K49" si="46">H49-E49</f>
        <v>0</v>
      </c>
      <c r="L49" s="28"/>
      <c r="M49" s="207">
        <f t="shared" ref="M49" si="47">J49/$M$8*-1</f>
        <v>558.27049157831686</v>
      </c>
      <c r="N49" s="207">
        <f t="shared" ref="N49" si="48">K49*$N$8/$M$8</f>
        <v>0</v>
      </c>
      <c r="O49" s="207">
        <f t="shared" ref="O49" si="49">(H49*$N$8/$M$8)-(G49/$M$8)</f>
        <v>558.27049157831686</v>
      </c>
      <c r="P49" s="267">
        <f t="shared" ref="P49" si="50">SUM(M49:N49)</f>
        <v>558.27049157831686</v>
      </c>
      <c r="Q49" s="272"/>
      <c r="R49" s="247"/>
      <c r="S49" s="265"/>
    </row>
    <row r="50" spans="1:23">
      <c r="A50" s="394">
        <f>'Exh. No. BGM-3 4'!AS$10</f>
        <v>4</v>
      </c>
      <c r="B50" s="171" t="str">
        <f>TRIM(CONCATENATE('Exh. No. BGM-3 4'!AS$7," ",'Exh. No. BGM-3 4'!AS$8," ",'Exh. No. BGM-3 4'!AS$9))</f>
        <v>Pro Forma Power Supply &amp; Transm Revs</v>
      </c>
      <c r="C50" s="172"/>
      <c r="D50" s="57">
        <v>0</v>
      </c>
      <c r="E50" s="57">
        <v>0</v>
      </c>
      <c r="F50" s="55"/>
      <c r="G50" s="57">
        <f>'Exh. No. BGM-3 4'!AS$56</f>
        <v>0</v>
      </c>
      <c r="H50" s="57">
        <f>'Exh. No. BGM-3 4'!AS$80</f>
        <v>0</v>
      </c>
      <c r="I50" s="154"/>
      <c r="J50" s="56">
        <f>G50-D50</f>
        <v>0</v>
      </c>
      <c r="K50" s="56">
        <f>H50-E50</f>
        <v>0</v>
      </c>
      <c r="L50" s="30"/>
      <c r="M50" s="207">
        <f>J50/$M$8*-1</f>
        <v>0</v>
      </c>
      <c r="N50" s="207">
        <f>K50*$N$8/$M$8</f>
        <v>0</v>
      </c>
      <c r="O50" s="207">
        <f>(H50*$N$8/$M$8)-(G50/$M$8)</f>
        <v>0</v>
      </c>
      <c r="P50" s="267">
        <f t="shared" ref="P50" si="51">SUM(M50:N50)</f>
        <v>0</v>
      </c>
      <c r="Q50" s="208"/>
      <c r="R50" s="185"/>
      <c r="S50" s="262"/>
    </row>
    <row r="51" spans="1:23">
      <c r="A51" s="399"/>
      <c r="B51" s="100"/>
      <c r="C51" s="28"/>
      <c r="D51" s="28"/>
      <c r="E51" s="44"/>
      <c r="F51" s="44"/>
      <c r="G51" s="162"/>
      <c r="H51" s="162"/>
      <c r="I51" s="64"/>
      <c r="J51" s="37"/>
      <c r="K51" s="144"/>
      <c r="L51" s="30"/>
      <c r="N51" s="165"/>
      <c r="O51" s="165"/>
      <c r="R51" s="252"/>
      <c r="S51" s="265"/>
    </row>
    <row r="52" spans="1:23" ht="13.5" thickBot="1">
      <c r="A52" s="399"/>
      <c r="B52" s="28" t="s">
        <v>189</v>
      </c>
      <c r="C52" s="28"/>
      <c r="D52" s="198">
        <f>SUM(D34:D51)</f>
        <v>0</v>
      </c>
      <c r="E52" s="198">
        <f>SUM(E34:E51)</f>
        <v>0</v>
      </c>
      <c r="F52" s="44"/>
      <c r="G52" s="198">
        <f>SUM(G34:G51)</f>
        <v>102038.77462000003</v>
      </c>
      <c r="H52" s="477">
        <f>SUM(H34:H51)</f>
        <v>1442945</v>
      </c>
      <c r="I52" s="62"/>
      <c r="J52" s="198">
        <f>SUM(J34:J51)</f>
        <v>102038.77462000003</v>
      </c>
      <c r="K52" s="198">
        <f>SUM(K34:K51)</f>
        <v>1442945</v>
      </c>
      <c r="L52" s="30"/>
      <c r="M52" s="198">
        <f>SUM(M34:M51)</f>
        <v>-164734.63524336752</v>
      </c>
      <c r="N52" s="198">
        <f>SUM(N34:N51)</f>
        <v>164931.16224554539</v>
      </c>
      <c r="O52" s="129"/>
      <c r="P52" s="277">
        <f>SUM(P8:P43)+P31+SUM(P36:P46)</f>
        <v>9640.8615576360335</v>
      </c>
      <c r="Q52" s="267"/>
      <c r="S52" s="265"/>
      <c r="V52" s="708"/>
    </row>
    <row r="53" spans="1:23" ht="13.5" thickTop="1">
      <c r="A53" s="399"/>
      <c r="B53" s="28"/>
      <c r="C53" s="28"/>
      <c r="D53" s="129"/>
      <c r="E53" s="129"/>
      <c r="F53" s="44"/>
      <c r="G53" s="129"/>
      <c r="H53" s="762"/>
      <c r="I53" s="62"/>
      <c r="J53" s="129"/>
      <c r="K53" s="129"/>
      <c r="L53" s="751"/>
      <c r="M53" s="129"/>
      <c r="N53" s="129"/>
      <c r="O53" s="129"/>
      <c r="P53" s="277"/>
      <c r="Q53" s="267"/>
      <c r="S53" s="265"/>
      <c r="V53" s="708"/>
    </row>
    <row r="54" spans="1:23">
      <c r="A54" s="399"/>
      <c r="B54" s="28"/>
      <c r="C54" s="28"/>
      <c r="D54" s="129"/>
      <c r="E54" s="129"/>
      <c r="F54" s="44"/>
      <c r="G54" s="129"/>
      <c r="H54" s="762"/>
      <c r="I54" s="62"/>
      <c r="J54" s="129"/>
      <c r="K54" s="129"/>
      <c r="L54" s="751"/>
      <c r="M54" s="129"/>
      <c r="N54" s="129"/>
      <c r="O54" s="129"/>
      <c r="P54" s="277"/>
      <c r="Q54" s="267"/>
      <c r="S54" s="265"/>
      <c r="V54" s="708"/>
    </row>
    <row r="55" spans="1:23">
      <c r="A55" s="399"/>
      <c r="B55" s="28"/>
      <c r="C55" s="28"/>
      <c r="D55" s="28"/>
      <c r="E55" s="44"/>
      <c r="F55" s="129"/>
      <c r="G55" s="129"/>
      <c r="H55" s="62"/>
      <c r="I55" s="36"/>
      <c r="J55" s="196"/>
      <c r="K55" s="30"/>
      <c r="L55" s="28"/>
      <c r="M55" s="208"/>
      <c r="N55" s="238">
        <f>M52+N52</f>
        <v>196.5270021778706</v>
      </c>
      <c r="O55" s="238"/>
      <c r="Q55" s="39"/>
      <c r="S55" s="156"/>
      <c r="V55" s="39"/>
      <c r="W55" s="39"/>
    </row>
    <row r="56" spans="1:23">
      <c r="A56" s="399"/>
      <c r="B56" s="28"/>
      <c r="C56" s="28"/>
      <c r="D56" s="28"/>
      <c r="E56" s="44"/>
      <c r="F56" s="129"/>
      <c r="G56" s="129"/>
      <c r="H56" s="62"/>
      <c r="I56" s="36"/>
      <c r="J56" s="196"/>
      <c r="K56" s="30"/>
      <c r="L56" s="164"/>
      <c r="M56" s="209" t="s">
        <v>738</v>
      </c>
      <c r="N56" s="276"/>
      <c r="O56" s="238"/>
      <c r="P56" s="277"/>
      <c r="Q56" s="39"/>
      <c r="S56" s="258"/>
      <c r="T56" s="39"/>
      <c r="V56" s="157"/>
    </row>
    <row r="57" spans="1:23" ht="13.5" thickBot="1">
      <c r="A57" s="399"/>
      <c r="B57" s="28"/>
      <c r="C57" s="28"/>
      <c r="D57" s="28"/>
      <c r="E57" s="44"/>
      <c r="F57" s="129"/>
      <c r="G57" s="129"/>
      <c r="H57" s="62"/>
      <c r="I57" s="36"/>
      <c r="J57" s="196"/>
      <c r="K57" s="30"/>
      <c r="M57" s="209" t="s">
        <v>265</v>
      </c>
      <c r="N57" s="239">
        <f>SUM(N55:N56)</f>
        <v>196.5270021778706</v>
      </c>
      <c r="O57" s="274"/>
      <c r="S57" s="259"/>
    </row>
    <row r="58" spans="1:23" ht="13.5" thickTop="1">
      <c r="A58" s="399"/>
      <c r="B58" s="156"/>
      <c r="C58" s="28"/>
      <c r="D58" s="28"/>
      <c r="E58" s="44"/>
      <c r="F58" s="129"/>
      <c r="G58" s="129"/>
      <c r="H58" s="62"/>
      <c r="I58" s="36"/>
      <c r="J58" s="196"/>
      <c r="K58" s="30"/>
      <c r="M58" s="210" t="s">
        <v>266</v>
      </c>
      <c r="N58" s="652"/>
      <c r="O58" s="211"/>
      <c r="Q58" s="39"/>
      <c r="S58" s="255"/>
    </row>
    <row r="59" spans="1:23" ht="13.5" thickBot="1">
      <c r="A59" s="399"/>
      <c r="B59" s="28"/>
      <c r="C59" s="28"/>
      <c r="D59" s="28"/>
      <c r="E59" s="44"/>
      <c r="F59" s="135"/>
      <c r="G59" s="129"/>
      <c r="H59" s="62"/>
      <c r="I59" s="36"/>
      <c r="J59" s="196"/>
      <c r="K59" s="31"/>
      <c r="L59" s="28"/>
      <c r="M59" s="212" t="s">
        <v>267</v>
      </c>
      <c r="N59" s="213">
        <f>N58+N57</f>
        <v>196.5270021778706</v>
      </c>
      <c r="O59" s="275"/>
      <c r="P59" s="267"/>
      <c r="S59" s="156"/>
    </row>
    <row r="60" spans="1:23" s="28" customFormat="1" ht="13.5" hidden="1" thickTop="1">
      <c r="A60" s="391"/>
      <c r="B60" s="26"/>
      <c r="C60" s="26"/>
      <c r="D60" s="30" t="e">
        <f>#REF!</f>
        <v>#REF!</v>
      </c>
      <c r="E60" s="26"/>
      <c r="G60" s="26"/>
      <c r="H60" s="58"/>
      <c r="J60" s="144"/>
      <c r="K60" s="31"/>
      <c r="P60" s="268"/>
      <c r="R60" s="112"/>
      <c r="S60" s="156"/>
    </row>
    <row r="61" spans="1:23" s="28" customFormat="1" ht="13.5" hidden="1" thickTop="1">
      <c r="A61" s="400"/>
      <c r="B61" s="26"/>
      <c r="C61" s="26"/>
      <c r="D61" s="30"/>
      <c r="E61" s="26"/>
      <c r="F61" s="26"/>
      <c r="G61" s="26"/>
      <c r="H61" s="58"/>
      <c r="I61" s="37"/>
      <c r="J61" s="144"/>
      <c r="K61" s="31"/>
      <c r="P61" s="268"/>
      <c r="R61" s="112"/>
      <c r="S61" s="156"/>
    </row>
    <row r="62" spans="1:23" s="28" customFormat="1" ht="13.5" hidden="1" thickTop="1">
      <c r="A62" s="400"/>
      <c r="B62" s="26"/>
      <c r="C62" s="26"/>
      <c r="D62" s="30" t="s">
        <v>77</v>
      </c>
      <c r="E62" s="26"/>
      <c r="F62" s="26"/>
      <c r="G62" s="26"/>
      <c r="H62" s="58"/>
      <c r="I62" s="37"/>
      <c r="J62" s="144"/>
      <c r="K62" s="31"/>
      <c r="P62" s="268"/>
      <c r="R62" s="112"/>
      <c r="S62" s="156"/>
    </row>
    <row r="63" spans="1:23" s="28" customFormat="1" ht="13.5" hidden="1" thickTop="1">
      <c r="A63" s="400"/>
      <c r="B63" s="26"/>
      <c r="C63" s="26"/>
      <c r="D63" s="30" t="s">
        <v>85</v>
      </c>
      <c r="E63" s="26"/>
      <c r="F63" s="26"/>
      <c r="G63" s="26"/>
      <c r="H63" s="58"/>
      <c r="I63" s="37"/>
      <c r="J63" s="144"/>
      <c r="K63" s="31"/>
      <c r="P63" s="268"/>
      <c r="R63" s="112"/>
      <c r="S63" s="156"/>
    </row>
    <row r="64" spans="1:23" s="28" customFormat="1" ht="13.5" hidden="1" thickTop="1">
      <c r="A64" s="391"/>
      <c r="B64" s="26"/>
      <c r="C64" s="26"/>
      <c r="D64" s="47" t="e">
        <f>#REF!</f>
        <v>#REF!</v>
      </c>
      <c r="E64" s="26"/>
      <c r="F64" s="26"/>
      <c r="G64" s="173"/>
      <c r="H64" s="175"/>
      <c r="I64" s="37"/>
      <c r="J64" s="144"/>
      <c r="K64" s="30"/>
      <c r="L64" s="26"/>
      <c r="M64" s="26"/>
      <c r="N64" s="26"/>
      <c r="O64" s="26"/>
      <c r="P64" s="268"/>
      <c r="R64" s="112"/>
      <c r="S64" s="156"/>
    </row>
    <row r="65" spans="1:19" ht="13.5" hidden="1" thickTop="1">
      <c r="I65" s="28"/>
      <c r="J65" s="144"/>
      <c r="K65" s="30"/>
      <c r="S65" s="156"/>
    </row>
    <row r="66" spans="1:19" ht="13.5" hidden="1" thickTop="1">
      <c r="I66" s="28"/>
      <c r="J66" s="144"/>
      <c r="K66" s="30"/>
      <c r="S66" s="156"/>
    </row>
    <row r="67" spans="1:19" ht="13.5" hidden="1" thickTop="1">
      <c r="F67" s="33"/>
      <c r="G67" s="34" t="s">
        <v>85</v>
      </c>
      <c r="I67" s="28"/>
      <c r="J67" s="144"/>
      <c r="K67" s="30"/>
      <c r="S67" s="156"/>
    </row>
    <row r="68" spans="1:19" ht="13.5" hidden="1" thickTop="1">
      <c r="A68" s="392" t="s">
        <v>79</v>
      </c>
      <c r="B68" s="34" t="s">
        <v>80</v>
      </c>
      <c r="C68" s="30"/>
      <c r="D68" s="30"/>
      <c r="F68" s="34" t="s">
        <v>81</v>
      </c>
      <c r="G68" s="34" t="s">
        <v>24</v>
      </c>
      <c r="H68" s="65" t="s">
        <v>82</v>
      </c>
      <c r="I68" s="28"/>
      <c r="J68" s="144"/>
      <c r="K68" s="30"/>
      <c r="S68" s="156"/>
    </row>
    <row r="69" spans="1:19" ht="13.5" hidden="1" thickTop="1">
      <c r="A69" s="394" t="e">
        <f>#REF!</f>
        <v>#REF!</v>
      </c>
      <c r="B69" s="171" t="e">
        <f>TRIM(CONCATENATE(#REF!," ",#REF!," ",#REF!))</f>
        <v>#REF!</v>
      </c>
      <c r="C69" s="178"/>
      <c r="D69" s="178"/>
      <c r="E69" s="178"/>
      <c r="F69" s="187" t="e">
        <f>#REF!</f>
        <v>#REF!</v>
      </c>
      <c r="G69" s="187" t="e">
        <f>#REF!</f>
        <v>#REF!</v>
      </c>
      <c r="H69" s="186"/>
      <c r="I69" s="28"/>
      <c r="J69" s="144"/>
      <c r="K69" s="220"/>
      <c r="L69" s="48"/>
      <c r="M69" s="48"/>
      <c r="N69" s="48"/>
      <c r="O69" s="48"/>
      <c r="S69" s="156"/>
    </row>
    <row r="70" spans="1:19" s="48" customFormat="1" ht="13.5" hidden="1" thickTop="1">
      <c r="A70" s="394" t="e">
        <f>#REF!</f>
        <v>#REF!</v>
      </c>
      <c r="B70" s="54" t="e">
        <f>TRIM(CONCATENATE(#REF!," ",#REF!," ",#REF!))</f>
        <v>#REF!</v>
      </c>
      <c r="F70" s="57" t="e">
        <f>#REF!</f>
        <v>#REF!</v>
      </c>
      <c r="G70" s="57" t="e">
        <f>#REF!</f>
        <v>#REF!</v>
      </c>
      <c r="H70" s="58"/>
      <c r="I70" s="50"/>
      <c r="J70" s="144"/>
      <c r="K70" s="220"/>
      <c r="P70" s="266"/>
      <c r="R70" s="248"/>
      <c r="S70" s="256"/>
    </row>
    <row r="71" spans="1:19" s="48" customFormat="1" ht="13.5" hidden="1" thickTop="1">
      <c r="A71" s="394" t="e">
        <f>#REF!</f>
        <v>#REF!</v>
      </c>
      <c r="B71" s="54" t="e">
        <f>TRIM(CONCATENATE(#REF!," ",#REF!," ",#REF!))</f>
        <v>#REF!</v>
      </c>
      <c r="F71" s="57" t="e">
        <f>#REF!</f>
        <v>#REF!</v>
      </c>
      <c r="G71" s="57" t="e">
        <f>#REF!</f>
        <v>#REF!</v>
      </c>
      <c r="H71" s="58"/>
      <c r="I71" s="50"/>
      <c r="J71" s="144"/>
      <c r="K71" s="220"/>
      <c r="P71" s="266"/>
      <c r="R71" s="248"/>
      <c r="S71" s="256"/>
    </row>
    <row r="72" spans="1:19" s="48" customFormat="1" ht="13.5" hidden="1" thickTop="1">
      <c r="A72" s="394" t="e">
        <f>#REF!</f>
        <v>#REF!</v>
      </c>
      <c r="B72" s="54" t="e">
        <f>TRIM(CONCATENATE(#REF!," ",#REF!," ",#REF!))</f>
        <v>#REF!</v>
      </c>
      <c r="F72" s="57" t="e">
        <f>#REF!</f>
        <v>#REF!</v>
      </c>
      <c r="G72" s="57" t="e">
        <f>#REF!</f>
        <v>#REF!</v>
      </c>
      <c r="H72" s="58"/>
      <c r="I72" s="51"/>
      <c r="J72" s="144"/>
      <c r="K72" s="220"/>
      <c r="P72" s="266"/>
      <c r="R72" s="248"/>
      <c r="S72" s="256"/>
    </row>
    <row r="73" spans="1:19" s="48" customFormat="1" ht="13.5" hidden="1" thickTop="1">
      <c r="A73" s="394" t="e">
        <f>#REF!</f>
        <v>#REF!</v>
      </c>
      <c r="B73" s="54" t="e">
        <f>TRIM(CONCATENATE(#REF!," ",#REF!," ",#REF!))</f>
        <v>#REF!</v>
      </c>
      <c r="F73" s="57" t="e">
        <f>#REF!</f>
        <v>#REF!</v>
      </c>
      <c r="G73" s="57" t="e">
        <f>#REF!</f>
        <v>#REF!</v>
      </c>
      <c r="H73" s="58"/>
      <c r="I73" s="51"/>
      <c r="J73" s="195"/>
      <c r="K73" s="220"/>
      <c r="P73" s="266"/>
      <c r="R73" s="248"/>
      <c r="S73" s="256"/>
    </row>
    <row r="74" spans="1:19" s="48" customFormat="1" ht="13.5" hidden="1" thickTop="1">
      <c r="A74" s="394" t="e">
        <f>#REF!</f>
        <v>#REF!</v>
      </c>
      <c r="B74" s="54" t="e">
        <f>TRIM(CONCATENATE(#REF!," ",#REF!," ",#REF!))</f>
        <v>#REF!</v>
      </c>
      <c r="F74" s="57" t="e">
        <f>#REF!</f>
        <v>#REF!</v>
      </c>
      <c r="G74" s="57" t="e">
        <f>#REF!</f>
        <v>#REF!</v>
      </c>
      <c r="H74" s="58"/>
      <c r="I74" s="52"/>
      <c r="J74" s="144"/>
      <c r="K74" s="220"/>
      <c r="P74" s="266"/>
      <c r="R74" s="248"/>
      <c r="S74" s="256"/>
    </row>
    <row r="75" spans="1:19" s="48" customFormat="1" ht="13.5" hidden="1" thickTop="1">
      <c r="A75" s="394" t="e">
        <f>#REF!</f>
        <v>#REF!</v>
      </c>
      <c r="B75" s="54" t="e">
        <f>TRIM(CONCATENATE(#REF!," ",#REF!," ",#REF!))</f>
        <v>#REF!</v>
      </c>
      <c r="F75" s="57" t="e">
        <f>#REF!</f>
        <v>#REF!</v>
      </c>
      <c r="G75" s="57" t="e">
        <f>#REF!</f>
        <v>#REF!</v>
      </c>
      <c r="I75" s="53"/>
      <c r="J75" s="144"/>
      <c r="K75" s="220"/>
      <c r="P75" s="266"/>
      <c r="R75" s="248"/>
      <c r="S75" s="256"/>
    </row>
    <row r="76" spans="1:19" s="48" customFormat="1" ht="13.5" hidden="1" thickTop="1">
      <c r="A76" s="394" t="e">
        <f>#REF!</f>
        <v>#REF!</v>
      </c>
      <c r="B76" s="54" t="e">
        <f>TRIM(CONCATENATE(#REF!," ",#REF!," ",#REF!))</f>
        <v>#REF!</v>
      </c>
      <c r="F76" s="57" t="e">
        <f>#REF!</f>
        <v>#REF!</v>
      </c>
      <c r="G76" s="57" t="e">
        <f>#REF!</f>
        <v>#REF!</v>
      </c>
      <c r="H76" s="58"/>
      <c r="I76" s="53"/>
      <c r="J76" s="144"/>
      <c r="K76" s="220"/>
      <c r="P76" s="266"/>
      <c r="R76" s="248"/>
      <c r="S76" s="256"/>
    </row>
    <row r="77" spans="1:19" s="48" customFormat="1" ht="13.5" hidden="1" thickTop="1">
      <c r="A77" s="394"/>
      <c r="B77" s="54"/>
      <c r="F77" s="57"/>
      <c r="G77" s="57"/>
      <c r="H77" s="58"/>
      <c r="I77" s="53"/>
      <c r="J77" s="144"/>
      <c r="K77" s="220"/>
      <c r="P77" s="266"/>
      <c r="R77" s="248"/>
      <c r="S77" s="256"/>
    </row>
    <row r="78" spans="1:19" s="48" customFormat="1" ht="13.5" hidden="1" thickTop="1">
      <c r="A78" s="394"/>
      <c r="B78" s="54"/>
      <c r="F78" s="57"/>
      <c r="G78" s="57"/>
      <c r="H78" s="58"/>
      <c r="I78" s="53"/>
      <c r="J78" s="144"/>
      <c r="K78" s="30"/>
      <c r="L78" s="26"/>
      <c r="M78" s="26"/>
      <c r="N78" s="26"/>
      <c r="O78" s="26"/>
      <c r="P78" s="266"/>
      <c r="R78" s="248"/>
      <c r="S78" s="256"/>
    </row>
    <row r="79" spans="1:19" ht="13.5" hidden="1" thickTop="1">
      <c r="B79" s="26" t="s">
        <v>83</v>
      </c>
      <c r="F79" s="40" t="e">
        <f>SUM(F69:F78)</f>
        <v>#REF!</v>
      </c>
      <c r="G79" s="40" t="e">
        <f>SUM(G69:G78)</f>
        <v>#REF!</v>
      </c>
      <c r="H79" s="61" t="e">
        <f>F79/G79</f>
        <v>#REF!</v>
      </c>
      <c r="I79" s="37"/>
      <c r="J79" s="144"/>
      <c r="K79" s="30"/>
      <c r="S79" s="156"/>
    </row>
    <row r="80" spans="1:19" ht="13.5" hidden="1" thickTop="1">
      <c r="A80" s="399"/>
      <c r="F80" s="41"/>
      <c r="G80" s="41"/>
      <c r="I80" s="37"/>
      <c r="J80" s="144"/>
      <c r="K80" s="220"/>
      <c r="L80" s="48"/>
      <c r="M80" s="48"/>
      <c r="N80" s="48"/>
      <c r="O80" s="48"/>
      <c r="S80" s="156"/>
    </row>
    <row r="81" spans="1:19" s="48" customFormat="1" ht="13.5" hidden="1" thickTop="1">
      <c r="A81" s="394" t="e">
        <f>#REF!</f>
        <v>#REF!</v>
      </c>
      <c r="B81" s="54" t="e">
        <f>TRIM(CONCATENATE(#REF!," ",#REF!," ",#REF!))</f>
        <v>#REF!</v>
      </c>
      <c r="F81" s="57" t="e">
        <f>#REF!</f>
        <v>#REF!</v>
      </c>
      <c r="G81" s="57" t="e">
        <f>#REF!</f>
        <v>#REF!</v>
      </c>
      <c r="I81" s="53"/>
      <c r="J81" s="144"/>
      <c r="K81" s="220"/>
      <c r="P81" s="266"/>
      <c r="R81" s="248"/>
      <c r="S81" s="256"/>
    </row>
    <row r="82" spans="1:19" s="48" customFormat="1" ht="13.5" hidden="1" thickTop="1">
      <c r="A82" s="394" t="e">
        <f>#REF!</f>
        <v>#REF!</v>
      </c>
      <c r="B82" s="54" t="e">
        <f>TRIM(CONCATENATE(#REF!," ",#REF!," ",#REF!))</f>
        <v>#REF!</v>
      </c>
      <c r="C82" s="55"/>
      <c r="F82" s="57" t="e">
        <f>#REF!</f>
        <v>#REF!</v>
      </c>
      <c r="G82" s="57" t="e">
        <f>#REF!</f>
        <v>#REF!</v>
      </c>
      <c r="H82" s="58"/>
      <c r="I82" s="53"/>
      <c r="J82" s="144"/>
      <c r="K82" s="220"/>
      <c r="P82" s="266"/>
      <c r="R82" s="248"/>
      <c r="S82" s="256"/>
    </row>
    <row r="83" spans="1:19" s="48" customFormat="1" ht="13.5" hidden="1" thickTop="1">
      <c r="A83" s="394" t="e">
        <f>#REF!</f>
        <v>#REF!</v>
      </c>
      <c r="B83" s="54" t="e">
        <f>TRIM(CONCATENATE(#REF!," ",#REF!," ",#REF!))</f>
        <v>#REF!</v>
      </c>
      <c r="C83" s="55"/>
      <c r="F83" s="57" t="e">
        <f>#REF!</f>
        <v>#REF!</v>
      </c>
      <c r="G83" s="57" t="e">
        <f>#REF!</f>
        <v>#REF!</v>
      </c>
      <c r="H83" s="58"/>
      <c r="I83" s="53"/>
      <c r="J83" s="144"/>
      <c r="K83" s="220"/>
      <c r="P83" s="266"/>
      <c r="R83" s="248"/>
      <c r="S83" s="256"/>
    </row>
    <row r="84" spans="1:19" s="48" customFormat="1" ht="13.5" hidden="1" thickTop="1">
      <c r="A84" s="394" t="e">
        <f>#REF!</f>
        <v>#REF!</v>
      </c>
      <c r="B84" s="54" t="e">
        <f>TRIM(CONCATENATE(#REF!," ",#REF!," ",#REF!))</f>
        <v>#REF!</v>
      </c>
      <c r="C84" s="55"/>
      <c r="F84" s="57" t="e">
        <f>#REF!</f>
        <v>#REF!</v>
      </c>
      <c r="G84" s="57" t="e">
        <f>#REF!</f>
        <v>#REF!</v>
      </c>
      <c r="H84" s="58"/>
      <c r="I84" s="53"/>
      <c r="J84" s="196"/>
      <c r="K84" s="220"/>
      <c r="P84" s="266"/>
      <c r="R84" s="248"/>
      <c r="S84" s="256"/>
    </row>
    <row r="85" spans="1:19" s="48" customFormat="1" ht="13.5" hidden="1" thickTop="1">
      <c r="A85" s="394" t="e">
        <f>#REF!</f>
        <v>#REF!</v>
      </c>
      <c r="B85" s="54" t="e">
        <f>TRIM(CONCATENATE(#REF!," ",#REF!," ",#REF!))</f>
        <v>#REF!</v>
      </c>
      <c r="C85" s="55"/>
      <c r="F85" s="57" t="e">
        <f>#REF!</f>
        <v>#REF!</v>
      </c>
      <c r="G85" s="57" t="e">
        <f>#REF!</f>
        <v>#REF!</v>
      </c>
      <c r="H85" s="58"/>
      <c r="I85" s="53"/>
      <c r="J85" s="144"/>
      <c r="K85" s="220"/>
      <c r="P85" s="266"/>
      <c r="R85" s="248"/>
      <c r="S85" s="256"/>
    </row>
    <row r="86" spans="1:19" s="48" customFormat="1" ht="13.5" hidden="1" thickTop="1">
      <c r="A86" s="394" t="e">
        <f>#REF!</f>
        <v>#REF!</v>
      </c>
      <c r="B86" s="54" t="e">
        <f>TRIM(CONCATENATE(#REF!," ",#REF!," ",#REF!))</f>
        <v>#REF!</v>
      </c>
      <c r="C86" s="55"/>
      <c r="F86" s="57" t="e">
        <f>#REF!</f>
        <v>#REF!</v>
      </c>
      <c r="G86" s="57" t="e">
        <f>#REF!</f>
        <v>#REF!</v>
      </c>
      <c r="H86" s="58"/>
      <c r="I86" s="53"/>
      <c r="J86" s="144"/>
      <c r="K86" s="220"/>
      <c r="P86" s="266"/>
      <c r="R86" s="248"/>
      <c r="S86" s="256"/>
    </row>
    <row r="87" spans="1:19" s="48" customFormat="1" ht="13.5" hidden="1" thickTop="1">
      <c r="A87" s="394" t="e">
        <f>#REF!</f>
        <v>#REF!</v>
      </c>
      <c r="B87" s="54" t="e">
        <f>TRIM(CONCATENATE(#REF!," ",#REF!," ",#REF!))</f>
        <v>#REF!</v>
      </c>
      <c r="C87" s="55"/>
      <c r="F87" s="57" t="e">
        <f>#REF!</f>
        <v>#REF!</v>
      </c>
      <c r="G87" s="57" t="e">
        <f>#REF!</f>
        <v>#REF!</v>
      </c>
      <c r="H87" s="60"/>
      <c r="I87" s="53"/>
      <c r="J87" s="144"/>
      <c r="K87" s="220"/>
      <c r="P87" s="266"/>
      <c r="R87" s="248"/>
      <c r="S87" s="256"/>
    </row>
    <row r="88" spans="1:19" s="48" customFormat="1" ht="13.5" hidden="1" thickTop="1">
      <c r="A88" s="394" t="e">
        <f>#REF!</f>
        <v>#REF!</v>
      </c>
      <c r="B88" s="54" t="e">
        <f>TRIM(CONCATENATE(#REF!," ",#REF!," ",#REF!))</f>
        <v>#REF!</v>
      </c>
      <c r="C88" s="55"/>
      <c r="F88" s="57" t="e">
        <f>#REF!</f>
        <v>#REF!</v>
      </c>
      <c r="G88" s="57" t="e">
        <f>#REF!</f>
        <v>#REF!</v>
      </c>
      <c r="H88" s="60"/>
      <c r="I88" s="53"/>
      <c r="J88" s="144"/>
      <c r="K88" s="220"/>
      <c r="P88" s="266"/>
      <c r="R88" s="248"/>
      <c r="S88" s="256"/>
    </row>
    <row r="89" spans="1:19" s="48" customFormat="1" ht="13.5" hidden="1" thickTop="1">
      <c r="A89" s="394" t="e">
        <f>#REF!</f>
        <v>#REF!</v>
      </c>
      <c r="B89" s="54" t="e">
        <f>TRIM(CONCATENATE(#REF!," ",#REF!," ",#REF!))</f>
        <v>#REF!</v>
      </c>
      <c r="C89" s="55"/>
      <c r="F89" s="57" t="e">
        <f>#REF!</f>
        <v>#REF!</v>
      </c>
      <c r="G89" s="57" t="e">
        <f>#REF!</f>
        <v>#REF!</v>
      </c>
      <c r="H89" s="60"/>
      <c r="I89" s="53"/>
      <c r="J89" s="144"/>
      <c r="K89" s="223"/>
      <c r="L89" s="182"/>
      <c r="M89" s="182"/>
      <c r="N89" s="182"/>
      <c r="O89" s="182"/>
      <c r="P89" s="266"/>
      <c r="R89" s="248"/>
      <c r="S89" s="256"/>
    </row>
    <row r="90" spans="1:19" s="182" customFormat="1" ht="13.5" hidden="1" thickTop="1">
      <c r="A90" s="396" t="e">
        <f>#REF!</f>
        <v>#REF!</v>
      </c>
      <c r="B90" s="171" t="e">
        <f>TRIM(CONCATENATE(#REF!," ",#REF!," ",#REF!))</f>
        <v>#REF!</v>
      </c>
      <c r="C90" s="172"/>
      <c r="F90" s="174" t="e">
        <f>#REF!</f>
        <v>#REF!</v>
      </c>
      <c r="G90" s="174" t="e">
        <f>#REF!</f>
        <v>#REF!</v>
      </c>
      <c r="H90" s="183"/>
      <c r="I90" s="184"/>
      <c r="J90" s="197"/>
      <c r="K90" s="222"/>
      <c r="L90" s="116"/>
      <c r="M90" s="116"/>
      <c r="N90" s="116"/>
      <c r="O90" s="116"/>
      <c r="P90" s="266"/>
      <c r="R90" s="253"/>
      <c r="S90" s="256"/>
    </row>
    <row r="91" spans="1:19" s="116" customFormat="1" ht="13.5" hidden="1" thickTop="1">
      <c r="A91" s="394" t="e">
        <f>#REF!</f>
        <v>#REF!</v>
      </c>
      <c r="B91" s="54" t="e">
        <f>TRIM(CONCATENATE(#REF!," ",#REF!," ",#REF!))</f>
        <v>#REF!</v>
      </c>
      <c r="C91" s="55"/>
      <c r="D91" s="48"/>
      <c r="E91" s="48"/>
      <c r="F91" s="57" t="e">
        <f>#REF!</f>
        <v>#REF!</v>
      </c>
      <c r="G91" s="57" t="e">
        <f>#REF!</f>
        <v>#REF!</v>
      </c>
      <c r="H91" s="119"/>
      <c r="I91" s="117"/>
      <c r="J91" s="144"/>
      <c r="K91" s="30"/>
      <c r="L91" s="26"/>
      <c r="M91" s="26"/>
      <c r="N91" s="26"/>
      <c r="O91" s="26"/>
      <c r="P91" s="266"/>
      <c r="R91" s="251"/>
      <c r="S91" s="257"/>
    </row>
    <row r="92" spans="1:19" ht="12" hidden="1" customHeight="1">
      <c r="A92" s="394" t="e">
        <f>#REF!</f>
        <v>#REF!</v>
      </c>
      <c r="B92" s="54" t="e">
        <f>TRIM(CONCATENATE(#REF!," ",#REF!," ",#REF!))</f>
        <v>#REF!</v>
      </c>
      <c r="C92" s="55"/>
      <c r="D92" s="48"/>
      <c r="E92" s="48"/>
      <c r="F92" s="57" t="e">
        <f>#REF!</f>
        <v>#REF!</v>
      </c>
      <c r="G92" s="57" t="e">
        <f>#REF!</f>
        <v>#REF!</v>
      </c>
      <c r="I92" s="37"/>
      <c r="J92" s="144"/>
      <c r="K92" s="223"/>
      <c r="L92" s="182"/>
      <c r="M92" s="182"/>
      <c r="N92" s="182"/>
      <c r="O92" s="182"/>
      <c r="S92" s="156"/>
    </row>
    <row r="93" spans="1:19" s="182" customFormat="1" ht="11.25" hidden="1" customHeight="1">
      <c r="A93" s="396" t="e">
        <f>#REF!</f>
        <v>#REF!</v>
      </c>
      <c r="B93" s="171" t="e">
        <f>TRIM(CONCATENATE(#REF!," ",#REF!," ",#REF!))</f>
        <v>#REF!</v>
      </c>
      <c r="C93" s="172"/>
      <c r="F93" s="174" t="e">
        <f>#REF!</f>
        <v>#REF!</v>
      </c>
      <c r="G93" s="174" t="e">
        <f>#REF!</f>
        <v>#REF!</v>
      </c>
      <c r="H93" s="183"/>
      <c r="I93" s="184"/>
      <c r="J93" s="197"/>
      <c r="K93" s="30"/>
      <c r="L93" s="26"/>
      <c r="M93" s="26"/>
      <c r="N93" s="26"/>
      <c r="O93" s="26"/>
      <c r="P93" s="266"/>
      <c r="R93" s="253"/>
      <c r="S93" s="256"/>
    </row>
    <row r="94" spans="1:19" ht="13.5" hidden="1" thickTop="1">
      <c r="A94" s="396" t="e">
        <f>#REF!</f>
        <v>#REF!</v>
      </c>
      <c r="B94" s="171" t="e">
        <f>TRIM(CONCATENATE(#REF!," ",#REF!," ",#REF!))</f>
        <v>#REF!</v>
      </c>
      <c r="C94" s="172"/>
      <c r="D94" s="182"/>
      <c r="E94" s="182"/>
      <c r="F94" s="174" t="e">
        <f>#REF!</f>
        <v>#REF!</v>
      </c>
      <c r="G94" s="174" t="e">
        <f>#REF!</f>
        <v>#REF!</v>
      </c>
      <c r="H94" s="179"/>
      <c r="I94" s="37"/>
      <c r="J94" s="144"/>
      <c r="K94" s="30"/>
      <c r="S94" s="156"/>
    </row>
    <row r="95" spans="1:19" ht="0.75" hidden="1" customHeight="1">
      <c r="A95" s="396"/>
      <c r="B95" s="171"/>
      <c r="C95" s="172"/>
      <c r="D95" s="172"/>
      <c r="E95" s="172"/>
      <c r="F95" s="174"/>
      <c r="G95" s="174"/>
      <c r="H95" s="179"/>
      <c r="I95" s="37"/>
      <c r="J95" s="144"/>
      <c r="K95" s="30"/>
      <c r="S95" s="156"/>
    </row>
    <row r="96" spans="1:19" ht="13.5" hidden="1" thickTop="1">
      <c r="A96" s="396"/>
      <c r="B96" s="171"/>
      <c r="C96" s="172"/>
      <c r="D96" s="172"/>
      <c r="E96" s="172"/>
      <c r="F96" s="174"/>
      <c r="G96" s="174"/>
      <c r="H96" s="179"/>
      <c r="I96" s="37"/>
      <c r="J96" s="144"/>
      <c r="K96" s="30"/>
      <c r="S96" s="156"/>
    </row>
    <row r="97" spans="1:19" ht="14.25" hidden="1" thickTop="1" thickBot="1">
      <c r="A97" s="398"/>
      <c r="B97" s="167" t="s">
        <v>84</v>
      </c>
      <c r="C97" s="167"/>
      <c r="D97" s="167"/>
      <c r="E97" s="167"/>
      <c r="F97" s="194" t="e">
        <f>SUM(F79:F96)</f>
        <v>#REF!</v>
      </c>
      <c r="G97" s="194" t="e">
        <f>SUM(G79:G96)</f>
        <v>#REF!</v>
      </c>
      <c r="H97" s="224" t="e">
        <f>F97/G97</f>
        <v>#REF!</v>
      </c>
      <c r="I97" s="37"/>
      <c r="J97" s="144"/>
      <c r="K97" s="30"/>
      <c r="S97" s="156"/>
    </row>
    <row r="98" spans="1:19" ht="13.5" hidden="1" thickTop="1">
      <c r="A98" s="398"/>
      <c r="B98" s="167"/>
      <c r="C98" s="167"/>
      <c r="D98" s="167"/>
      <c r="E98" s="167"/>
      <c r="F98" s="167"/>
      <c r="G98" s="167"/>
      <c r="H98" s="179"/>
      <c r="I98" s="37"/>
      <c r="J98" s="144"/>
      <c r="K98" s="30"/>
      <c r="S98" s="156"/>
    </row>
    <row r="99" spans="1:19" ht="12.75" hidden="1" customHeight="1">
      <c r="A99" s="396" t="e">
        <f>#REF!</f>
        <v>#REF!</v>
      </c>
      <c r="B99" s="171" t="e">
        <f>TRIM(CONCATENATE(#REF!," ",#REF!," ",#REF!))</f>
        <v>#REF!</v>
      </c>
      <c r="C99" s="172"/>
      <c r="D99" s="178"/>
      <c r="E99" s="178"/>
      <c r="F99" s="174" t="e">
        <f>#REF!</f>
        <v>#REF!</v>
      </c>
      <c r="G99" s="174" t="e">
        <f>#REF!</f>
        <v>#REF!</v>
      </c>
      <c r="H99" s="176"/>
      <c r="I99" s="37"/>
      <c r="J99" s="144"/>
      <c r="K99" s="30"/>
      <c r="S99" s="156"/>
    </row>
    <row r="100" spans="1:19" ht="13.5" hidden="1" thickTop="1">
      <c r="A100" s="396" t="e">
        <f>#REF!</f>
        <v>#REF!</v>
      </c>
      <c r="B100" s="171" t="e">
        <f>TRIM(CONCATENATE(#REF!," ",#REF!," ",#REF!))</f>
        <v>#REF!</v>
      </c>
      <c r="C100" s="172"/>
      <c r="D100" s="178"/>
      <c r="E100" s="178"/>
      <c r="F100" s="174" t="e">
        <f>#REF!</f>
        <v>#REF!</v>
      </c>
      <c r="G100" s="174" t="e">
        <f>#REF!</f>
        <v>#REF!</v>
      </c>
      <c r="H100" s="179"/>
      <c r="I100" s="37"/>
      <c r="J100" s="144"/>
      <c r="K100" s="30"/>
      <c r="S100" s="156"/>
    </row>
    <row r="101" spans="1:19" ht="13.5" hidden="1" thickTop="1">
      <c r="A101" s="396" t="e">
        <f>#REF!</f>
        <v>#REF!</v>
      </c>
      <c r="B101" s="171" t="e">
        <f>TRIM(CONCATENATE(#REF!," ",#REF!," ",#REF!))</f>
        <v>#REF!</v>
      </c>
      <c r="C101" s="172"/>
      <c r="D101" s="178"/>
      <c r="E101" s="178"/>
      <c r="F101" s="174" t="e">
        <f>#REF!</f>
        <v>#REF!</v>
      </c>
      <c r="G101" s="174" t="e">
        <f>#REF!</f>
        <v>#REF!</v>
      </c>
      <c r="H101" s="179"/>
      <c r="I101" s="37"/>
      <c r="J101" s="144"/>
      <c r="K101" s="30"/>
      <c r="S101" s="156"/>
    </row>
    <row r="102" spans="1:19" ht="13.5" hidden="1" thickTop="1">
      <c r="A102" s="394" t="e">
        <f>#REF!</f>
        <v>#REF!</v>
      </c>
      <c r="B102" s="54" t="e">
        <f>TRIM(CONCATENATE(#REF!," ",#REF!," ",#REF!))</f>
        <v>#REF!</v>
      </c>
      <c r="C102" s="55"/>
      <c r="D102" s="35"/>
      <c r="E102" s="35"/>
      <c r="F102" s="57" t="e">
        <f>#REF!</f>
        <v>#REF!</v>
      </c>
      <c r="G102" s="57" t="e">
        <f>#REF!</f>
        <v>#REF!</v>
      </c>
      <c r="I102" s="37"/>
      <c r="J102" s="144"/>
      <c r="K102" s="30"/>
      <c r="S102" s="156"/>
    </row>
    <row r="103" spans="1:19" ht="13.5" hidden="1" thickTop="1">
      <c r="A103" s="394" t="e">
        <f>#REF!</f>
        <v>#REF!</v>
      </c>
      <c r="B103" s="54" t="e">
        <f>TRIM(CONCATENATE(#REF!," ",#REF!," ",#REF!))</f>
        <v>#REF!</v>
      </c>
      <c r="C103" s="55"/>
      <c r="D103" s="35"/>
      <c r="E103" s="35"/>
      <c r="F103" s="57" t="e">
        <f>#REF!</f>
        <v>#REF!</v>
      </c>
      <c r="G103" s="57" t="e">
        <f>#REF!</f>
        <v>#REF!</v>
      </c>
      <c r="I103" s="37"/>
      <c r="J103" s="144"/>
      <c r="K103" s="30"/>
      <c r="S103" s="156"/>
    </row>
    <row r="104" spans="1:19" ht="13.5" hidden="1" thickTop="1">
      <c r="A104" s="394" t="e">
        <f>#REF!</f>
        <v>#REF!</v>
      </c>
      <c r="B104" s="54" t="e">
        <f>TRIM(CONCATENATE(#REF!," ",#REF!," ",#REF!))</f>
        <v>#REF!</v>
      </c>
      <c r="C104" s="55"/>
      <c r="D104" s="35"/>
      <c r="E104" s="35"/>
      <c r="F104" s="57" t="e">
        <f>#REF!</f>
        <v>#REF!</v>
      </c>
      <c r="G104" s="57" t="e">
        <f>#REF!</f>
        <v>#REF!</v>
      </c>
      <c r="I104" s="37"/>
      <c r="J104" s="144"/>
      <c r="K104" s="30"/>
      <c r="S104" s="156"/>
    </row>
    <row r="105" spans="1:19" ht="13.5" hidden="1" thickTop="1">
      <c r="A105" s="394" t="e">
        <f>#REF!</f>
        <v>#REF!</v>
      </c>
      <c r="B105" s="54" t="e">
        <f>TRIM(CONCATENATE(#REF!," ",#REF!," ",#REF!))</f>
        <v>#REF!</v>
      </c>
      <c r="C105" s="55"/>
      <c r="D105" s="35"/>
      <c r="E105" s="35"/>
      <c r="F105" s="57" t="e">
        <f>#REF!</f>
        <v>#REF!</v>
      </c>
      <c r="G105" s="57" t="e">
        <f>#REF!</f>
        <v>#REF!</v>
      </c>
      <c r="I105" s="37"/>
      <c r="J105" s="144"/>
      <c r="K105" s="30"/>
      <c r="S105" s="156"/>
    </row>
    <row r="106" spans="1:19" ht="13.5" hidden="1" thickTop="1">
      <c r="A106" s="394" t="e">
        <f>#REF!</f>
        <v>#REF!</v>
      </c>
      <c r="B106" s="54" t="e">
        <f>TRIM(CONCATENATE(#REF!," ",#REF!," ",#REF!))</f>
        <v>#REF!</v>
      </c>
      <c r="C106" s="55"/>
      <c r="D106" s="35"/>
      <c r="E106" s="35"/>
      <c r="F106" s="118" t="e">
        <f>#REF!</f>
        <v>#REF!</v>
      </c>
      <c r="G106" s="118" t="e">
        <f>#REF!</f>
        <v>#REF!</v>
      </c>
      <c r="I106" s="37"/>
      <c r="J106" s="144"/>
      <c r="K106" s="30"/>
      <c r="S106" s="156"/>
    </row>
    <row r="107" spans="1:19" ht="13.5" hidden="1" thickTop="1">
      <c r="A107" s="394" t="e">
        <f>#REF!</f>
        <v>#REF!</v>
      </c>
      <c r="B107" s="54" t="e">
        <f>TRIM(CONCATENATE(#REF!," ",#REF!," ",#REF!))</f>
        <v>#REF!</v>
      </c>
      <c r="C107" s="55"/>
      <c r="D107" s="35"/>
      <c r="E107" s="35"/>
      <c r="F107" s="118" t="e">
        <f>#REF!</f>
        <v>#REF!</v>
      </c>
      <c r="G107" s="118" t="e">
        <f>#REF!</f>
        <v>#REF!</v>
      </c>
      <c r="I107" s="37"/>
      <c r="J107" s="144"/>
      <c r="K107" s="30"/>
      <c r="S107" s="156"/>
    </row>
    <row r="108" spans="1:19" ht="13.5" hidden="1" thickTop="1">
      <c r="A108" s="394" t="e">
        <f>#REF!</f>
        <v>#REF!</v>
      </c>
      <c r="B108" s="54" t="e">
        <f>TRIM(CONCATENATE(#REF!," ",#REF!," ",#REF!))</f>
        <v>#REF!</v>
      </c>
      <c r="C108" s="55"/>
      <c r="D108" s="35"/>
      <c r="E108" s="35"/>
      <c r="F108" s="118" t="e">
        <f>#REF!</f>
        <v>#REF!</v>
      </c>
      <c r="G108" s="118" t="e">
        <f>#REF!</f>
        <v>#REF!</v>
      </c>
      <c r="I108" s="37"/>
      <c r="J108" s="144"/>
      <c r="K108" s="30"/>
      <c r="S108" s="156"/>
    </row>
    <row r="109" spans="1:19" ht="13.5" hidden="1" thickTop="1">
      <c r="A109" s="394" t="e">
        <f>#REF!</f>
        <v>#REF!</v>
      </c>
      <c r="B109" s="54" t="e">
        <f>TRIM(CONCATENATE(#REF!," ",#REF!," ",#REF!))</f>
        <v>#REF!</v>
      </c>
      <c r="C109" s="55"/>
      <c r="D109" s="35"/>
      <c r="E109" s="35"/>
      <c r="F109" s="118" t="e">
        <f>#REF!</f>
        <v>#REF!</v>
      </c>
      <c r="G109" s="118" t="e">
        <f>#REF!</f>
        <v>#REF!</v>
      </c>
      <c r="I109" s="37"/>
      <c r="J109" s="144"/>
      <c r="K109" s="30"/>
      <c r="S109" s="156"/>
    </row>
    <row r="110" spans="1:19" ht="13.5" hidden="1" thickTop="1">
      <c r="A110" s="394" t="e">
        <f>#REF!</f>
        <v>#REF!</v>
      </c>
      <c r="B110" s="54" t="e">
        <f>TRIM(CONCATENATE(#REF!," ",#REF!," ",#REF!))</f>
        <v>#REF!</v>
      </c>
      <c r="C110" s="55"/>
      <c r="D110" s="35"/>
      <c r="E110" s="35"/>
      <c r="F110" s="118" t="e">
        <f>#REF!</f>
        <v>#REF!</v>
      </c>
      <c r="G110" s="118" t="e">
        <f>#REF!</f>
        <v>#REF!</v>
      </c>
      <c r="I110" s="37"/>
      <c r="J110" s="144"/>
      <c r="K110" s="30"/>
      <c r="S110" s="156"/>
    </row>
    <row r="111" spans="1:19" ht="13.5" hidden="1" thickTop="1">
      <c r="A111" s="394" t="e">
        <f>#REF!</f>
        <v>#REF!</v>
      </c>
      <c r="B111" s="54" t="e">
        <f>TRIM(CONCATENATE(#REF!," ",#REF!," ",#REF!))</f>
        <v>#REF!</v>
      </c>
      <c r="C111" s="55"/>
      <c r="D111" s="35"/>
      <c r="E111" s="35"/>
      <c r="F111" s="118" t="e">
        <f>#REF!</f>
        <v>#REF!</v>
      </c>
      <c r="G111" s="118" t="e">
        <f>#REF!</f>
        <v>#REF!</v>
      </c>
      <c r="I111" s="37"/>
      <c r="J111" s="144"/>
      <c r="K111" s="30"/>
      <c r="S111" s="156"/>
    </row>
    <row r="112" spans="1:19" ht="13.5" hidden="1" customHeight="1">
      <c r="A112" s="396" t="e">
        <f>#REF!</f>
        <v>#REF!</v>
      </c>
      <c r="B112" s="171" t="e">
        <f>TRIM(CONCATENATE(#REF!," ",#REF!," ",#REF!))</f>
        <v>#REF!</v>
      </c>
      <c r="C112" s="172"/>
      <c r="D112" s="178"/>
      <c r="E112" s="178"/>
      <c r="F112" s="151" t="e">
        <f>#REF!</f>
        <v>#REF!</v>
      </c>
      <c r="G112" s="151" t="e">
        <f>#REF!</f>
        <v>#REF!</v>
      </c>
      <c r="H112" s="179"/>
      <c r="I112" s="37"/>
      <c r="J112" s="144"/>
      <c r="K112" s="30"/>
      <c r="S112" s="156"/>
    </row>
    <row r="113" spans="1:19" ht="12.75" hidden="1" customHeight="1">
      <c r="A113" s="394" t="e">
        <f>#REF!</f>
        <v>#REF!</v>
      </c>
      <c r="B113" s="54" t="e">
        <f>TRIM(CONCATENATE(#REF!," ",#REF!," ",#REF!))</f>
        <v>#REF!</v>
      </c>
      <c r="C113" s="55"/>
      <c r="D113" s="35"/>
      <c r="E113" s="35"/>
      <c r="F113" s="118" t="e">
        <f>#REF!</f>
        <v>#REF!</v>
      </c>
      <c r="G113" s="118" t="e">
        <f>#REF!</f>
        <v>#REF!</v>
      </c>
      <c r="I113" s="37"/>
      <c r="J113" s="144"/>
      <c r="K113" s="30"/>
      <c r="S113" s="156"/>
    </row>
    <row r="114" spans="1:19" ht="1.5" hidden="1" customHeight="1">
      <c r="A114" s="394" t="e">
        <f>#REF!</f>
        <v>#REF!</v>
      </c>
      <c r="B114" s="54" t="e">
        <f>TRIM(CONCATENATE(#REF!," ",#REF!," ",#REF!))</f>
        <v>#REF!</v>
      </c>
      <c r="C114" s="55"/>
      <c r="D114" s="35"/>
      <c r="E114" s="35"/>
      <c r="F114" s="118" t="e">
        <f>#REF!</f>
        <v>#REF!</v>
      </c>
      <c r="G114" s="118" t="e">
        <f>#REF!</f>
        <v>#REF!</v>
      </c>
      <c r="I114" s="37"/>
      <c r="J114" s="144"/>
      <c r="K114" s="30"/>
      <c r="S114" s="156"/>
    </row>
    <row r="115" spans="1:19" ht="13.5" hidden="1" customHeight="1">
      <c r="A115" s="399"/>
      <c r="B115" s="28"/>
      <c r="C115" s="28"/>
      <c r="D115" s="28"/>
      <c r="E115" s="44"/>
      <c r="F115" s="162"/>
      <c r="G115" s="162"/>
      <c r="H115" s="64"/>
      <c r="I115" s="37"/>
      <c r="J115" s="144"/>
      <c r="K115" s="30"/>
      <c r="S115" s="156"/>
    </row>
    <row r="116" spans="1:19" ht="13.5" hidden="1" customHeight="1" thickBot="1">
      <c r="B116" s="28" t="s">
        <v>189</v>
      </c>
      <c r="C116" s="28"/>
      <c r="D116" s="28"/>
      <c r="E116" s="44"/>
      <c r="F116" s="45" t="e">
        <f>SUM(F97:F115)</f>
        <v>#REF!</v>
      </c>
      <c r="G116" s="45" t="e">
        <f>SUM(G97:G115)</f>
        <v>#REF!</v>
      </c>
      <c r="H116" s="225" t="e">
        <f>F116/G116</f>
        <v>#REF!</v>
      </c>
      <c r="I116" s="37"/>
      <c r="J116" s="144"/>
      <c r="K116" s="30"/>
      <c r="M116" s="166"/>
      <c r="S116" s="156"/>
    </row>
    <row r="117" spans="1:19" ht="14.25" customHeight="1" thickTop="1">
      <c r="B117" s="28"/>
      <c r="C117" s="28"/>
      <c r="D117" s="28"/>
      <c r="E117" s="44"/>
      <c r="F117" s="37"/>
      <c r="G117" s="37"/>
      <c r="H117" s="64"/>
      <c r="I117" s="37"/>
      <c r="J117" s="144"/>
      <c r="L117" s="170"/>
      <c r="M117" s="55"/>
      <c r="N117" s="55"/>
      <c r="O117" s="55"/>
      <c r="P117" s="269"/>
      <c r="S117" s="156"/>
    </row>
    <row r="118" spans="1:19" ht="14.25" customHeight="1">
      <c r="F118" s="135"/>
      <c r="L118" s="28"/>
      <c r="M118" s="55"/>
      <c r="N118" s="56">
        <f>'Exh. No. BGM-3 2'!E24</f>
        <v>196.52699999999999</v>
      </c>
      <c r="O118" s="56"/>
      <c r="P118" s="261"/>
      <c r="Q118" s="39">
        <f>N59-N118</f>
        <v>2.1778706127406622E-6</v>
      </c>
      <c r="S118" s="242"/>
    </row>
    <row r="119" spans="1:19" ht="14.25" customHeight="1">
      <c r="L119" s="164"/>
      <c r="M119" s="55"/>
      <c r="N119" s="55"/>
      <c r="O119" s="55"/>
      <c r="P119" s="56"/>
      <c r="Q119" s="106"/>
      <c r="S119" s="254"/>
    </row>
    <row r="120" spans="1:19" ht="14.25" customHeight="1">
      <c r="L120" s="164"/>
      <c r="M120" s="55"/>
      <c r="N120" s="55"/>
      <c r="O120" s="55"/>
      <c r="P120" s="269"/>
      <c r="Q120" s="39"/>
      <c r="S120" s="255"/>
    </row>
    <row r="121" spans="1:19">
      <c r="S121" s="156"/>
    </row>
    <row r="122" spans="1:19">
      <c r="S122" s="156"/>
    </row>
  </sheetData>
  <mergeCells count="11">
    <mergeCell ref="D7:E7"/>
    <mergeCell ref="G7:H7"/>
    <mergeCell ref="J7:K7"/>
    <mergeCell ref="D6:E6"/>
    <mergeCell ref="G6:H6"/>
    <mergeCell ref="J6:K6"/>
    <mergeCell ref="M6:N6"/>
    <mergeCell ref="A1:N1"/>
    <mergeCell ref="A2:N2"/>
    <mergeCell ref="A3:N3"/>
    <mergeCell ref="M5:N5"/>
  </mergeCells>
  <phoneticPr fontId="0" type="noConversion"/>
  <pageMargins left="0.75" right="0.51" top="0.75" bottom="0.5" header="0.5" footer="0.5"/>
  <pageSetup scale="64" firstPageNumber="4" orientation="landscape" horizontalDpi="300" verticalDpi="300" r:id="rId1"/>
  <headerFooter alignWithMargins="0">
    <oddHeader xml:space="preserve">&amp;RExhibit No. ____(EMA-6) </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Y91"/>
  <sheetViews>
    <sheetView view="pageBreakPreview" zoomScale="115" zoomScaleNormal="100" zoomScaleSheetLayoutView="115" workbookViewId="0">
      <selection activeCell="K31" sqref="K31"/>
    </sheetView>
  </sheetViews>
  <sheetFormatPr defaultColWidth="9.140625" defaultRowHeight="12.75"/>
  <cols>
    <col min="1" max="1" width="4.7109375" style="3" customWidth="1"/>
    <col min="2" max="3" width="1.7109375" style="2" customWidth="1"/>
    <col min="4" max="4" width="38.28515625" style="2" customWidth="1"/>
    <col min="5" max="5" width="11.7109375" style="279" customWidth="1"/>
    <col min="6" max="6" width="13.7109375" style="279" customWidth="1"/>
    <col min="7" max="7" width="12.42578125" style="279" customWidth="1"/>
    <col min="8" max="8" width="14.28515625" style="279" customWidth="1"/>
    <col min="9" max="9" width="13.28515625" style="279" customWidth="1"/>
    <col min="10" max="10" width="9.140625" style="26"/>
    <col min="11" max="11" width="10.5703125" style="26" customWidth="1"/>
    <col min="12" max="12" width="9.140625" style="26"/>
    <col min="13" max="13" width="11.140625" style="26" bestFit="1" customWidth="1"/>
    <col min="14" max="15" width="9.140625" style="26"/>
    <col min="16" max="16" width="11.140625" style="26" bestFit="1" customWidth="1"/>
    <col min="17" max="17" width="9.140625" style="55"/>
    <col min="18" max="36" width="9.140625" style="26"/>
    <col min="37" max="37" width="14.7109375" style="26" customWidth="1"/>
    <col min="38" max="16384" width="9.140625" style="26"/>
  </cols>
  <sheetData>
    <row r="1" spans="1:22">
      <c r="A1" s="1">
        <f>'Exh. No. BGM-3 4'!A2</f>
        <v>0</v>
      </c>
      <c r="D1" s="3"/>
      <c r="E1" s="855"/>
      <c r="F1" s="855"/>
    </row>
    <row r="2" spans="1:22">
      <c r="A2" s="1" t="str">
        <f>'Exh. No. BGM-3 4'!A3</f>
        <v xml:space="preserve">WASHINGTON ELECTRIC RESULTS - PRO FORMA </v>
      </c>
      <c r="D2" s="3"/>
    </row>
    <row r="3" spans="1:22" ht="1.5" customHeight="1">
      <c r="A3" s="704"/>
      <c r="D3" s="3"/>
    </row>
    <row r="4" spans="1:22" ht="14.25">
      <c r="A4" s="1" t="str">
        <f>'Exh. No. BGM-3 4'!A5</f>
        <v>TWELVE MONTHS ENDED DECEMBER 31, 2016</v>
      </c>
      <c r="D4" s="3"/>
      <c r="E4" s="876" t="s">
        <v>721</v>
      </c>
      <c r="F4" s="877"/>
      <c r="G4" s="877"/>
      <c r="H4" s="877"/>
      <c r="I4" s="878"/>
    </row>
    <row r="5" spans="1:22">
      <c r="A5" s="1" t="str">
        <f>'Exh. No. BGM-3 4'!A6</f>
        <v xml:space="preserve">(000'S OF DOLLARS)  </v>
      </c>
      <c r="B5" s="5"/>
      <c r="C5" s="5"/>
      <c r="D5" s="4"/>
      <c r="E5" s="292" t="s">
        <v>170</v>
      </c>
      <c r="F5" s="293"/>
      <c r="G5" s="294"/>
      <c r="H5" s="292" t="s">
        <v>729</v>
      </c>
      <c r="I5" s="294"/>
      <c r="V5" s="513"/>
    </row>
    <row r="6" spans="1:22">
      <c r="A6" s="6"/>
      <c r="B6" s="7"/>
      <c r="C6" s="8"/>
      <c r="D6" s="9"/>
      <c r="E6" s="295" t="s">
        <v>171</v>
      </c>
      <c r="F6" s="295"/>
      <c r="G6" s="295" t="s">
        <v>721</v>
      </c>
      <c r="H6" s="296" t="s">
        <v>172</v>
      </c>
      <c r="I6" s="702" t="s">
        <v>721</v>
      </c>
    </row>
    <row r="7" spans="1:22">
      <c r="A7" s="10" t="s">
        <v>8</v>
      </c>
      <c r="B7" s="11"/>
      <c r="C7" s="12"/>
      <c r="D7" s="13"/>
      <c r="E7" s="297" t="s">
        <v>9</v>
      </c>
      <c r="F7" s="297" t="s">
        <v>137</v>
      </c>
      <c r="G7" s="297" t="s">
        <v>736</v>
      </c>
      <c r="H7" s="298" t="s">
        <v>173</v>
      </c>
      <c r="I7" s="297" t="s">
        <v>172</v>
      </c>
    </row>
    <row r="8" spans="1:22">
      <c r="A8" s="14" t="s">
        <v>21</v>
      </c>
      <c r="B8" s="15"/>
      <c r="C8" s="16"/>
      <c r="D8" s="17" t="s">
        <v>22</v>
      </c>
      <c r="E8" s="299" t="s">
        <v>23</v>
      </c>
      <c r="F8" s="299" t="s">
        <v>148</v>
      </c>
      <c r="G8" s="299" t="s">
        <v>737</v>
      </c>
      <c r="H8" s="300" t="s">
        <v>174</v>
      </c>
      <c r="I8" s="299" t="s">
        <v>137</v>
      </c>
    </row>
    <row r="9" spans="1:22">
      <c r="A9" s="18"/>
      <c r="B9" s="19"/>
      <c r="C9" s="19"/>
      <c r="D9" s="19" t="s">
        <v>34</v>
      </c>
      <c r="E9" s="301" t="s">
        <v>35</v>
      </c>
      <c r="F9" s="301" t="s">
        <v>36</v>
      </c>
      <c r="G9" s="301" t="s">
        <v>37</v>
      </c>
      <c r="H9" s="301" t="s">
        <v>38</v>
      </c>
      <c r="I9" s="301" t="s">
        <v>39</v>
      </c>
    </row>
    <row r="10" spans="1:22" ht="5.25" customHeight="1"/>
    <row r="11" spans="1:22" ht="5.25" customHeight="1"/>
    <row r="12" spans="1:22" ht="1.5" customHeight="1"/>
    <row r="13" spans="1:22">
      <c r="B13" s="2" t="s">
        <v>40</v>
      </c>
    </row>
    <row r="14" spans="1:22">
      <c r="A14" s="20">
        <v>1</v>
      </c>
      <c r="B14" s="21" t="s">
        <v>41</v>
      </c>
      <c r="C14" s="21"/>
      <c r="D14" s="21"/>
      <c r="E14" s="21">
        <f>'Exh. No. BGM-3 4'!E14</f>
        <v>516333</v>
      </c>
      <c r="F14" s="21">
        <f>G14-E14</f>
        <v>-25145</v>
      </c>
      <c r="G14" s="553">
        <f>'Exh. No. BGM-3 4'!AT14</f>
        <v>491188</v>
      </c>
      <c r="H14" s="289">
        <f>'Exh. No. BGM-3 3'!J9</f>
        <v>196.52699999999999</v>
      </c>
      <c r="I14" s="21">
        <f>G14+H14</f>
        <v>491384.527</v>
      </c>
    </row>
    <row r="15" spans="1:22">
      <c r="A15" s="20">
        <v>2</v>
      </c>
      <c r="B15" s="22" t="s">
        <v>42</v>
      </c>
      <c r="C15" s="22"/>
      <c r="D15" s="22"/>
      <c r="E15" s="280">
        <f>'Exh. No. BGM-3 4'!E15</f>
        <v>946</v>
      </c>
      <c r="F15" s="280">
        <f>G15-E15</f>
        <v>0</v>
      </c>
      <c r="G15" s="565">
        <f>'Exh. No. BGM-3 4'!AT15</f>
        <v>946</v>
      </c>
      <c r="H15" s="280"/>
      <c r="I15" s="280">
        <f t="shared" ref="I15:I16" si="0">G15+H15</f>
        <v>946</v>
      </c>
    </row>
    <row r="16" spans="1:22">
      <c r="A16" s="20">
        <v>3</v>
      </c>
      <c r="B16" s="22" t="s">
        <v>43</v>
      </c>
      <c r="C16" s="22"/>
      <c r="D16" s="22"/>
      <c r="E16" s="285">
        <f>'Exh. No. BGM-3 4'!E16</f>
        <v>78098</v>
      </c>
      <c r="F16" s="285">
        <f>G16-E16</f>
        <v>-20773</v>
      </c>
      <c r="G16" s="577">
        <f>'Exh. No. BGM-3 4'!AT16</f>
        <v>57325</v>
      </c>
      <c r="H16" s="285"/>
      <c r="I16" s="285">
        <f t="shared" si="0"/>
        <v>57325</v>
      </c>
    </row>
    <row r="17" spans="1:12">
      <c r="A17" s="20">
        <v>4</v>
      </c>
      <c r="B17" s="22"/>
      <c r="C17" s="22" t="s">
        <v>44</v>
      </c>
      <c r="D17" s="22"/>
      <c r="E17" s="280">
        <f>SUM(E14:E16)</f>
        <v>595377</v>
      </c>
      <c r="F17" s="280">
        <f>SUM(F14:F16)</f>
        <v>-45918</v>
      </c>
      <c r="G17" s="565">
        <f t="shared" ref="G17:I17" si="1">SUM(G14:G16)</f>
        <v>549459</v>
      </c>
      <c r="H17" s="280">
        <f t="shared" si="1"/>
        <v>196.52699999999999</v>
      </c>
      <c r="I17" s="280">
        <f t="shared" si="1"/>
        <v>549655.527</v>
      </c>
    </row>
    <row r="18" spans="1:12">
      <c r="A18" s="20">
        <v>5</v>
      </c>
      <c r="B18" s="22" t="s">
        <v>45</v>
      </c>
      <c r="C18" s="22"/>
      <c r="D18" s="22"/>
      <c r="E18" s="285">
        <f>'Exh. No. BGM-3 4'!E18</f>
        <v>81735</v>
      </c>
      <c r="F18" s="285">
        <f>G18-E18</f>
        <v>-68435</v>
      </c>
      <c r="G18" s="577">
        <f>'Exh. No. BGM-3 4'!AT18</f>
        <v>13300</v>
      </c>
      <c r="H18" s="285"/>
      <c r="I18" s="285">
        <f>G18+H18</f>
        <v>13300</v>
      </c>
    </row>
    <row r="19" spans="1:12">
      <c r="A19" s="20">
        <v>6</v>
      </c>
      <c r="B19" s="22"/>
      <c r="C19" s="22" t="s">
        <v>46</v>
      </c>
      <c r="D19" s="22"/>
      <c r="E19" s="280">
        <f>SUM(E17:E18)</f>
        <v>677112</v>
      </c>
      <c r="F19" s="280">
        <f t="shared" ref="F19:I19" si="2">SUM(F17:F18)</f>
        <v>-114353</v>
      </c>
      <c r="G19" s="565">
        <f t="shared" si="2"/>
        <v>562759</v>
      </c>
      <c r="H19" s="280">
        <f t="shared" si="2"/>
        <v>196.52699999999999</v>
      </c>
      <c r="I19" s="280">
        <f t="shared" si="2"/>
        <v>562955.527</v>
      </c>
    </row>
    <row r="20" spans="1:12" ht="5.25" customHeight="1">
      <c r="A20" s="20"/>
      <c r="B20" s="22"/>
      <c r="C20" s="22"/>
      <c r="D20" s="22"/>
      <c r="E20" s="280"/>
      <c r="F20" s="280"/>
      <c r="G20" s="565"/>
      <c r="H20" s="280"/>
      <c r="I20" s="280"/>
    </row>
    <row r="21" spans="1:12">
      <c r="A21" s="20"/>
      <c r="B21" s="22" t="s">
        <v>47</v>
      </c>
      <c r="C21" s="22"/>
      <c r="D21" s="22"/>
      <c r="E21" s="280"/>
      <c r="F21" s="280"/>
      <c r="G21" s="565"/>
      <c r="H21" s="280"/>
      <c r="I21" s="280"/>
      <c r="L21" s="305"/>
    </row>
    <row r="22" spans="1:12">
      <c r="A22" s="20"/>
      <c r="B22" s="22" t="s">
        <v>48</v>
      </c>
      <c r="C22" s="22"/>
      <c r="D22" s="22"/>
      <c r="E22" s="280"/>
      <c r="F22" s="280"/>
      <c r="G22" s="565"/>
      <c r="H22" s="280"/>
      <c r="I22" s="280"/>
    </row>
    <row r="23" spans="1:12">
      <c r="A23" s="20">
        <v>7</v>
      </c>
      <c r="B23" s="22"/>
      <c r="C23" s="22" t="s">
        <v>49</v>
      </c>
      <c r="D23" s="22"/>
      <c r="E23" s="280">
        <f>'Exh. No. BGM-3 4'!E23</f>
        <v>184672</v>
      </c>
      <c r="F23" s="280">
        <f>G23-E23</f>
        <v>-49387.66</v>
      </c>
      <c r="G23" s="565">
        <f>'Exh. No. BGM-3 4'!AT23</f>
        <v>135284.34</v>
      </c>
      <c r="H23" s="280"/>
      <c r="I23" s="280">
        <f>G23+H23</f>
        <v>135284.34</v>
      </c>
    </row>
    <row r="24" spans="1:12">
      <c r="A24" s="20">
        <v>8</v>
      </c>
      <c r="B24" s="22"/>
      <c r="C24" s="22" t="s">
        <v>50</v>
      </c>
      <c r="D24" s="22"/>
      <c r="E24" s="280">
        <f>'Exh. No. BGM-3 4'!E24</f>
        <v>96772</v>
      </c>
      <c r="F24" s="280">
        <f>G24-E24</f>
        <v>-19641</v>
      </c>
      <c r="G24" s="565">
        <f>'Exh. No. BGM-3 4'!AT24</f>
        <v>77131</v>
      </c>
      <c r="H24" s="280"/>
      <c r="I24" s="280">
        <f t="shared" ref="I24:I27" si="3">G24+H24</f>
        <v>77131</v>
      </c>
    </row>
    <row r="25" spans="1:12">
      <c r="A25" s="20">
        <v>9</v>
      </c>
      <c r="B25" s="22"/>
      <c r="C25" s="22" t="s">
        <v>589</v>
      </c>
      <c r="D25" s="22"/>
      <c r="E25" s="280">
        <f>'Exh. No. BGM-3 4'!E25</f>
        <v>26677</v>
      </c>
      <c r="F25" s="280">
        <f>G25-E25</f>
        <v>129</v>
      </c>
      <c r="G25" s="565">
        <f>'Exh. No. BGM-3 4'!AT25</f>
        <v>26806</v>
      </c>
      <c r="H25" s="280"/>
      <c r="I25" s="280">
        <f t="shared" si="3"/>
        <v>26806</v>
      </c>
      <c r="L25" s="280"/>
    </row>
    <row r="26" spans="1:12">
      <c r="A26" s="20">
        <v>10</v>
      </c>
      <c r="B26" s="22"/>
      <c r="C26" s="22" t="s">
        <v>586</v>
      </c>
      <c r="D26" s="22"/>
      <c r="E26" s="280">
        <f>'Exh. No. BGM-3 4'!E26</f>
        <v>4310</v>
      </c>
      <c r="F26" s="280">
        <f>G26-E26</f>
        <v>-998</v>
      </c>
      <c r="G26" s="565">
        <f>'Exh. No. BGM-3 4'!AT26</f>
        <v>3312</v>
      </c>
      <c r="H26" s="280"/>
      <c r="I26" s="280">
        <f t="shared" si="3"/>
        <v>3312</v>
      </c>
    </row>
    <row r="27" spans="1:12">
      <c r="A27" s="20">
        <v>11</v>
      </c>
      <c r="B27" s="22"/>
      <c r="C27" s="22" t="s">
        <v>27</v>
      </c>
      <c r="D27" s="22"/>
      <c r="E27" s="285">
        <f>'Exh. No. BGM-3 4'!E27</f>
        <v>14904</v>
      </c>
      <c r="F27" s="285">
        <f>G27-E27</f>
        <v>1664</v>
      </c>
      <c r="G27" s="577">
        <f>'Exh. No. BGM-3 4'!AT27</f>
        <v>16568</v>
      </c>
      <c r="H27" s="285"/>
      <c r="I27" s="285">
        <f t="shared" si="3"/>
        <v>16568</v>
      </c>
    </row>
    <row r="28" spans="1:12">
      <c r="A28" s="20">
        <v>12</v>
      </c>
      <c r="B28" s="22"/>
      <c r="C28" s="22"/>
      <c r="D28" s="22" t="s">
        <v>51</v>
      </c>
      <c r="E28" s="280">
        <f>SUM(E23:E27)</f>
        <v>327335</v>
      </c>
      <c r="F28" s="280">
        <f t="shared" ref="F28:I28" si="4">SUM(F23:F27)</f>
        <v>-68233.66</v>
      </c>
      <c r="G28" s="565">
        <f t="shared" si="4"/>
        <v>259101.34</v>
      </c>
      <c r="H28" s="280">
        <f t="shared" si="4"/>
        <v>0</v>
      </c>
      <c r="I28" s="280">
        <f t="shared" si="4"/>
        <v>259101.34</v>
      </c>
    </row>
    <row r="29" spans="1:12" ht="7.5" customHeight="1">
      <c r="A29" s="20"/>
      <c r="B29" s="22"/>
      <c r="C29" s="22"/>
      <c r="D29" s="22"/>
      <c r="E29" s="280"/>
      <c r="F29" s="280"/>
      <c r="G29" s="565"/>
      <c r="H29" s="280"/>
      <c r="I29" s="280"/>
    </row>
    <row r="30" spans="1:12">
      <c r="A30" s="20"/>
      <c r="B30" s="22" t="s">
        <v>52</v>
      </c>
      <c r="C30" s="22"/>
      <c r="D30" s="22"/>
      <c r="E30" s="280"/>
      <c r="F30" s="280"/>
      <c r="G30" s="565"/>
      <c r="H30" s="280"/>
      <c r="I30" s="280"/>
    </row>
    <row r="31" spans="1:12">
      <c r="A31" s="20">
        <v>13</v>
      </c>
      <c r="B31" s="22"/>
      <c r="C31" s="22" t="s">
        <v>49</v>
      </c>
      <c r="D31" s="22"/>
      <c r="E31" s="280">
        <f>'Exh. No. BGM-3 4'!E31</f>
        <v>21420</v>
      </c>
      <c r="F31" s="280">
        <f>G31-E31</f>
        <v>780.46900000000096</v>
      </c>
      <c r="G31" s="565">
        <f>'Exh. No. BGM-3 4'!AT31</f>
        <v>22200.469000000001</v>
      </c>
      <c r="H31" s="280"/>
      <c r="I31" s="280">
        <f>G31+H31</f>
        <v>22200.469000000001</v>
      </c>
    </row>
    <row r="32" spans="1:12">
      <c r="A32" s="20">
        <v>14</v>
      </c>
      <c r="B32" s="22"/>
      <c r="C32" s="22" t="s">
        <v>589</v>
      </c>
      <c r="D32" s="22"/>
      <c r="E32" s="280">
        <f>'Exh. No. BGM-3 4'!E32</f>
        <v>27913</v>
      </c>
      <c r="F32" s="280">
        <f>G32-E32</f>
        <v>-969</v>
      </c>
      <c r="G32" s="565">
        <f>'Exh. No. BGM-3 4'!AT32</f>
        <v>26944</v>
      </c>
      <c r="H32" s="280"/>
      <c r="I32" s="280">
        <f t="shared" ref="I32:I34" si="5">G32+H32</f>
        <v>26944</v>
      </c>
    </row>
    <row r="33" spans="1:9">
      <c r="A33" s="552">
        <v>15</v>
      </c>
      <c r="B33" s="554"/>
      <c r="C33" s="554" t="s">
        <v>586</v>
      </c>
      <c r="D33" s="554"/>
      <c r="E33" s="565">
        <f>'Exh. No. BGM-3 4'!E33</f>
        <v>0</v>
      </c>
      <c r="F33" s="565">
        <f>G33-E33</f>
        <v>0</v>
      </c>
      <c r="G33" s="565">
        <f>'Exh. No. BGM-3 4'!AT33</f>
        <v>0</v>
      </c>
      <c r="H33" s="565"/>
      <c r="I33" s="565">
        <f t="shared" ref="I33" si="6">G33+H33</f>
        <v>0</v>
      </c>
    </row>
    <row r="34" spans="1:9">
      <c r="A34" s="20">
        <v>16</v>
      </c>
      <c r="B34" s="22"/>
      <c r="C34" s="22" t="s">
        <v>27</v>
      </c>
      <c r="D34" s="22"/>
      <c r="E34" s="285">
        <f>'Exh. No. BGM-3 4'!E34</f>
        <v>45258</v>
      </c>
      <c r="F34" s="285">
        <f>G34-E34</f>
        <v>-17474</v>
      </c>
      <c r="G34" s="577">
        <f>'Exh. No. BGM-3 4'!AT34</f>
        <v>27784</v>
      </c>
      <c r="H34" s="285">
        <f>'Exh. No. BGM-3 3'!J16</f>
        <v>8</v>
      </c>
      <c r="I34" s="285">
        <f t="shared" si="5"/>
        <v>27792</v>
      </c>
    </row>
    <row r="35" spans="1:9">
      <c r="A35" s="20">
        <v>17</v>
      </c>
      <c r="B35" s="22"/>
      <c r="C35" s="22"/>
      <c r="D35" s="22" t="s">
        <v>53</v>
      </c>
      <c r="E35" s="280">
        <f>SUM(E31:E34)</f>
        <v>94591</v>
      </c>
      <c r="F35" s="280">
        <f t="shared" ref="F35:I35" si="7">SUM(F31:F34)</f>
        <v>-17662.530999999999</v>
      </c>
      <c r="G35" s="565">
        <f t="shared" si="7"/>
        <v>76928.468999999997</v>
      </c>
      <c r="H35" s="280">
        <f t="shared" si="7"/>
        <v>8</v>
      </c>
      <c r="I35" s="280">
        <f t="shared" si="7"/>
        <v>76936.468999999997</v>
      </c>
    </row>
    <row r="36" spans="1:9" ht="6.75" customHeight="1">
      <c r="A36" s="20"/>
      <c r="B36" s="22"/>
      <c r="C36" s="22"/>
      <c r="D36" s="22"/>
      <c r="E36" s="280"/>
      <c r="F36" s="280"/>
      <c r="G36" s="565"/>
      <c r="H36" s="280"/>
      <c r="I36" s="280"/>
    </row>
    <row r="37" spans="1:9">
      <c r="A37" s="20">
        <v>18</v>
      </c>
      <c r="B37" s="22" t="s">
        <v>54</v>
      </c>
      <c r="C37" s="22"/>
      <c r="D37" s="22"/>
      <c r="E37" s="280">
        <f>'Exh. No. BGM-3 4'!E37</f>
        <v>11733</v>
      </c>
      <c r="F37" s="280">
        <f>G37-E37</f>
        <v>1409.8880000000008</v>
      </c>
      <c r="G37" s="565">
        <f>'Exh. No. BGM-3 4'!AT37</f>
        <v>13142.888000000001</v>
      </c>
      <c r="H37" s="280">
        <f>'Exh. No. BGM-3 3'!J12</f>
        <v>1</v>
      </c>
      <c r="I37" s="280">
        <f>G37+H37</f>
        <v>13143.888000000001</v>
      </c>
    </row>
    <row r="38" spans="1:9">
      <c r="A38" s="20">
        <v>19</v>
      </c>
      <c r="B38" s="22" t="s">
        <v>55</v>
      </c>
      <c r="C38" s="22"/>
      <c r="D38" s="22"/>
      <c r="E38" s="280">
        <f>'Exh. No. BGM-3 4'!E38</f>
        <v>18081</v>
      </c>
      <c r="F38" s="280">
        <f>G38-E38</f>
        <v>-16663.983</v>
      </c>
      <c r="G38" s="565">
        <f>'Exh. No. BGM-3 4'!AT38</f>
        <v>1417.0170000000001</v>
      </c>
      <c r="H38" s="280"/>
      <c r="I38" s="280">
        <f t="shared" ref="I38:I39" si="8">G38+H38</f>
        <v>1417.0170000000001</v>
      </c>
    </row>
    <row r="39" spans="1:9">
      <c r="A39" s="20">
        <v>20</v>
      </c>
      <c r="B39" s="22" t="s">
        <v>56</v>
      </c>
      <c r="C39" s="22"/>
      <c r="D39" s="22"/>
      <c r="E39" s="280">
        <f>'Exh. No. BGM-3 4'!E39</f>
        <v>0</v>
      </c>
      <c r="F39" s="280">
        <f>G39-E39</f>
        <v>0</v>
      </c>
      <c r="G39" s="565">
        <f>'Exh. No. BGM-3 4'!AT39</f>
        <v>0</v>
      </c>
      <c r="H39" s="280"/>
      <c r="I39" s="280">
        <f t="shared" si="8"/>
        <v>0</v>
      </c>
    </row>
    <row r="40" spans="1:9" ht="6.75" customHeight="1">
      <c r="A40" s="22"/>
      <c r="B40" s="22"/>
      <c r="C40" s="22"/>
      <c r="D40" s="22"/>
      <c r="E40" s="280"/>
      <c r="F40" s="280"/>
      <c r="G40" s="565"/>
      <c r="H40" s="280"/>
      <c r="I40" s="280"/>
    </row>
    <row r="41" spans="1:9">
      <c r="A41" s="20"/>
      <c r="B41" s="22" t="s">
        <v>57</v>
      </c>
      <c r="C41" s="22"/>
      <c r="D41" s="22"/>
      <c r="E41" s="280"/>
      <c r="F41" s="280"/>
      <c r="G41" s="565"/>
      <c r="H41" s="280"/>
      <c r="I41" s="280"/>
    </row>
    <row r="42" spans="1:9">
      <c r="A42" s="20">
        <v>21</v>
      </c>
      <c r="B42" s="22"/>
      <c r="C42" s="22" t="s">
        <v>49</v>
      </c>
      <c r="D42" s="22"/>
      <c r="E42" s="280">
        <f>'Exh. No. BGM-3 4'!E42</f>
        <v>50568</v>
      </c>
      <c r="F42" s="280">
        <f>G42-E42</f>
        <v>-543.56999999999971</v>
      </c>
      <c r="G42" s="565">
        <f>'Exh. No. BGM-3 4'!AT42</f>
        <v>50024.43</v>
      </c>
      <c r="H42" s="280">
        <f>'Exh. No. BGM-3 3'!J14</f>
        <v>0</v>
      </c>
      <c r="I42" s="280">
        <f t="shared" ref="I42:I44" si="9">G42+H42</f>
        <v>50024.43</v>
      </c>
    </row>
    <row r="43" spans="1:9">
      <c r="A43" s="20">
        <v>22</v>
      </c>
      <c r="B43" s="22"/>
      <c r="C43" s="22" t="s">
        <v>589</v>
      </c>
      <c r="D43" s="22"/>
      <c r="E43" s="280">
        <f>'Exh. No. BGM-3 4'!E43</f>
        <v>23877</v>
      </c>
      <c r="F43" s="280">
        <f>G43-E43</f>
        <v>0</v>
      </c>
      <c r="G43" s="565">
        <f>'Exh. No. BGM-3 4'!AT43</f>
        <v>23877</v>
      </c>
      <c r="H43" s="280"/>
      <c r="I43" s="280">
        <f t="shared" si="9"/>
        <v>23877</v>
      </c>
    </row>
    <row r="44" spans="1:9">
      <c r="A44" s="288">
        <v>23</v>
      </c>
      <c r="B44" s="22"/>
      <c r="C44" s="22" t="s">
        <v>27</v>
      </c>
      <c r="D44" s="22"/>
      <c r="E44" s="285">
        <f>'Exh. No. BGM-3 4'!E44</f>
        <v>0</v>
      </c>
      <c r="F44" s="285">
        <f>G44-E44</f>
        <v>0</v>
      </c>
      <c r="G44" s="577">
        <f>'Exh. No. BGM-3 4'!AT44</f>
        <v>0</v>
      </c>
      <c r="H44" s="285"/>
      <c r="I44" s="285">
        <f t="shared" si="9"/>
        <v>0</v>
      </c>
    </row>
    <row r="45" spans="1:9">
      <c r="A45" s="20">
        <v>24</v>
      </c>
      <c r="B45" s="22"/>
      <c r="C45" s="22"/>
      <c r="D45" s="22" t="s">
        <v>58</v>
      </c>
      <c r="E45" s="285">
        <f>SUM(E42:E44)</f>
        <v>74445</v>
      </c>
      <c r="F45" s="285">
        <f>SUM(F42:F44)</f>
        <v>-543.56999999999971</v>
      </c>
      <c r="G45" s="577">
        <f>SUM(G42:G44)</f>
        <v>73901.429999999993</v>
      </c>
      <c r="H45" s="285">
        <f>SUM(H42:H44)</f>
        <v>0</v>
      </c>
      <c r="I45" s="285">
        <f>SUM(I42:I44)</f>
        <v>73901.429999999993</v>
      </c>
    </row>
    <row r="46" spans="1:9">
      <c r="A46" s="20">
        <v>25</v>
      </c>
      <c r="B46" s="22" t="s">
        <v>59</v>
      </c>
      <c r="C46" s="22"/>
      <c r="D46" s="22"/>
      <c r="E46" s="285">
        <f>E28+E35+E37+E38+E39+E45</f>
        <v>526185</v>
      </c>
      <c r="F46" s="285">
        <f>F28+F35+F37+F38+F39+F45</f>
        <v>-101693.856</v>
      </c>
      <c r="G46" s="577">
        <f>G28+G35+G37+G38+G39+G45</f>
        <v>424491.14399999997</v>
      </c>
      <c r="H46" s="285">
        <f>H28+H35+H37+H38+H39+H45</f>
        <v>9</v>
      </c>
      <c r="I46" s="285">
        <f>I28+I35+I37+I38+I39+I45</f>
        <v>424500.14399999997</v>
      </c>
    </row>
    <row r="47" spans="1:9" ht="7.5" customHeight="1">
      <c r="A47" s="20"/>
      <c r="B47" s="22"/>
      <c r="C47" s="22"/>
      <c r="D47" s="22"/>
      <c r="E47" s="280"/>
      <c r="F47" s="280"/>
      <c r="G47" s="565"/>
      <c r="H47" s="280"/>
      <c r="I47" s="280"/>
    </row>
    <row r="48" spans="1:9">
      <c r="A48" s="20">
        <v>26</v>
      </c>
      <c r="B48" s="22" t="s">
        <v>60</v>
      </c>
      <c r="C48" s="22"/>
      <c r="D48" s="22"/>
      <c r="E48" s="280">
        <f>E19-E46</f>
        <v>150927</v>
      </c>
      <c r="F48" s="280">
        <f>F19-F46</f>
        <v>-12659.144</v>
      </c>
      <c r="G48" s="565">
        <f>G19-G46</f>
        <v>138267.85600000003</v>
      </c>
      <c r="H48" s="280">
        <f>H19-H46</f>
        <v>187.52699999999999</v>
      </c>
      <c r="I48" s="280">
        <f>I19-I46</f>
        <v>138455.38300000003</v>
      </c>
    </row>
    <row r="49" spans="1:25" ht="5.25" customHeight="1">
      <c r="A49" s="20"/>
      <c r="B49" s="22"/>
      <c r="C49" s="22"/>
      <c r="D49" s="22"/>
      <c r="E49" s="280"/>
      <c r="F49" s="280"/>
      <c r="G49" s="565"/>
      <c r="H49" s="280"/>
      <c r="I49" s="280"/>
    </row>
    <row r="50" spans="1:25">
      <c r="A50" s="20"/>
      <c r="B50" s="22" t="s">
        <v>61</v>
      </c>
      <c r="C50" s="22"/>
      <c r="D50" s="22"/>
      <c r="E50" s="280"/>
      <c r="F50" s="280"/>
      <c r="G50" s="565"/>
      <c r="H50" s="280"/>
      <c r="I50" s="280"/>
    </row>
    <row r="51" spans="1:25">
      <c r="A51" s="552">
        <v>27</v>
      </c>
      <c r="B51" s="22" t="s">
        <v>62</v>
      </c>
      <c r="C51" s="22"/>
      <c r="D51" s="22"/>
      <c r="E51" s="280">
        <f>'Exh. No. BGM-3 4'!E51</f>
        <v>-25741</v>
      </c>
      <c r="F51" s="280">
        <f>G51-E51</f>
        <v>-4913.5004000000008</v>
      </c>
      <c r="G51" s="565">
        <f>'Exh. No. BGM-3 4'!AT51</f>
        <v>-30654.500400000001</v>
      </c>
      <c r="H51" s="280">
        <f>'Exh. No. BGM-3 3'!J22</f>
        <v>66</v>
      </c>
      <c r="I51" s="280">
        <f>G51+H51</f>
        <v>-30588.500400000001</v>
      </c>
      <c r="M51" s="167"/>
      <c r="N51" s="167"/>
      <c r="Y51" s="167"/>
    </row>
    <row r="52" spans="1:25">
      <c r="A52" s="552">
        <v>28</v>
      </c>
      <c r="B52" s="2" t="s">
        <v>300</v>
      </c>
      <c r="E52" s="280">
        <f>'Exh. No. BGM-3 4'!E52</f>
        <v>0</v>
      </c>
      <c r="F52" s="280">
        <f>G52-E52</f>
        <v>18.581780000000009</v>
      </c>
      <c r="G52" s="565">
        <f>'Exh. No. BGM-3 4'!AT52</f>
        <v>18.581780000000009</v>
      </c>
      <c r="H52" s="280"/>
      <c r="I52" s="280">
        <f>G52+H52</f>
        <v>18.581780000000009</v>
      </c>
    </row>
    <row r="53" spans="1:25">
      <c r="A53" s="552">
        <v>29</v>
      </c>
      <c r="B53" s="22" t="s">
        <v>63</v>
      </c>
      <c r="C53" s="22"/>
      <c r="D53" s="22"/>
      <c r="E53" s="280">
        <f>'Exh. No. BGM-3 4'!E53</f>
        <v>66436</v>
      </c>
      <c r="F53" s="280">
        <f>G53-E53</f>
        <v>755</v>
      </c>
      <c r="G53" s="565">
        <f>'Exh. No. BGM-3 4'!AT53</f>
        <v>67191</v>
      </c>
      <c r="H53" s="280"/>
      <c r="I53" s="280">
        <f>G53+H53</f>
        <v>67191</v>
      </c>
      <c r="N53" s="167"/>
    </row>
    <row r="54" spans="1:25">
      <c r="A54" s="20">
        <v>30</v>
      </c>
      <c r="B54" s="22" t="s">
        <v>64</v>
      </c>
      <c r="C54" s="22"/>
      <c r="D54" s="22"/>
      <c r="E54" s="285">
        <f>'Exh. No. BGM-3 4'!E54</f>
        <v>-325</v>
      </c>
      <c r="F54" s="285">
        <f>G54-E54</f>
        <v>-1</v>
      </c>
      <c r="G54" s="577">
        <f>'Exh. No. BGM-3 4'!AT54</f>
        <v>-326</v>
      </c>
      <c r="H54" s="285"/>
      <c r="I54" s="285">
        <f>G54+H54</f>
        <v>-326</v>
      </c>
    </row>
    <row r="55" spans="1:25" ht="6.75" customHeight="1">
      <c r="A55" s="20"/>
      <c r="E55" s="280"/>
      <c r="F55" s="280"/>
      <c r="G55" s="565"/>
      <c r="H55" s="280"/>
      <c r="I55" s="280"/>
    </row>
    <row r="56" spans="1:25" ht="13.5" thickBot="1">
      <c r="A56" s="3">
        <v>31</v>
      </c>
      <c r="B56" s="21" t="s">
        <v>65</v>
      </c>
      <c r="C56" s="21"/>
      <c r="D56" s="21"/>
      <c r="E56" s="402">
        <f>E48-SUM(E51:E54)</f>
        <v>110557</v>
      </c>
      <c r="F56" s="402">
        <f>F48-SUM(F51:F54)</f>
        <v>-8518.2253799999999</v>
      </c>
      <c r="G56" s="589">
        <f>G48-SUM(G51:G54)</f>
        <v>102038.77462000003</v>
      </c>
      <c r="H56" s="402">
        <f>H48-SUM(H51:H54)</f>
        <v>121.52699999999999</v>
      </c>
      <c r="I56" s="402">
        <f>I48-SUM(I51:I54)</f>
        <v>102160.30162000003</v>
      </c>
      <c r="M56" s="39"/>
    </row>
    <row r="57" spans="1:25" ht="5.25" customHeight="1" thickTop="1">
      <c r="E57" s="280"/>
      <c r="F57" s="280"/>
      <c r="G57" s="565"/>
      <c r="H57" s="280"/>
      <c r="I57" s="280"/>
      <c r="M57" s="106"/>
      <c r="P57" s="106"/>
    </row>
    <row r="58" spans="1:25">
      <c r="B58" s="2" t="s">
        <v>66</v>
      </c>
      <c r="E58" s="280"/>
      <c r="F58" s="280"/>
      <c r="G58" s="565"/>
      <c r="H58" s="280"/>
      <c r="I58" s="280"/>
      <c r="M58" s="39"/>
    </row>
    <row r="59" spans="1:25">
      <c r="A59" s="20"/>
      <c r="B59" s="2" t="s">
        <v>67</v>
      </c>
      <c r="E59" s="280"/>
      <c r="F59" s="280"/>
      <c r="G59" s="565"/>
      <c r="H59" s="280"/>
      <c r="I59" s="280"/>
      <c r="M59" s="39"/>
    </row>
    <row r="60" spans="1:25">
      <c r="A60" s="552">
        <v>32</v>
      </c>
      <c r="B60" s="21"/>
      <c r="C60" s="21" t="s">
        <v>68</v>
      </c>
      <c r="D60" s="21"/>
      <c r="E60" s="21">
        <f>'Exh. No. BGM-3 4'!E60</f>
        <v>156057</v>
      </c>
      <c r="F60" s="21">
        <f t="shared" ref="F60:F69" si="10">G60-E60</f>
        <v>0</v>
      </c>
      <c r="G60" s="553">
        <f>'Exh. No. BGM-3 4'!AT60</f>
        <v>156057</v>
      </c>
      <c r="H60" s="21"/>
      <c r="I60" s="21">
        <f>G60+H60</f>
        <v>156057</v>
      </c>
    </row>
    <row r="61" spans="1:25">
      <c r="A61" s="552">
        <v>33</v>
      </c>
      <c r="B61" s="22"/>
      <c r="C61" s="22" t="s">
        <v>69</v>
      </c>
      <c r="D61" s="22"/>
      <c r="E61" s="280">
        <f>'Exh. No. BGM-3 4'!E61</f>
        <v>832833</v>
      </c>
      <c r="F61" s="280">
        <f t="shared" si="10"/>
        <v>6889</v>
      </c>
      <c r="G61" s="565">
        <f>'Exh. No. BGM-3 4'!AT61</f>
        <v>839722</v>
      </c>
      <c r="H61" s="280"/>
      <c r="I61" s="280">
        <f t="shared" ref="I61:I64" si="11">G61+H61</f>
        <v>839722</v>
      </c>
      <c r="M61" s="170"/>
    </row>
    <row r="62" spans="1:25">
      <c r="A62" s="552">
        <v>34</v>
      </c>
      <c r="B62" s="22"/>
      <c r="C62" s="22" t="s">
        <v>70</v>
      </c>
      <c r="D62" s="22"/>
      <c r="E62" s="280">
        <f>'Exh. No. BGM-3 4'!E62</f>
        <v>430613</v>
      </c>
      <c r="F62" s="280">
        <f t="shared" si="10"/>
        <v>0</v>
      </c>
      <c r="G62" s="565">
        <f>'Exh. No. BGM-3 4'!AT62</f>
        <v>430613</v>
      </c>
      <c r="H62" s="280"/>
      <c r="I62" s="280">
        <f t="shared" si="11"/>
        <v>430613</v>
      </c>
    </row>
    <row r="63" spans="1:25">
      <c r="A63" s="552">
        <v>35</v>
      </c>
      <c r="B63" s="22"/>
      <c r="C63" s="22" t="s">
        <v>52</v>
      </c>
      <c r="D63" s="22"/>
      <c r="E63" s="280">
        <f>'Exh. No. BGM-3 4'!E63</f>
        <v>970455</v>
      </c>
      <c r="F63" s="280">
        <f t="shared" si="10"/>
        <v>0</v>
      </c>
      <c r="G63" s="565">
        <f>'Exh. No. BGM-3 4'!AT63</f>
        <v>970455</v>
      </c>
      <c r="H63" s="280"/>
      <c r="I63" s="280">
        <f t="shared" si="11"/>
        <v>970455</v>
      </c>
    </row>
    <row r="64" spans="1:25">
      <c r="A64" s="552">
        <v>36</v>
      </c>
      <c r="B64" s="22"/>
      <c r="C64" s="22" t="s">
        <v>71</v>
      </c>
      <c r="D64" s="22"/>
      <c r="E64" s="285">
        <f>'Exh. No. BGM-3 4'!E64</f>
        <v>233266</v>
      </c>
      <c r="F64" s="285">
        <f t="shared" si="10"/>
        <v>0</v>
      </c>
      <c r="G64" s="577">
        <f>'Exh. No. BGM-3 4'!AT64</f>
        <v>233266</v>
      </c>
      <c r="H64" s="285"/>
      <c r="I64" s="285">
        <f t="shared" si="11"/>
        <v>233266</v>
      </c>
    </row>
    <row r="65" spans="1:9">
      <c r="A65" s="20">
        <v>37</v>
      </c>
      <c r="B65" s="22"/>
      <c r="C65" s="22"/>
      <c r="D65" s="22" t="s">
        <v>72</v>
      </c>
      <c r="E65" s="280">
        <f>SUM(E60:E64)</f>
        <v>2623224</v>
      </c>
      <c r="F65" s="280">
        <f t="shared" ref="F65:H65" si="12">SUM(F60:F64)</f>
        <v>6889</v>
      </c>
      <c r="G65" s="565">
        <f t="shared" si="12"/>
        <v>2630113</v>
      </c>
      <c r="H65" s="280">
        <f t="shared" si="12"/>
        <v>0</v>
      </c>
      <c r="I65" s="280">
        <f>SUM(I60:I64)</f>
        <v>2630113</v>
      </c>
    </row>
    <row r="66" spans="1:9">
      <c r="A66" s="24"/>
      <c r="B66" s="22" t="s">
        <v>223</v>
      </c>
      <c r="C66" s="22"/>
      <c r="D66" s="22"/>
      <c r="E66" s="280"/>
      <c r="F66" s="280"/>
      <c r="G66" s="565"/>
      <c r="H66" s="280"/>
      <c r="I66" s="280"/>
    </row>
    <row r="67" spans="1:9">
      <c r="A67" s="24">
        <v>38</v>
      </c>
      <c r="B67" s="22"/>
      <c r="C67" s="21" t="s">
        <v>218</v>
      </c>
      <c r="D67" s="22"/>
      <c r="E67" s="280">
        <f>'Exh. No. BGM-3 4'!E67</f>
        <v>-30914</v>
      </c>
      <c r="F67" s="280">
        <f t="shared" si="10"/>
        <v>0</v>
      </c>
      <c r="G67" s="565">
        <f>'Exh. No. BGM-3 4'!AT67</f>
        <v>-30914</v>
      </c>
      <c r="H67" s="287"/>
      <c r="I67" s="287">
        <f>G67+H67</f>
        <v>-30914</v>
      </c>
    </row>
    <row r="68" spans="1:9">
      <c r="A68" s="24">
        <v>39</v>
      </c>
      <c r="B68" s="22"/>
      <c r="C68" s="22" t="s">
        <v>219</v>
      </c>
      <c r="D68" s="22"/>
      <c r="E68" s="280">
        <f>'Exh. No. BGM-3 4'!E68</f>
        <v>-351625</v>
      </c>
      <c r="F68" s="280">
        <f t="shared" si="10"/>
        <v>-95</v>
      </c>
      <c r="G68" s="565">
        <f>'Exh. No. BGM-3 4'!AT68</f>
        <v>-351720</v>
      </c>
      <c r="H68" s="280"/>
      <c r="I68" s="287">
        <f t="shared" ref="I68:I71" si="13">G68+H68</f>
        <v>-351720</v>
      </c>
    </row>
    <row r="69" spans="1:9">
      <c r="A69" s="24">
        <v>40</v>
      </c>
      <c r="B69" s="22"/>
      <c r="C69" s="22" t="s">
        <v>220</v>
      </c>
      <c r="D69" s="22"/>
      <c r="E69" s="280">
        <f>'Exh. No. BGM-3 4'!E69</f>
        <v>-135624</v>
      </c>
      <c r="F69" s="280">
        <f t="shared" si="10"/>
        <v>0</v>
      </c>
      <c r="G69" s="565">
        <f>'Exh. No. BGM-3 4'!AT69</f>
        <v>-135624</v>
      </c>
      <c r="H69" s="280"/>
      <c r="I69" s="287">
        <f t="shared" si="13"/>
        <v>-135624</v>
      </c>
    </row>
    <row r="70" spans="1:9">
      <c r="A70" s="24">
        <v>41</v>
      </c>
      <c r="B70" s="22"/>
      <c r="C70" s="22" t="s">
        <v>204</v>
      </c>
      <c r="D70" s="22"/>
      <c r="E70" s="280">
        <f>'Exh. No. BGM-3 4'!E70</f>
        <v>-295383</v>
      </c>
      <c r="F70" s="280">
        <f>G70-E70</f>
        <v>0</v>
      </c>
      <c r="G70" s="565">
        <f>'Exh. No. BGM-3 4'!AT70</f>
        <v>-295383</v>
      </c>
      <c r="H70" s="280"/>
      <c r="I70" s="287">
        <f t="shared" si="13"/>
        <v>-295383</v>
      </c>
    </row>
    <row r="71" spans="1:9">
      <c r="A71" s="24">
        <v>42</v>
      </c>
      <c r="B71" s="22"/>
      <c r="C71" s="22" t="s">
        <v>221</v>
      </c>
      <c r="D71" s="22"/>
      <c r="E71" s="280">
        <f>'Exh. No. BGM-3 4'!E71</f>
        <v>-80093</v>
      </c>
      <c r="F71" s="285">
        <f>G71-E71</f>
        <v>0</v>
      </c>
      <c r="G71" s="565">
        <f>'Exh. No. BGM-3 4'!AT71</f>
        <v>-80093</v>
      </c>
      <c r="H71" s="285"/>
      <c r="I71" s="287">
        <f t="shared" si="13"/>
        <v>-80093</v>
      </c>
    </row>
    <row r="72" spans="1:9">
      <c r="A72" s="24">
        <v>43</v>
      </c>
      <c r="B72" s="22" t="s">
        <v>305</v>
      </c>
      <c r="C72" s="22"/>
      <c r="D72" s="22"/>
      <c r="E72" s="329">
        <f>SUM(E67:E71)</f>
        <v>-893639</v>
      </c>
      <c r="F72" s="329">
        <f t="shared" ref="F72" si="14">SUM(F67:F71)</f>
        <v>-95</v>
      </c>
      <c r="G72" s="329">
        <f>SUM(G67:G71)</f>
        <v>-893734</v>
      </c>
      <c r="H72" s="329">
        <f>SUM(H67:H71)</f>
        <v>0</v>
      </c>
      <c r="I72" s="329">
        <f>SUM(I67:I71)</f>
        <v>-893734</v>
      </c>
    </row>
    <row r="73" spans="1:9">
      <c r="A73" s="24">
        <v>44</v>
      </c>
      <c r="B73" s="22" t="s">
        <v>594</v>
      </c>
      <c r="C73" s="22"/>
      <c r="D73" s="21"/>
      <c r="E73" s="287">
        <f>E65+E72</f>
        <v>1729585</v>
      </c>
      <c r="F73" s="287">
        <f t="shared" ref="F73:I73" si="15">F65+F72</f>
        <v>6794</v>
      </c>
      <c r="G73" s="579">
        <f t="shared" si="15"/>
        <v>1736379</v>
      </c>
      <c r="H73" s="287">
        <f t="shared" si="15"/>
        <v>0</v>
      </c>
      <c r="I73" s="287">
        <f t="shared" si="15"/>
        <v>1736379</v>
      </c>
    </row>
    <row r="74" spans="1:9" ht="5.25" customHeight="1">
      <c r="A74" s="24"/>
      <c r="B74" s="22"/>
      <c r="C74" s="22"/>
      <c r="E74" s="401"/>
      <c r="F74" s="401"/>
      <c r="G74" s="401"/>
      <c r="H74" s="401"/>
      <c r="I74" s="401"/>
    </row>
    <row r="75" spans="1:9">
      <c r="A75" s="25">
        <v>45</v>
      </c>
      <c r="B75" s="22" t="s">
        <v>224</v>
      </c>
      <c r="C75" s="22"/>
      <c r="D75" s="22"/>
      <c r="E75" s="285">
        <f>'Exh. No. BGM-3 4'!E75</f>
        <v>-354707</v>
      </c>
      <c r="F75" s="285">
        <f t="shared" ref="F75" si="16">G75-E75</f>
        <v>-423</v>
      </c>
      <c r="G75" s="577">
        <f>'Exh. No. BGM-3 4'!AT75</f>
        <v>-355130</v>
      </c>
      <c r="H75" s="361"/>
      <c r="I75" s="285">
        <f t="shared" ref="I75" si="17">G75+H75</f>
        <v>-355130</v>
      </c>
    </row>
    <row r="76" spans="1:9">
      <c r="A76" s="25">
        <v>46</v>
      </c>
      <c r="B76" s="22"/>
      <c r="C76" s="22" t="s">
        <v>593</v>
      </c>
      <c r="D76" s="22"/>
      <c r="E76" s="287">
        <f>SUM(E73:E75)</f>
        <v>1374878</v>
      </c>
      <c r="F76" s="287">
        <f t="shared" ref="F76:I76" si="18">SUM(F73:F75)</f>
        <v>6371</v>
      </c>
      <c r="G76" s="579">
        <f t="shared" si="18"/>
        <v>1381249</v>
      </c>
      <c r="H76" s="287">
        <f t="shared" si="18"/>
        <v>0</v>
      </c>
      <c r="I76" s="287">
        <f t="shared" si="18"/>
        <v>1381249</v>
      </c>
    </row>
    <row r="77" spans="1:9">
      <c r="A77" s="24">
        <v>47</v>
      </c>
      <c r="B77" s="22" t="s">
        <v>307</v>
      </c>
      <c r="C77" s="22"/>
      <c r="E77" s="280">
        <f>'Exh. No. BGM-3 4'!E77</f>
        <v>4568</v>
      </c>
      <c r="F77" s="280">
        <f t="shared" ref="F77:F78" si="19">G77-E77</f>
        <v>-5346</v>
      </c>
      <c r="G77" s="565">
        <f>'Exh. No. BGM-3 4'!AT77</f>
        <v>-778</v>
      </c>
      <c r="I77" s="287">
        <f t="shared" ref="I77:I78" si="20">G77+H77</f>
        <v>-778</v>
      </c>
    </row>
    <row r="78" spans="1:9">
      <c r="A78" s="24">
        <v>48</v>
      </c>
      <c r="B78" s="22" t="s">
        <v>287</v>
      </c>
      <c r="C78" s="22"/>
      <c r="E78" s="285">
        <f>'Exh. No. BGM-3 4'!E78</f>
        <v>65480</v>
      </c>
      <c r="F78" s="285">
        <f t="shared" si="19"/>
        <v>-3006</v>
      </c>
      <c r="G78" s="577">
        <f>'Exh. No. BGM-3 4'!AT78</f>
        <v>62474</v>
      </c>
      <c r="H78" s="361"/>
      <c r="I78" s="285">
        <f t="shared" si="20"/>
        <v>62474</v>
      </c>
    </row>
    <row r="79" spans="1:9" ht="2.25" customHeight="1">
      <c r="A79" s="25">
        <v>49</v>
      </c>
      <c r="B79" s="22"/>
      <c r="C79" s="22"/>
      <c r="D79" s="22"/>
    </row>
    <row r="80" spans="1:9" ht="13.5" thickBot="1">
      <c r="A80" s="20">
        <v>50</v>
      </c>
      <c r="B80" s="21" t="s">
        <v>225</v>
      </c>
      <c r="C80" s="21"/>
      <c r="D80" s="21"/>
      <c r="E80" s="404">
        <f>SUM(E76:E78)</f>
        <v>1444926</v>
      </c>
      <c r="F80" s="404">
        <f t="shared" ref="F80:I80" si="21">SUM(F76:F78)</f>
        <v>-1981</v>
      </c>
      <c r="G80" s="404">
        <f t="shared" si="21"/>
        <v>1442945</v>
      </c>
      <c r="H80" s="404">
        <f t="shared" si="21"/>
        <v>0</v>
      </c>
      <c r="I80" s="404">
        <f t="shared" si="21"/>
        <v>1442945</v>
      </c>
    </row>
    <row r="81" spans="1:9" ht="13.5" thickTop="1">
      <c r="A81" s="20">
        <v>51</v>
      </c>
      <c r="B81" s="2" t="s">
        <v>692</v>
      </c>
      <c r="E81" s="327">
        <f>ROUND(E56/E80,4)</f>
        <v>7.6499999999999999E-2</v>
      </c>
      <c r="G81" s="327">
        <f>ROUND(G56/G80,4)</f>
        <v>7.0699999999999999E-2</v>
      </c>
      <c r="I81" s="327">
        <f>ROUND(I56/I80,4)</f>
        <v>7.0800000000000002E-2</v>
      </c>
    </row>
    <row r="82" spans="1:9" ht="6.75" customHeight="1">
      <c r="A82" s="879"/>
      <c r="B82" s="879"/>
      <c r="C82" s="879"/>
      <c r="D82" s="879"/>
      <c r="E82" s="879"/>
      <c r="F82" s="879"/>
      <c r="G82" s="879"/>
      <c r="H82" s="879"/>
      <c r="I82" s="879"/>
    </row>
    <row r="84" spans="1:9">
      <c r="E84" s="480"/>
    </row>
    <row r="85" spans="1:9">
      <c r="E85" s="480"/>
    </row>
    <row r="89" spans="1:9">
      <c r="I89" s="448"/>
    </row>
    <row r="90" spans="1:9">
      <c r="I90" s="448"/>
    </row>
    <row r="91" spans="1:9">
      <c r="I91" s="448"/>
    </row>
  </sheetData>
  <mergeCells count="3">
    <mergeCell ref="E4:I4"/>
    <mergeCell ref="A82:I82"/>
    <mergeCell ref="E1:F1"/>
  </mergeCells>
  <phoneticPr fontId="0" type="noConversion"/>
  <pageMargins left="0.75" right="0.51" top="0.75" bottom="0.5" header="0.5" footer="0.35"/>
  <pageSetup scale="74" orientation="portrait" r:id="rId1"/>
  <headerFooter scaleWithDoc="0" alignWithMargins="0">
    <oddHeader xml:space="preserve">&amp;LPro Forma - Modified Historical Test Period Study&amp;RExhibit No. ____(EMA-2)
</oddHeader>
    <oddFooter xml:space="preserve">&amp;RPage &amp;P of &amp;N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13"/>
  <sheetViews>
    <sheetView view="pageBreakPreview" zoomScale="115" zoomScaleNormal="100" zoomScaleSheetLayoutView="115" workbookViewId="0">
      <pane ySplit="1995" topLeftCell="A37" activePane="bottomLeft"/>
      <selection sqref="A1:J110"/>
      <selection pane="bottomLeft" activeCell="E31" sqref="E31:F46"/>
    </sheetView>
  </sheetViews>
  <sheetFormatPr defaultColWidth="11.42578125" defaultRowHeight="12.75"/>
  <cols>
    <col min="1" max="1" width="6.42578125" style="26" customWidth="1"/>
    <col min="2" max="2" width="15.28515625" style="26" customWidth="1"/>
    <col min="3" max="3" width="24.42578125" style="26" customWidth="1"/>
    <col min="4" max="4" width="6" style="26" customWidth="1"/>
    <col min="5" max="5" width="11.42578125" style="26" customWidth="1"/>
    <col min="6" max="6" width="14.42578125" style="26" customWidth="1"/>
    <col min="7" max="7" width="11.42578125" style="26" customWidth="1"/>
    <col min="8" max="9" width="15.140625" style="58" customWidth="1"/>
    <col min="10" max="10" width="14.7109375" style="30" customWidth="1"/>
    <col min="11" max="11" width="10.7109375" style="138" customWidth="1"/>
    <col min="12" max="12" width="12" style="26" customWidth="1"/>
    <col min="13" max="13" width="3.42578125" style="26" customWidth="1"/>
    <col min="14" max="14" width="12.85546875" style="26" customWidth="1"/>
    <col min="15" max="15" width="9" style="26" customWidth="1"/>
    <col min="16" max="18" width="11.42578125" style="26" customWidth="1"/>
    <col min="19" max="19" width="3" style="26" customWidth="1"/>
    <col min="20" max="16384" width="11.42578125" style="26"/>
  </cols>
  <sheetData>
    <row r="1" spans="1:19">
      <c r="A1" s="26" t="s">
        <v>76</v>
      </c>
      <c r="E1" s="466" t="s">
        <v>116</v>
      </c>
      <c r="J1" s="467"/>
      <c r="K1" s="146"/>
      <c r="L1" s="28"/>
      <c r="M1" s="28"/>
      <c r="N1" s="29"/>
      <c r="O1" s="28"/>
      <c r="P1" s="28"/>
      <c r="Q1" s="28"/>
      <c r="R1" s="28"/>
      <c r="S1" s="27"/>
    </row>
    <row r="2" spans="1:19">
      <c r="E2" s="30"/>
      <c r="K2" s="146"/>
      <c r="L2" s="28"/>
      <c r="M2" s="28"/>
      <c r="N2" s="31"/>
      <c r="O2" s="28"/>
      <c r="P2" s="28"/>
      <c r="Q2" s="28"/>
      <c r="R2" s="28"/>
      <c r="S2" s="27"/>
    </row>
    <row r="3" spans="1:19">
      <c r="E3" s="30" t="s">
        <v>256</v>
      </c>
      <c r="K3" s="146"/>
      <c r="L3" s="28"/>
      <c r="M3" s="28"/>
      <c r="N3" s="31"/>
      <c r="O3" s="28"/>
      <c r="P3" s="28"/>
      <c r="Q3" s="28"/>
      <c r="R3" s="28"/>
      <c r="S3" s="27"/>
    </row>
    <row r="4" spans="1:19">
      <c r="E4" s="30" t="s">
        <v>257</v>
      </c>
      <c r="K4" s="146"/>
      <c r="L4" s="28"/>
      <c r="M4" s="28"/>
      <c r="N4" s="31"/>
      <c r="O4" s="28"/>
      <c r="P4" s="28"/>
      <c r="Q4" s="28"/>
      <c r="R4" s="28"/>
      <c r="S4" s="27"/>
    </row>
    <row r="5" spans="1:19">
      <c r="E5" s="200" t="str">
        <f>'Exh. No. BGM-3 4'!$A$5</f>
        <v>TWELVE MONTHS ENDED DECEMBER 31, 2016</v>
      </c>
      <c r="K5" s="146"/>
      <c r="L5" s="28"/>
      <c r="M5" s="28"/>
      <c r="N5" s="32"/>
      <c r="O5" s="28"/>
      <c r="P5" s="28"/>
      <c r="Q5" s="28"/>
      <c r="R5" s="28"/>
      <c r="S5" s="27"/>
    </row>
    <row r="6" spans="1:19">
      <c r="K6" s="146"/>
      <c r="L6" s="28"/>
      <c r="M6" s="28"/>
      <c r="N6" s="28"/>
      <c r="O6" s="28"/>
      <c r="P6" s="28"/>
      <c r="Q6" s="28"/>
      <c r="R6" s="28"/>
      <c r="S6" s="27"/>
    </row>
    <row r="7" spans="1:19">
      <c r="C7" s="167"/>
      <c r="D7" s="167"/>
      <c r="E7" s="167"/>
      <c r="F7" s="167"/>
      <c r="G7" s="167"/>
      <c r="K7" s="146"/>
      <c r="L7" s="204" t="s">
        <v>274</v>
      </c>
      <c r="M7" s="204"/>
      <c r="N7" s="204" t="s">
        <v>274</v>
      </c>
      <c r="O7" s="28"/>
      <c r="P7" s="28"/>
      <c r="Q7" s="28"/>
      <c r="R7" s="28"/>
      <c r="S7" s="27"/>
    </row>
    <row r="8" spans="1:19">
      <c r="E8" s="880" t="s">
        <v>293</v>
      </c>
      <c r="F8" s="880"/>
      <c r="G8" s="880"/>
      <c r="H8" s="880"/>
      <c r="I8" s="880"/>
      <c r="J8" s="880"/>
      <c r="K8" s="146"/>
      <c r="L8" s="204" t="s">
        <v>24</v>
      </c>
      <c r="M8" s="204"/>
      <c r="N8" s="204" t="s">
        <v>29</v>
      </c>
      <c r="O8" s="28"/>
      <c r="P8" s="28"/>
      <c r="Q8" s="31"/>
      <c r="R8" s="28"/>
      <c r="S8" s="27"/>
    </row>
    <row r="9" spans="1:19">
      <c r="A9" s="424" t="s">
        <v>8</v>
      </c>
      <c r="B9" s="424" t="s">
        <v>79</v>
      </c>
      <c r="C9" s="59" t="s">
        <v>143</v>
      </c>
      <c r="D9" s="30" t="s">
        <v>146</v>
      </c>
      <c r="E9" s="215" t="s">
        <v>226</v>
      </c>
      <c r="F9" s="215" t="s">
        <v>29</v>
      </c>
      <c r="G9" s="215" t="s">
        <v>269</v>
      </c>
      <c r="H9" s="215" t="s">
        <v>270</v>
      </c>
      <c r="I9" s="215" t="s">
        <v>603</v>
      </c>
      <c r="J9" s="215" t="s">
        <v>271</v>
      </c>
      <c r="K9" s="146"/>
      <c r="L9"/>
      <c r="M9"/>
      <c r="N9"/>
      <c r="O9" s="28"/>
      <c r="P9" s="31"/>
      <c r="Q9" s="31"/>
      <c r="R9" s="31"/>
      <c r="S9" s="27"/>
    </row>
    <row r="10" spans="1:19">
      <c r="A10" s="214">
        <v>1</v>
      </c>
      <c r="B10" s="290">
        <f>'ADJ SUMMARY'!A10</f>
        <v>1</v>
      </c>
      <c r="C10" s="38" t="s">
        <v>272</v>
      </c>
      <c r="D10" s="55"/>
      <c r="E10" s="498">
        <f>'Exh. No. BGM-3 4'!E16+'ROO INPUT'!F99+'ROO INPUT'!F101+34-1787</f>
        <v>155763</v>
      </c>
      <c r="F10" s="185">
        <f>'Exh. No. BGM-3 4'!E28</f>
        <v>327335</v>
      </c>
      <c r="G10" s="498">
        <f>'Exh. No. BGM-3 4'!E61+'Exh. No. BGM-3 4'!E62+SUM('ROO INPUT'!F315:'ROO INPUT'!F320)-756-959</f>
        <v>1332351</v>
      </c>
      <c r="H10" s="185">
        <f>'Exh. No. BGM-3 4'!E68+'Exh. No. BGM-3 4'!E69+'ROO INPUT'!F418</f>
        <v>-494437</v>
      </c>
      <c r="I10" s="185">
        <f>'Exh. No. BGM-3 4'!E77-'ROO INPUT'!F445-'ROO INPUT'!F446-'ROO INPUT'!F472-'ROO INPUT'!F473</f>
        <v>6880</v>
      </c>
      <c r="J10" s="498">
        <f>'Exh. No. BGM-3 4'!E75+2544+74931+21985</f>
        <v>-255247</v>
      </c>
      <c r="K10" s="150"/>
      <c r="L10" s="216">
        <f>SUM(G10:J10)</f>
        <v>589547</v>
      </c>
      <c r="M10"/>
      <c r="N10" s="216">
        <f>F10-E10</f>
        <v>171572</v>
      </c>
      <c r="O10" s="28"/>
      <c r="P10" s="36"/>
      <c r="Q10" s="36"/>
      <c r="R10" s="28"/>
      <c r="S10" s="27"/>
    </row>
    <row r="11" spans="1:19" s="55" customFormat="1">
      <c r="A11" s="214">
        <v>2</v>
      </c>
      <c r="B11" s="290">
        <f>'ADJ SUMMARY'!A11</f>
        <v>1.01</v>
      </c>
      <c r="C11" s="38" t="str">
        <f>'ADJ SUMMARY'!C11</f>
        <v>Deferred FIT Rate Base</v>
      </c>
      <c r="E11" s="112">
        <f>'Exh. No. BGM-3 4'!$F$16</f>
        <v>0</v>
      </c>
      <c r="F11" s="112">
        <f>'Exh. No. BGM-3 4'!$F$28</f>
        <v>0</v>
      </c>
      <c r="G11" s="185">
        <f>'Exh. No. BGM-3 4'!$F$61+'Exh. No. BGM-3 4'!$F$62</f>
        <v>0</v>
      </c>
      <c r="H11" s="185">
        <f>'Exh. No. BGM-3 4'!$F$68+'Exh. No. BGM-3 4'!$F$69</f>
        <v>0</v>
      </c>
      <c r="I11" s="185">
        <f>'Exh. No. BGM-3 4'!$F$77</f>
        <v>0</v>
      </c>
      <c r="J11" s="499">
        <f>'Exh. No. BGM-3 4'!$F$75</f>
        <v>806</v>
      </c>
      <c r="K11" s="146"/>
      <c r="L11" s="216">
        <f>SUM(G11:J11)</f>
        <v>806</v>
      </c>
      <c r="M11"/>
      <c r="N11" s="216">
        <f t="shared" ref="N11" si="0">F11-E11</f>
        <v>0</v>
      </c>
      <c r="O11" s="144"/>
      <c r="P11" s="118"/>
      <c r="Q11" s="118"/>
      <c r="R11" s="144"/>
      <c r="S11" s="145"/>
    </row>
    <row r="12" spans="1:19" s="55" customFormat="1">
      <c r="A12" s="214">
        <v>3</v>
      </c>
      <c r="B12" s="290">
        <f>'ADJ SUMMARY'!A12</f>
        <v>1.02</v>
      </c>
      <c r="C12" s="38" t="str">
        <f>'ADJ SUMMARY'!C12</f>
        <v>Deferred Debits and Credits</v>
      </c>
      <c r="E12" s="112">
        <f>'Exh. No. BGM-3 4'!$G$16</f>
        <v>0</v>
      </c>
      <c r="F12" s="112">
        <f>'Exh. No. BGM-3 4'!$G$28</f>
        <v>4</v>
      </c>
      <c r="G12" s="185">
        <f>'Exh. No. BGM-3 4'!$G$61+'Exh. No. BGM-3 4'!$G$62</f>
        <v>0</v>
      </c>
      <c r="H12" s="185">
        <f>'Exh. No. BGM-3 4'!$G$68+'Exh. No. BGM-3 4'!$G$69</f>
        <v>0</v>
      </c>
      <c r="I12" s="500">
        <f>'Exh. No. BGM-3 4'!$G$77+0</f>
        <v>0</v>
      </c>
      <c r="J12" s="185">
        <f>'Exh. No. BGM-3 4'!$G$75</f>
        <v>0</v>
      </c>
      <c r="K12" s="144"/>
      <c r="L12" s="216">
        <f t="shared" ref="L12:L31" si="1">SUM(G12:J12)</f>
        <v>0</v>
      </c>
      <c r="M12"/>
      <c r="N12" s="216">
        <f t="shared" ref="N12:N31" si="2">F12-E12</f>
        <v>4</v>
      </c>
      <c r="O12" s="144"/>
      <c r="P12" s="118"/>
      <c r="Q12" s="118"/>
      <c r="R12" s="144"/>
      <c r="S12" s="145"/>
    </row>
    <row r="13" spans="1:19" s="55" customFormat="1">
      <c r="A13" s="214">
        <v>4</v>
      </c>
      <c r="B13" s="291">
        <f>'ADJ SUMMARY'!A13</f>
        <v>1.03</v>
      </c>
      <c r="C13" s="235" t="str">
        <f>'ADJ SUMMARY'!C13</f>
        <v>Working Capital</v>
      </c>
      <c r="E13" s="112">
        <f>'Exh. No. BGM-3 4'!$H$16</f>
        <v>0</v>
      </c>
      <c r="F13" s="112">
        <f>'Exh. No. BGM-3 4'!$H$28</f>
        <v>0</v>
      </c>
      <c r="G13" s="185">
        <f>'Exh. No. BGM-3 4'!$H$61+'Exh. No. BGM-3 4'!$H$62</f>
        <v>0</v>
      </c>
      <c r="H13" s="185">
        <f>'Exh. No. BGM-3 4'!$H$68+'Exh. No. BGM-3 4'!$H$69</f>
        <v>0</v>
      </c>
      <c r="I13" s="185">
        <f>'Exh. No. BGM-3 4'!$H$77</f>
        <v>0</v>
      </c>
      <c r="J13" s="185">
        <f>'Exh. No. BGM-3 4'!$H$75</f>
        <v>0</v>
      </c>
      <c r="K13" s="144"/>
      <c r="L13" s="216">
        <f t="shared" si="1"/>
        <v>0</v>
      </c>
      <c r="M13"/>
      <c r="N13" s="216">
        <f t="shared" si="2"/>
        <v>0</v>
      </c>
      <c r="O13" s="144"/>
      <c r="P13" s="118"/>
      <c r="Q13" s="118"/>
      <c r="R13" s="144"/>
      <c r="S13" s="145"/>
    </row>
    <row r="14" spans="1:19" s="55" customFormat="1">
      <c r="A14" s="214">
        <v>5</v>
      </c>
      <c r="B14" s="291">
        <f>'ADJ SUMMARY'!A14</f>
        <v>2.0099999999999998</v>
      </c>
      <c r="C14" s="38" t="str">
        <f>'ADJ SUMMARY'!C14</f>
        <v>Eliminate B &amp; O Taxes</v>
      </c>
      <c r="E14" s="112">
        <f>'Exh. No. BGM-3 4'!$I$16</f>
        <v>0</v>
      </c>
      <c r="F14" s="112">
        <f>'Exh. No. BGM-3 4'!$I$28</f>
        <v>0</v>
      </c>
      <c r="G14" s="185">
        <f>'Exh. No. BGM-3 4'!$I$61+'Exh. No. BGM-3 4'!$I$62</f>
        <v>0</v>
      </c>
      <c r="H14" s="185">
        <f>'Exh. No. BGM-3 4'!$I$68+'Exh. No. BGM-3 4'!$I$69</f>
        <v>0</v>
      </c>
      <c r="I14" s="185">
        <f>'Exh. No. BGM-3 4'!$I$77</f>
        <v>0</v>
      </c>
      <c r="J14" s="185">
        <f>'Exh. No. BGM-3 4'!$I$75</f>
        <v>0</v>
      </c>
      <c r="K14" s="146"/>
      <c r="L14" s="216">
        <f t="shared" si="1"/>
        <v>0</v>
      </c>
      <c r="M14"/>
      <c r="N14" s="216">
        <f t="shared" si="2"/>
        <v>0</v>
      </c>
      <c r="O14" s="144"/>
      <c r="P14" s="118"/>
      <c r="Q14" s="118"/>
      <c r="R14" s="144"/>
      <c r="S14" s="145"/>
    </row>
    <row r="15" spans="1:19" s="55" customFormat="1">
      <c r="A15" s="214">
        <v>6</v>
      </c>
      <c r="B15" s="291">
        <f>'ADJ SUMMARY'!A15</f>
        <v>2.0199999999999996</v>
      </c>
      <c r="C15" s="38" t="str">
        <f>'ADJ SUMMARY'!C15</f>
        <v>Restate Property Tax</v>
      </c>
      <c r="E15" s="112">
        <f>'Exh. No. BGM-3 4'!$J$16</f>
        <v>0</v>
      </c>
      <c r="F15" s="112">
        <f>'Exh. No. BGM-3 4'!$J$28</f>
        <v>86</v>
      </c>
      <c r="G15" s="185">
        <f>'Exh. No. BGM-3 4'!$J$61+'Exh. No. BGM-3 4'!$J$62</f>
        <v>0</v>
      </c>
      <c r="H15" s="185">
        <f>'Exh. No. BGM-3 4'!$J$68+'Exh. No. BGM-3 4'!$J$69</f>
        <v>0</v>
      </c>
      <c r="I15" s="185">
        <f>'Exh. No. BGM-3 4'!$J$77</f>
        <v>0</v>
      </c>
      <c r="J15" s="185">
        <f>'Exh. No. BGM-3 4'!$J$75</f>
        <v>0</v>
      </c>
      <c r="K15" s="146"/>
      <c r="L15" s="216">
        <f t="shared" ref="L15" si="3">SUM(G15:J15)</f>
        <v>0</v>
      </c>
      <c r="M15"/>
      <c r="N15" s="216">
        <f t="shared" ref="N15" si="4">F15-E15</f>
        <v>86</v>
      </c>
      <c r="O15" s="144"/>
      <c r="P15" s="118"/>
      <c r="Q15" s="118"/>
      <c r="R15" s="144"/>
      <c r="S15" s="145"/>
    </row>
    <row r="16" spans="1:19" s="55" customFormat="1">
      <c r="A16" s="214">
        <v>7</v>
      </c>
      <c r="B16" s="291">
        <f>'ADJ SUMMARY'!A16</f>
        <v>2.0299999999999994</v>
      </c>
      <c r="C16" s="38" t="str">
        <f>'ADJ SUMMARY'!C16</f>
        <v>Uncollect. Expense</v>
      </c>
      <c r="E16" s="112">
        <f>'Exh. No. BGM-3 4'!$K$16</f>
        <v>0</v>
      </c>
      <c r="F16" s="112">
        <f>'Exh. No. BGM-3 4'!$K$28</f>
        <v>0</v>
      </c>
      <c r="G16" s="185">
        <f>'Exh. No. BGM-3 4'!$K$61+'Exh. No. BGM-3 4'!$K$62</f>
        <v>0</v>
      </c>
      <c r="H16" s="185">
        <f>'Exh. No. BGM-3 4'!$K$68+'Exh. No. BGM-3 4'!$K$69</f>
        <v>0</v>
      </c>
      <c r="I16" s="185">
        <f>'Exh. No. BGM-3 4'!$K$77</f>
        <v>0</v>
      </c>
      <c r="J16" s="185">
        <f>'Exh. No. BGM-3 4'!$K$75</f>
        <v>0</v>
      </c>
      <c r="K16" s="144"/>
      <c r="L16" s="216">
        <f t="shared" si="1"/>
        <v>0</v>
      </c>
      <c r="M16"/>
      <c r="N16" s="216">
        <f t="shared" si="2"/>
        <v>0</v>
      </c>
      <c r="O16" s="144"/>
      <c r="P16" s="118"/>
      <c r="Q16" s="118"/>
      <c r="R16" s="144"/>
      <c r="S16" s="145"/>
    </row>
    <row r="17" spans="1:19" s="55" customFormat="1">
      <c r="A17" s="214">
        <v>8</v>
      </c>
      <c r="B17" s="291">
        <f>'ADJ SUMMARY'!A17</f>
        <v>2.0399999999999991</v>
      </c>
      <c r="C17" s="38" t="str">
        <f>'ADJ SUMMARY'!C17</f>
        <v>Regulatory Expense</v>
      </c>
      <c r="E17" s="112">
        <f>'Exh. No. BGM-3 4'!$L$16</f>
        <v>0</v>
      </c>
      <c r="F17" s="112">
        <f>'Exh. No. BGM-3 4'!$L$28</f>
        <v>0</v>
      </c>
      <c r="G17" s="185">
        <f>'Exh. No. BGM-3 4'!$L$61+'Exh. No. BGM-3 4'!$L$62</f>
        <v>0</v>
      </c>
      <c r="H17" s="185">
        <f>'Exh. No. BGM-3 4'!$L$68+'Exh. No. BGM-3 4'!$L$69</f>
        <v>0</v>
      </c>
      <c r="I17" s="185">
        <f>'Exh. No. BGM-3 4'!$L$77</f>
        <v>0</v>
      </c>
      <c r="J17" s="185">
        <f>'Exh. No. BGM-3 4'!$L$75</f>
        <v>0</v>
      </c>
      <c r="K17" s="144"/>
      <c r="L17" s="216">
        <f t="shared" si="1"/>
        <v>0</v>
      </c>
      <c r="M17"/>
      <c r="N17" s="216">
        <f t="shared" si="2"/>
        <v>0</v>
      </c>
      <c r="O17" s="144"/>
      <c r="P17" s="118"/>
      <c r="Q17" s="118"/>
      <c r="R17" s="144"/>
      <c r="S17" s="145"/>
    </row>
    <row r="18" spans="1:19">
      <c r="A18" s="214">
        <v>9</v>
      </c>
      <c r="B18" s="291">
        <f>'ADJ SUMMARY'!A18</f>
        <v>2.0499999999999989</v>
      </c>
      <c r="C18" s="38" t="str">
        <f>'ADJ SUMMARY'!C18</f>
        <v>Injuries and Damages</v>
      </c>
      <c r="E18" s="112">
        <f>'Exh. No. BGM-3 4'!$M$16</f>
        <v>0</v>
      </c>
      <c r="F18" s="112">
        <f>'Exh. No. BGM-3 4'!$M$28</f>
        <v>0</v>
      </c>
      <c r="G18" s="185">
        <f>'Exh. No. BGM-3 4'!$M$61+'Exh. No. BGM-3 4'!$M$62</f>
        <v>0</v>
      </c>
      <c r="H18" s="185">
        <f>'Exh. No. BGM-3 4'!$M$68+'Exh. No. BGM-3 4'!$M$69</f>
        <v>0</v>
      </c>
      <c r="I18" s="185">
        <f>'Exh. No. BGM-3 4'!$M$77</f>
        <v>0</v>
      </c>
      <c r="J18" s="185">
        <f>'Exh. No. BGM-3 4'!$M$75</f>
        <v>0</v>
      </c>
      <c r="K18" s="146"/>
      <c r="L18" s="216">
        <f t="shared" si="1"/>
        <v>0</v>
      </c>
      <c r="M18"/>
      <c r="N18" s="216">
        <f t="shared" si="2"/>
        <v>0</v>
      </c>
      <c r="O18" s="28"/>
      <c r="P18" s="37"/>
      <c r="Q18" s="37"/>
      <c r="R18" s="28"/>
      <c r="S18" s="27"/>
    </row>
    <row r="19" spans="1:19">
      <c r="A19" s="214">
        <v>10</v>
      </c>
      <c r="B19" s="291">
        <f>'ADJ SUMMARY'!A19</f>
        <v>2.0599999999999987</v>
      </c>
      <c r="C19" s="38" t="str">
        <f>'ADJ SUMMARY'!C19</f>
        <v>FIT/DFIT/ ITC Expense</v>
      </c>
      <c r="E19" s="112">
        <f>'Exh. No. BGM-3 4'!$N$16</f>
        <v>0</v>
      </c>
      <c r="F19" s="112">
        <f>'Exh. No. BGM-3 4'!$N$28</f>
        <v>0</v>
      </c>
      <c r="G19" s="185">
        <f>'Exh. No. BGM-3 4'!$N$61+'Exh. No. BGM-3 4'!$N$62</f>
        <v>0</v>
      </c>
      <c r="H19" s="185">
        <f>'Exh. No. BGM-3 4'!$N$68+'Exh. No. BGM-3 4'!$N$69</f>
        <v>0</v>
      </c>
      <c r="I19" s="185">
        <f>'Exh. No. BGM-3 4'!$N$77</f>
        <v>0</v>
      </c>
      <c r="J19" s="185">
        <f>'Exh. No. BGM-3 4'!$N$75</f>
        <v>0</v>
      </c>
      <c r="K19" s="153"/>
      <c r="L19" s="216">
        <f t="shared" si="1"/>
        <v>0</v>
      </c>
      <c r="M19"/>
      <c r="N19" s="216">
        <f t="shared" si="2"/>
        <v>0</v>
      </c>
      <c r="O19" s="28"/>
      <c r="P19" s="37"/>
      <c r="Q19" s="37"/>
      <c r="R19" s="28"/>
      <c r="S19" s="27"/>
    </row>
    <row r="20" spans="1:19" s="48" customFormat="1">
      <c r="A20" s="214">
        <v>11</v>
      </c>
      <c r="B20" s="291">
        <f>'ADJ SUMMARY'!A20</f>
        <v>2.0699999999999985</v>
      </c>
      <c r="C20" s="38" t="str">
        <f>'ADJ SUMMARY'!C20</f>
        <v>Office Space Charges to Non-Utility</v>
      </c>
      <c r="D20" s="55"/>
      <c r="E20" s="112">
        <f>'Exh. No. BGM-3 4'!$O$16</f>
        <v>0</v>
      </c>
      <c r="F20" s="112">
        <f>'Exh. No. BGM-3 4'!$O$28</f>
        <v>0</v>
      </c>
      <c r="G20" s="185">
        <f>'Exh. No. BGM-3 4'!$O$61+'Exh. No. BGM-3 4'!$O$62</f>
        <v>0</v>
      </c>
      <c r="H20" s="185">
        <f>'Exh. No. BGM-3 4'!$O$68+'Exh. No. BGM-3 4'!$O$69</f>
        <v>0</v>
      </c>
      <c r="I20" s="185">
        <f>'Exh. No. BGM-3 4'!$O$77</f>
        <v>0</v>
      </c>
      <c r="J20" s="185">
        <f>'Exh. No. BGM-3 4'!$O$75</f>
        <v>0</v>
      </c>
      <c r="K20" s="50"/>
      <c r="L20" s="216">
        <f t="shared" si="1"/>
        <v>0</v>
      </c>
      <c r="M20"/>
      <c r="N20" s="216">
        <f t="shared" si="2"/>
        <v>0</v>
      </c>
      <c r="O20" s="50"/>
      <c r="P20" s="53"/>
      <c r="Q20" s="53"/>
      <c r="R20" s="50"/>
      <c r="S20" s="49"/>
    </row>
    <row r="21" spans="1:19" s="48" customFormat="1">
      <c r="A21" s="214">
        <v>12</v>
      </c>
      <c r="B21" s="291">
        <f>'ADJ SUMMARY'!A21</f>
        <v>2.0799999999999983</v>
      </c>
      <c r="C21" s="38" t="str">
        <f>'ADJ SUMMARY'!C21</f>
        <v>Restate Excise Taxes</v>
      </c>
      <c r="D21" s="55"/>
      <c r="E21" s="112">
        <f>'Exh. No. BGM-3 4'!$P$16</f>
        <v>0</v>
      </c>
      <c r="F21" s="112">
        <f>'Exh. No. BGM-3 4'!$P$28</f>
        <v>0</v>
      </c>
      <c r="G21" s="185">
        <f>'Exh. No. BGM-3 4'!$P$61+'Exh. No. BGM-3 4'!$P$62</f>
        <v>0</v>
      </c>
      <c r="H21" s="185">
        <f>'Exh. No. BGM-3 4'!$P$68+'Exh. No. BGM-3 4'!$P$69</f>
        <v>0</v>
      </c>
      <c r="I21" s="185">
        <f>'Exh. No. BGM-3 4'!$P$77</f>
        <v>0</v>
      </c>
      <c r="J21" s="185">
        <f>'Exh. No. BGM-3 4'!$P$75</f>
        <v>0</v>
      </c>
      <c r="K21" s="50"/>
      <c r="L21" s="216">
        <f t="shared" si="1"/>
        <v>0</v>
      </c>
      <c r="M21"/>
      <c r="N21" s="216">
        <f t="shared" si="2"/>
        <v>0</v>
      </c>
      <c r="O21" s="50"/>
      <c r="P21" s="53"/>
      <c r="Q21" s="53"/>
      <c r="R21" s="50"/>
      <c r="S21" s="49"/>
    </row>
    <row r="22" spans="1:19" s="48" customFormat="1">
      <c r="A22" s="214">
        <v>13</v>
      </c>
      <c r="B22" s="291">
        <f>'ADJ SUMMARY'!A22</f>
        <v>2.0899999999999981</v>
      </c>
      <c r="C22" s="38" t="str">
        <f>'ADJ SUMMARY'!C22</f>
        <v>Net Gains / Losses</v>
      </c>
      <c r="D22" s="55"/>
      <c r="E22" s="112">
        <f>'Exh. No. BGM-3 4'!$Q$16</f>
        <v>0</v>
      </c>
      <c r="F22" s="112">
        <f>'Exh. No. BGM-3 4'!$Q$28</f>
        <v>0</v>
      </c>
      <c r="G22" s="185">
        <f>'Exh. No. BGM-3 4'!$Q$61+'Exh. No. BGM-3 4'!$Q$62</f>
        <v>0</v>
      </c>
      <c r="H22" s="185">
        <f>'Exh. No. BGM-3 4'!$Q$68+'Exh. No. BGM-3 4'!$Q$69</f>
        <v>0</v>
      </c>
      <c r="I22" s="185">
        <f>'Exh. No. BGM-3 4'!$Q$77</f>
        <v>0</v>
      </c>
      <c r="J22" s="185">
        <f>'Exh. No. BGM-3 4'!$Q$75</f>
        <v>0</v>
      </c>
      <c r="K22" s="50"/>
      <c r="L22" s="216">
        <f t="shared" si="1"/>
        <v>0</v>
      </c>
      <c r="M22"/>
      <c r="N22" s="216">
        <f t="shared" si="2"/>
        <v>0</v>
      </c>
      <c r="O22" s="50"/>
      <c r="P22" s="53"/>
      <c r="Q22" s="53"/>
      <c r="R22" s="50"/>
      <c r="S22" s="49"/>
    </row>
    <row r="23" spans="1:19" s="139" customFormat="1">
      <c r="A23" s="214">
        <v>14</v>
      </c>
      <c r="B23" s="291">
        <f>'ADJ SUMMARY'!A23</f>
        <v>2.0999999999999979</v>
      </c>
      <c r="C23" s="38" t="str">
        <f>'ADJ SUMMARY'!C23</f>
        <v>Weather Normalization</v>
      </c>
      <c r="E23" s="112">
        <f>'Exh. No. BGM-3 4'!$R$16</f>
        <v>0</v>
      </c>
      <c r="F23" s="112">
        <f>'Exh. No. BGM-3 4'!$R$28</f>
        <v>0</v>
      </c>
      <c r="G23" s="185">
        <f>'Exh. No. BGM-3 4'!$R$61+'Exh. No. BGM-3 4'!$R$62</f>
        <v>0</v>
      </c>
      <c r="H23" s="185">
        <f>'Exh. No. BGM-3 4'!$R$68+'Exh. No. BGM-3 4'!$R$69</f>
        <v>0</v>
      </c>
      <c r="I23" s="185">
        <f>'Exh. No. BGM-3 4'!$R$77</f>
        <v>0</v>
      </c>
      <c r="J23" s="185">
        <f>'Exh. No. BGM-3 4'!$R$75</f>
        <v>0</v>
      </c>
      <c r="K23" s="146"/>
      <c r="L23" s="216">
        <f t="shared" si="1"/>
        <v>0</v>
      </c>
      <c r="M23"/>
      <c r="N23" s="216">
        <f t="shared" si="2"/>
        <v>0</v>
      </c>
      <c r="O23" s="136"/>
      <c r="P23" s="141"/>
      <c r="Q23" s="141"/>
      <c r="R23" s="136"/>
      <c r="S23" s="142"/>
    </row>
    <row r="24" spans="1:19" s="48" customFormat="1">
      <c r="A24" s="214">
        <v>15</v>
      </c>
      <c r="B24" s="291">
        <f>'ADJ SUMMARY'!A24</f>
        <v>2.1099999999999977</v>
      </c>
      <c r="C24" s="38" t="str">
        <f>'ADJ SUMMARY'!C24</f>
        <v>Eliminate Adder Schedules</v>
      </c>
      <c r="D24" s="55"/>
      <c r="E24" s="112">
        <f>'Exh. No. BGM-3 4'!$S$16</f>
        <v>0</v>
      </c>
      <c r="F24" s="112">
        <f>'Exh. No. BGM-3 4'!$S$28</f>
        <v>12</v>
      </c>
      <c r="G24" s="185">
        <f>'Exh. No. BGM-3 4'!$S$61+'Exh. No. BGM-3 4'!$S$62</f>
        <v>0</v>
      </c>
      <c r="H24" s="185">
        <f>'Exh. No. BGM-3 4'!$S$68+'Exh. No. BGM-3 4'!$S$69</f>
        <v>0</v>
      </c>
      <c r="I24" s="185">
        <f>'Exh. No. BGM-3 4'!$S$77</f>
        <v>0</v>
      </c>
      <c r="J24" s="185">
        <f>'Exh. No. BGM-3 4'!$S$75</f>
        <v>0</v>
      </c>
      <c r="K24" s="50"/>
      <c r="L24" s="216"/>
      <c r="M24"/>
      <c r="N24" s="216"/>
      <c r="O24" s="50"/>
      <c r="P24" s="53"/>
      <c r="Q24" s="53"/>
      <c r="R24" s="50"/>
      <c r="S24" s="49"/>
    </row>
    <row r="25" spans="1:19" s="48" customFormat="1">
      <c r="A25" s="214">
        <v>16</v>
      </c>
      <c r="B25" s="291">
        <f>'ADJ SUMMARY'!A25</f>
        <v>2.1199999999999974</v>
      </c>
      <c r="C25" s="38" t="str">
        <f>'ADJ SUMMARY'!C25</f>
        <v>Misc. Restating Non-Util / Non- Recurring Expenses</v>
      </c>
      <c r="D25" s="55"/>
      <c r="E25" s="112">
        <f>'Exh. No. BGM-3 4'!$T$16</f>
        <v>0</v>
      </c>
      <c r="F25" s="112">
        <f>'Exh. No. BGM-3 4'!$T$28</f>
        <v>-5</v>
      </c>
      <c r="G25" s="185">
        <f>'Exh. No. BGM-3 4'!$T$61+'Exh. No. BGM-3 4'!$T$62</f>
        <v>0</v>
      </c>
      <c r="H25" s="185">
        <f>'Exh. No. BGM-3 4'!$T$68+'Exh. No. BGM-3 4'!$T$69</f>
        <v>0</v>
      </c>
      <c r="I25" s="185">
        <f>'Exh. No. BGM-3 4'!$T$77</f>
        <v>0</v>
      </c>
      <c r="J25" s="185">
        <f>'Exh. No. BGM-3 4'!$T$75</f>
        <v>0</v>
      </c>
      <c r="K25" s="50"/>
      <c r="L25" s="216">
        <f t="shared" ref="L25:L30" si="5">SUM(G25:J25)</f>
        <v>0</v>
      </c>
      <c r="M25"/>
      <c r="N25" s="216">
        <f t="shared" ref="N25:N30" si="6">F25-E25</f>
        <v>-5</v>
      </c>
      <c r="O25" s="50"/>
      <c r="P25" s="53"/>
      <c r="Q25" s="53"/>
      <c r="R25" s="50"/>
      <c r="S25" s="49"/>
    </row>
    <row r="26" spans="1:19">
      <c r="A26" s="214">
        <v>17</v>
      </c>
      <c r="B26" s="291">
        <f>'ADJ SUMMARY'!A26</f>
        <v>2.1299999999999972</v>
      </c>
      <c r="C26" s="38" t="str">
        <f>'ADJ SUMMARY'!C26</f>
        <v>Eliminate WA Power Cost Defer</v>
      </c>
      <c r="E26" s="112">
        <f>'Exh. No. BGM-3 4'!$U$16</f>
        <v>0</v>
      </c>
      <c r="F26" s="112">
        <f>'Exh. No. BGM-3 4'!$U$28</f>
        <v>-2270</v>
      </c>
      <c r="G26" s="185">
        <f>'Exh. No. BGM-3 4'!$U$61+'Exh. No. BGM-3 4'!$U$62</f>
        <v>0</v>
      </c>
      <c r="H26" s="185">
        <f>'Exh. No. BGM-3 4'!$U$68+'Exh. No. BGM-3 4'!$U$69</f>
        <v>0</v>
      </c>
      <c r="I26" s="185">
        <f>'Exh. No. BGM-3 4'!$U$77</f>
        <v>0</v>
      </c>
      <c r="J26" s="185">
        <f>'Exh. No. BGM-3 4'!$U$75</f>
        <v>0</v>
      </c>
      <c r="K26" s="146"/>
      <c r="L26" s="216">
        <f t="shared" si="5"/>
        <v>0</v>
      </c>
      <c r="M26"/>
      <c r="N26" s="216">
        <f t="shared" si="6"/>
        <v>-2270</v>
      </c>
      <c r="O26" s="28"/>
      <c r="P26" s="37"/>
      <c r="Q26" s="37"/>
      <c r="R26" s="42"/>
      <c r="S26" s="27"/>
    </row>
    <row r="27" spans="1:19" s="48" customFormat="1">
      <c r="A27" s="214">
        <v>18</v>
      </c>
      <c r="B27" s="291">
        <f>'ADJ SUMMARY'!A27</f>
        <v>2.139999999999997</v>
      </c>
      <c r="C27" s="38" t="str">
        <f>'ADJ SUMMARY'!C27</f>
        <v>Nez Perce Settlement Adjustment</v>
      </c>
      <c r="D27" s="55"/>
      <c r="E27" s="112">
        <f>'Exh. No. BGM-3 4'!$V$16</f>
        <v>0</v>
      </c>
      <c r="F27" s="112">
        <f>'Exh. No. BGM-3 4'!$V$28</f>
        <v>-4</v>
      </c>
      <c r="G27" s="185">
        <f>'Exh. No. BGM-3 4'!$V$61+'Exh. No. BGM-3 4'!$V$62</f>
        <v>0</v>
      </c>
      <c r="H27" s="185">
        <f>'Exh. No. BGM-3 4'!$V$68+'Exh. No. BGM-3 4'!$V$69</f>
        <v>0</v>
      </c>
      <c r="I27" s="185">
        <f>'Exh. No. BGM-3 4'!$V$77</f>
        <v>0</v>
      </c>
      <c r="J27" s="185">
        <f>'Exh. No. BGM-3 4'!$V$75</f>
        <v>0</v>
      </c>
      <c r="K27" s="50"/>
      <c r="L27" s="216">
        <f t="shared" si="5"/>
        <v>0</v>
      </c>
      <c r="M27"/>
      <c r="N27" s="216">
        <f t="shared" si="6"/>
        <v>-4</v>
      </c>
      <c r="O27" s="50"/>
      <c r="P27" s="53"/>
      <c r="Q27" s="53"/>
      <c r="R27" s="50"/>
      <c r="S27" s="49"/>
    </row>
    <row r="28" spans="1:19" s="48" customFormat="1">
      <c r="A28" s="214">
        <v>19</v>
      </c>
      <c r="B28" s="291">
        <f>'ADJ SUMMARY'!A29</f>
        <v>2.1599999999999966</v>
      </c>
      <c r="C28" s="38" t="str">
        <f>'ADJ SUMMARY'!C29</f>
        <v>Normalize CS2/Colstrip Major Maint</v>
      </c>
      <c r="D28" s="55"/>
      <c r="E28" s="112">
        <f>'Exh. No. BGM-3 4'!$V$16</f>
        <v>0</v>
      </c>
      <c r="F28" s="112">
        <f>'Exh. No. BGM-3 4'!$V$28</f>
        <v>-4</v>
      </c>
      <c r="G28" s="559">
        <f>'Exh. No. BGM-3 4'!$V$61+'Exh. No. BGM-3 4'!$V$62</f>
        <v>0</v>
      </c>
      <c r="H28" s="559">
        <f>'Exh. No. BGM-3 4'!$V$68+'Exh. No. BGM-3 4'!$V$69</f>
        <v>0</v>
      </c>
      <c r="I28" s="559">
        <f>'Exh. No. BGM-3 4'!$V$77</f>
        <v>0</v>
      </c>
      <c r="J28" s="559">
        <f>'Exh. No. BGM-3 4'!$V$75</f>
        <v>0</v>
      </c>
      <c r="K28" s="50"/>
      <c r="L28" s="216">
        <f t="shared" si="5"/>
        <v>0</v>
      </c>
      <c r="M28"/>
      <c r="N28" s="216">
        <f t="shared" si="6"/>
        <v>-4</v>
      </c>
      <c r="O28" s="50"/>
      <c r="P28" s="53"/>
      <c r="Q28" s="53"/>
      <c r="R28" s="50"/>
      <c r="S28" s="49"/>
    </row>
    <row r="29" spans="1:19">
      <c r="A29" s="214">
        <v>20</v>
      </c>
      <c r="B29" s="291">
        <f>'ADJ SUMMARY'!A30</f>
        <v>2.1699999999999964</v>
      </c>
      <c r="C29" s="38" t="str">
        <f>'ADJ SUMMARY'!C30</f>
        <v>Restate Debt Interest</v>
      </c>
      <c r="D29" s="55"/>
      <c r="E29" s="112">
        <f>'Exh. No. BGM-3 4'!$Y$16</f>
        <v>0</v>
      </c>
      <c r="F29" s="112">
        <f>'Exh. No. BGM-3 4'!$Y$28</f>
        <v>0</v>
      </c>
      <c r="G29" s="185">
        <f>'Exh. No. BGM-3 4'!$Y$61+'Exh. No. BGM-3 4'!$Y$62</f>
        <v>0</v>
      </c>
      <c r="H29" s="185">
        <f>'Exh. No. BGM-3 4'!$Y$68+'Exh. No. BGM-3 4'!$Y$69</f>
        <v>0</v>
      </c>
      <c r="I29" s="185">
        <f>'Exh. No. BGM-3 4'!$Y$77</f>
        <v>0</v>
      </c>
      <c r="J29" s="185">
        <f>'Exh. No. BGM-3 4'!$Y$75</f>
        <v>0</v>
      </c>
      <c r="K29" s="146"/>
      <c r="L29" s="216">
        <f t="shared" si="5"/>
        <v>0</v>
      </c>
      <c r="M29"/>
      <c r="N29" s="216">
        <f t="shared" si="6"/>
        <v>0</v>
      </c>
      <c r="O29" s="28"/>
      <c r="P29" s="37"/>
      <c r="Q29" s="37"/>
      <c r="R29" s="28"/>
      <c r="S29" s="27"/>
    </row>
    <row r="30" spans="1:19">
      <c r="A30" s="214">
        <v>20</v>
      </c>
      <c r="B30" s="291">
        <f>'ADJ SUMMARY'!A31</f>
        <v>2.1799999999999962</v>
      </c>
      <c r="C30" s="38" t="str">
        <f>'ADJ SUMMARY'!C31</f>
        <v>Authorized Power Supply</v>
      </c>
      <c r="D30" s="55"/>
      <c r="E30" s="112">
        <f>'Exh. No. BGM-3 4'!$Y$16</f>
        <v>0</v>
      </c>
      <c r="F30" s="112">
        <f>'Exh. No. BGM-3 4'!$Y$28</f>
        <v>0</v>
      </c>
      <c r="G30" s="559">
        <f>'Exh. No. BGM-3 4'!$Y$61+'Exh. No. BGM-3 4'!$Y$62</f>
        <v>0</v>
      </c>
      <c r="H30" s="559">
        <f>'Exh. No. BGM-3 4'!$Y$68+'Exh. No. BGM-3 4'!$Y$69</f>
        <v>0</v>
      </c>
      <c r="I30" s="559">
        <f>'Exh. No. BGM-3 4'!$Y$77</f>
        <v>0</v>
      </c>
      <c r="J30" s="559">
        <f>'Exh. No. BGM-3 4'!$Y$75</f>
        <v>0</v>
      </c>
      <c r="K30" s="146"/>
      <c r="L30" s="216">
        <f t="shared" si="5"/>
        <v>0</v>
      </c>
      <c r="M30"/>
      <c r="N30" s="216">
        <f t="shared" si="6"/>
        <v>0</v>
      </c>
      <c r="O30" s="28"/>
      <c r="P30" s="37"/>
      <c r="Q30" s="37"/>
      <c r="R30" s="28"/>
      <c r="S30" s="728"/>
    </row>
    <row r="31" spans="1:19" s="139" customFormat="1">
      <c r="A31" s="214">
        <v>23</v>
      </c>
      <c r="B31" s="290">
        <f>'ADJ SUMMARY'!A36</f>
        <v>3.01</v>
      </c>
      <c r="C31" s="38" t="str">
        <f>'ADJ SUMMARY'!C36</f>
        <v>Pro Forma Trans/Power Sup Non-ERM Rev/Exp</v>
      </c>
      <c r="D31" s="55"/>
      <c r="E31" s="788"/>
      <c r="F31" s="788"/>
      <c r="G31" s="185">
        <f>'Exh. No. BGM-3 4'!$AD$61+'Exh. No. BGM-3 4'!$AD$62</f>
        <v>0</v>
      </c>
      <c r="H31" s="185">
        <f>'Exh. No. BGM-3 4'!$AD$68+'Exh. No. BGM-3 4'!$AD$69</f>
        <v>0</v>
      </c>
      <c r="I31" s="185">
        <f>'Exh. No. BGM-3 4'!$AD$77</f>
        <v>0</v>
      </c>
      <c r="J31" s="185">
        <f>'Exh. No. BGM-3 4'!$AD$75</f>
        <v>0</v>
      </c>
      <c r="K31" s="146"/>
      <c r="L31" s="216">
        <f t="shared" si="1"/>
        <v>0</v>
      </c>
      <c r="M31"/>
      <c r="N31" s="216">
        <f t="shared" si="2"/>
        <v>0</v>
      </c>
    </row>
    <row r="32" spans="1:19" s="139" customFormat="1">
      <c r="A32" s="214">
        <v>23</v>
      </c>
      <c r="B32" s="290">
        <f>'ADJ SUMMARY'!A37</f>
        <v>3.0199999999999996</v>
      </c>
      <c r="C32" s="38" t="str">
        <f>'ADJ SUMMARY'!C37</f>
        <v>Pro Forma Labor Non-Exec</v>
      </c>
      <c r="D32" s="55"/>
      <c r="E32" s="788"/>
      <c r="F32" s="788"/>
      <c r="G32" s="559">
        <f>'Exh. No. BGM-3 4'!$AD$61+'Exh. No. BGM-3 4'!$AD$62</f>
        <v>0</v>
      </c>
      <c r="H32" s="559">
        <f>'Exh. No. BGM-3 4'!$AD$68+'Exh. No. BGM-3 4'!$AD$69</f>
        <v>0</v>
      </c>
      <c r="I32" s="559">
        <f>'Exh. No. BGM-3 4'!$AD$77</f>
        <v>0</v>
      </c>
      <c r="J32" s="559">
        <f>'Exh. No. BGM-3 4'!$AD$75</f>
        <v>0</v>
      </c>
      <c r="K32" s="146"/>
      <c r="L32" s="216">
        <f t="shared" ref="L32:L40" si="7">SUM(G32:J32)</f>
        <v>0</v>
      </c>
      <c r="M32"/>
      <c r="N32" s="216">
        <f t="shared" ref="N32:N40" si="8">F32-E32</f>
        <v>0</v>
      </c>
    </row>
    <row r="33" spans="1:19" s="139" customFormat="1">
      <c r="A33" s="214">
        <v>23</v>
      </c>
      <c r="B33" s="290">
        <f>'ADJ SUMMARY'!A38</f>
        <v>3.0299999999999994</v>
      </c>
      <c r="C33" s="38" t="str">
        <f>'ADJ SUMMARY'!C38</f>
        <v>Pro Forma Labor Exec</v>
      </c>
      <c r="D33" s="55"/>
      <c r="E33" s="788"/>
      <c r="F33" s="788"/>
      <c r="G33" s="559">
        <f>'Exh. No. BGM-3 4'!$AD$61+'Exh. No. BGM-3 4'!$AD$62</f>
        <v>0</v>
      </c>
      <c r="H33" s="559">
        <f>'Exh. No. BGM-3 4'!$AD$68+'Exh. No. BGM-3 4'!$AD$69</f>
        <v>0</v>
      </c>
      <c r="I33" s="559">
        <f>'Exh. No. BGM-3 4'!$AD$77</f>
        <v>0</v>
      </c>
      <c r="J33" s="559">
        <f>'Exh. No. BGM-3 4'!$AD$75</f>
        <v>0</v>
      </c>
      <c r="K33" s="146"/>
      <c r="L33" s="216">
        <f t="shared" si="7"/>
        <v>0</v>
      </c>
      <c r="M33"/>
      <c r="N33" s="216">
        <f t="shared" si="8"/>
        <v>0</v>
      </c>
    </row>
    <row r="34" spans="1:19" s="139" customFormat="1">
      <c r="A34" s="214">
        <v>23</v>
      </c>
      <c r="B34" s="290">
        <f>'ADJ SUMMARY'!A39</f>
        <v>3.0399999999999991</v>
      </c>
      <c r="C34" s="38" t="str">
        <f>'ADJ SUMMARY'!C39</f>
        <v>Pro Forma Employee Benefits</v>
      </c>
      <c r="D34" s="55"/>
      <c r="E34" s="788"/>
      <c r="F34" s="788"/>
      <c r="G34" s="559">
        <f>'Exh. No. BGM-3 4'!$AD$61+'Exh. No. BGM-3 4'!$AD$62</f>
        <v>0</v>
      </c>
      <c r="H34" s="559">
        <f>'Exh. No. BGM-3 4'!$AD$68+'Exh. No. BGM-3 4'!$AD$69</f>
        <v>0</v>
      </c>
      <c r="I34" s="559">
        <f>'Exh. No. BGM-3 4'!$AD$77</f>
        <v>0</v>
      </c>
      <c r="J34" s="559">
        <f>'Exh. No. BGM-3 4'!$AD$75</f>
        <v>0</v>
      </c>
      <c r="K34" s="146"/>
      <c r="L34" s="216">
        <f t="shared" si="7"/>
        <v>0</v>
      </c>
      <c r="M34"/>
      <c r="N34" s="216">
        <f t="shared" si="8"/>
        <v>0</v>
      </c>
    </row>
    <row r="35" spans="1:19" s="139" customFormat="1">
      <c r="A35" s="214">
        <v>23</v>
      </c>
      <c r="B35" s="290">
        <f>'ADJ SUMMARY'!A40</f>
        <v>3.0499999999999989</v>
      </c>
      <c r="C35" s="38" t="str">
        <f>'ADJ SUMMARY'!C40</f>
        <v>Pro Forma Incentive Expenses</v>
      </c>
      <c r="D35" s="55"/>
      <c r="E35" s="788"/>
      <c r="F35" s="788"/>
      <c r="G35" s="559">
        <f>'Exh. No. BGM-3 4'!$AD$61+'Exh. No. BGM-3 4'!$AD$62</f>
        <v>0</v>
      </c>
      <c r="H35" s="559">
        <f>'Exh. No. BGM-3 4'!$AD$68+'Exh. No. BGM-3 4'!$AD$69</f>
        <v>0</v>
      </c>
      <c r="I35" s="559">
        <f>'Exh. No. BGM-3 4'!$AD$77</f>
        <v>0</v>
      </c>
      <c r="J35" s="559">
        <f>'Exh. No. BGM-3 4'!$AD$75</f>
        <v>0</v>
      </c>
      <c r="K35" s="146"/>
      <c r="L35" s="216">
        <f t="shared" si="7"/>
        <v>0</v>
      </c>
      <c r="M35"/>
      <c r="N35" s="216">
        <f t="shared" si="8"/>
        <v>0</v>
      </c>
    </row>
    <row r="36" spans="1:19" s="139" customFormat="1">
      <c r="A36" s="214">
        <v>23</v>
      </c>
      <c r="B36" s="290">
        <f>'ADJ SUMMARY'!A41</f>
        <v>3.0599999999999987</v>
      </c>
      <c r="C36" s="38" t="str">
        <f>'ADJ SUMMARY'!C41</f>
        <v>Pro Forma Property Tax</v>
      </c>
      <c r="D36" s="55"/>
      <c r="E36" s="788"/>
      <c r="F36" s="788"/>
      <c r="G36" s="559">
        <f>'Exh. No. BGM-3 4'!$AD$61+'Exh. No. BGM-3 4'!$AD$62</f>
        <v>0</v>
      </c>
      <c r="H36" s="559">
        <f>'Exh. No. BGM-3 4'!$AD$68+'Exh. No. BGM-3 4'!$AD$69</f>
        <v>0</v>
      </c>
      <c r="I36" s="559">
        <f>'Exh. No. BGM-3 4'!$AD$77</f>
        <v>0</v>
      </c>
      <c r="J36" s="559">
        <f>'Exh. No. BGM-3 4'!$AD$75</f>
        <v>0</v>
      </c>
      <c r="K36" s="146"/>
      <c r="L36" s="216">
        <f t="shared" si="7"/>
        <v>0</v>
      </c>
      <c r="M36"/>
      <c r="N36" s="216">
        <f t="shared" si="8"/>
        <v>0</v>
      </c>
    </row>
    <row r="37" spans="1:19" s="139" customFormat="1">
      <c r="A37" s="214">
        <v>23</v>
      </c>
      <c r="B37" s="290">
        <f>'ADJ SUMMARY'!A42</f>
        <v>3.0699999999999985</v>
      </c>
      <c r="C37" s="38" t="str">
        <f>'ADJ SUMMARY'!C42</f>
        <v>Pro Forma IS/IT Expense</v>
      </c>
      <c r="D37" s="55"/>
      <c r="E37" s="788"/>
      <c r="F37" s="788"/>
      <c r="G37" s="559">
        <f>'Exh. No. BGM-3 4'!$AD$61+'Exh. No. BGM-3 4'!$AD$62</f>
        <v>0</v>
      </c>
      <c r="H37" s="559">
        <f>'Exh. No. BGM-3 4'!$AD$68+'Exh. No. BGM-3 4'!$AD$69</f>
        <v>0</v>
      </c>
      <c r="I37" s="559">
        <f>'Exh. No. BGM-3 4'!$AD$77</f>
        <v>0</v>
      </c>
      <c r="J37" s="559">
        <f>'Exh. No. BGM-3 4'!$AD$75</f>
        <v>0</v>
      </c>
      <c r="K37" s="146"/>
      <c r="L37" s="216">
        <f t="shared" si="7"/>
        <v>0</v>
      </c>
      <c r="M37"/>
      <c r="N37" s="216">
        <f t="shared" si="8"/>
        <v>0</v>
      </c>
    </row>
    <row r="38" spans="1:19" s="139" customFormat="1">
      <c r="A38" s="214">
        <v>23</v>
      </c>
      <c r="B38" s="290">
        <f>'ADJ SUMMARY'!A43</f>
        <v>3.0799999999999983</v>
      </c>
      <c r="C38" s="38" t="str">
        <f>'ADJ SUMMARY'!C43</f>
        <v>Pro Forma Revenue Normalization</v>
      </c>
      <c r="D38" s="55"/>
      <c r="E38" s="788"/>
      <c r="F38" s="788"/>
      <c r="G38" s="559">
        <f>'Exh. No. BGM-3 4'!$AD$61+'Exh. No. BGM-3 4'!$AD$62</f>
        <v>0</v>
      </c>
      <c r="H38" s="559">
        <f>'Exh. No. BGM-3 4'!$AD$68+'Exh. No. BGM-3 4'!$AD$69</f>
        <v>0</v>
      </c>
      <c r="I38" s="559">
        <f>'Exh. No. BGM-3 4'!$AD$77</f>
        <v>0</v>
      </c>
      <c r="J38" s="559">
        <f>'Exh. No. BGM-3 4'!$AD$75</f>
        <v>0</v>
      </c>
      <c r="K38" s="146"/>
      <c r="L38" s="216">
        <f t="shared" si="7"/>
        <v>0</v>
      </c>
      <c r="M38"/>
      <c r="N38" s="216">
        <f t="shared" si="8"/>
        <v>0</v>
      </c>
    </row>
    <row r="39" spans="1:19" s="139" customFormat="1">
      <c r="A39" s="214">
        <v>23</v>
      </c>
      <c r="B39" s="290">
        <f>'ADJ SUMMARY'!A44</f>
        <v>3.0899999999999981</v>
      </c>
      <c r="C39" s="38" t="str">
        <f>'ADJ SUMMARY'!C44</f>
        <v>Pro Forma Def. Debits, Credits &amp; Regulatory Amorts</v>
      </c>
      <c r="D39" s="55"/>
      <c r="E39" s="788"/>
      <c r="F39" s="788"/>
      <c r="G39" s="559">
        <f>'Exh. No. BGM-3 4'!$AD$61+'Exh. No. BGM-3 4'!$AD$62</f>
        <v>0</v>
      </c>
      <c r="H39" s="559">
        <f>'Exh. No. BGM-3 4'!$AD$68+'Exh. No. BGM-3 4'!$AD$69</f>
        <v>0</v>
      </c>
      <c r="I39" s="559">
        <f>'Exh. No. BGM-3 4'!$AD$77</f>
        <v>0</v>
      </c>
      <c r="J39" s="559">
        <f>'Exh. No. BGM-3 4'!$AD$75</f>
        <v>0</v>
      </c>
      <c r="K39" s="146"/>
      <c r="L39" s="216">
        <f t="shared" si="7"/>
        <v>0</v>
      </c>
      <c r="M39"/>
      <c r="N39" s="216">
        <f t="shared" si="8"/>
        <v>0</v>
      </c>
    </row>
    <row r="40" spans="1:19" s="139" customFormat="1">
      <c r="A40" s="214">
        <v>23</v>
      </c>
      <c r="B40" s="290">
        <f>'ADJ SUMMARY'!A45</f>
        <v>3.0999999999999979</v>
      </c>
      <c r="C40" s="38" t="str">
        <f>'ADJ SUMMARY'!C45</f>
        <v>Pro Forma 2017 Threshhold Capital Adds</v>
      </c>
      <c r="D40" s="55"/>
      <c r="E40" s="788"/>
      <c r="F40" s="788"/>
      <c r="G40" s="559">
        <f>'Exh. No. BGM-3 4'!$AD$61+'Exh. No. BGM-3 4'!$AD$62</f>
        <v>0</v>
      </c>
      <c r="H40" s="559">
        <f>'Exh. No. BGM-3 4'!$AD$68+'Exh. No. BGM-3 4'!$AD$69</f>
        <v>0</v>
      </c>
      <c r="I40" s="559">
        <f>'Exh. No. BGM-3 4'!$AD$77</f>
        <v>0</v>
      </c>
      <c r="J40" s="559">
        <f>'Exh. No. BGM-3 4'!$AD$75</f>
        <v>0</v>
      </c>
      <c r="K40" s="146"/>
      <c r="L40" s="216">
        <f t="shared" si="7"/>
        <v>0</v>
      </c>
      <c r="M40"/>
      <c r="N40" s="216">
        <f t="shared" si="8"/>
        <v>0</v>
      </c>
    </row>
    <row r="41" spans="1:19" s="139" customFormat="1">
      <c r="A41" s="214">
        <v>23</v>
      </c>
      <c r="B41" s="290">
        <f>'ADJ SUMMARY'!A46</f>
        <v>3.1099999999999977</v>
      </c>
      <c r="C41" s="38" t="str">
        <f>'ADJ SUMMARY'!C46</f>
        <v>Pro Forma O&amp;M Offsets</v>
      </c>
      <c r="D41" s="55"/>
      <c r="E41" s="788"/>
      <c r="F41" s="788"/>
      <c r="G41" s="559">
        <f>'Exh. No. BGM-3 4'!$AD$61+'Exh. No. BGM-3 4'!$AD$62</f>
        <v>0</v>
      </c>
      <c r="H41" s="559">
        <f>'Exh. No. BGM-3 4'!$AD$68+'Exh. No. BGM-3 4'!$AD$69</f>
        <v>0</v>
      </c>
      <c r="I41" s="559">
        <f>'Exh. No. BGM-3 4'!$AD$77</f>
        <v>0</v>
      </c>
      <c r="J41" s="559">
        <f>'Exh. No. BGM-3 4'!$AD$75</f>
        <v>0</v>
      </c>
      <c r="K41" s="146"/>
      <c r="L41" s="216">
        <f t="shared" ref="L41" si="9">SUM(G41:J41)</f>
        <v>0</v>
      </c>
      <c r="M41"/>
      <c r="N41" s="216">
        <f t="shared" ref="N41" si="10">F41-E41</f>
        <v>0</v>
      </c>
    </row>
    <row r="42" spans="1:19" s="139" customFormat="1">
      <c r="A42" s="214">
        <v>23</v>
      </c>
      <c r="B42" s="290">
        <f>'ADJ SUMMARY'!A47</f>
        <v>3.1199999999999974</v>
      </c>
      <c r="C42" s="38" t="str">
        <f>'ADJ SUMMARY'!C47</f>
        <v>Pro Forma Director Fees Exp</v>
      </c>
      <c r="D42" s="55"/>
      <c r="E42" s="788"/>
      <c r="F42" s="788"/>
      <c r="G42" s="559">
        <f>'Exh. No. BGM-3 4'!$AD$61+'Exh. No. BGM-3 4'!$AD$62</f>
        <v>0</v>
      </c>
      <c r="H42" s="559">
        <f>'Exh. No. BGM-3 4'!$AD$68+'Exh. No. BGM-3 4'!$AD$69</f>
        <v>0</v>
      </c>
      <c r="I42" s="559">
        <f>'Exh. No. BGM-3 4'!$AD$77</f>
        <v>0</v>
      </c>
      <c r="J42" s="559">
        <f>'Exh. No. BGM-3 4'!$AD$75</f>
        <v>0</v>
      </c>
      <c r="K42" s="146"/>
      <c r="L42" s="216">
        <f t="shared" ref="L42:L44" si="11">SUM(G42:J42)</f>
        <v>0</v>
      </c>
      <c r="M42"/>
      <c r="N42" s="216">
        <f t="shared" ref="N42:N44" si="12">F42-E42</f>
        <v>0</v>
      </c>
    </row>
    <row r="43" spans="1:19" s="139" customFormat="1">
      <c r="A43" s="214">
        <v>23</v>
      </c>
      <c r="B43" s="290">
        <f>'ADJ SUMMARY'!A48</f>
        <v>3.1299999999999972</v>
      </c>
      <c r="C43" s="38" t="str">
        <f>'ADJ SUMMARY'!C48</f>
        <v>PF Normalize CS2/Colstrip Major Maint</v>
      </c>
      <c r="D43" s="55"/>
      <c r="E43" s="788"/>
      <c r="F43" s="788"/>
      <c r="G43" s="559">
        <f>'Exh. No. BGM-3 4'!$AD$61+'Exh. No. BGM-3 4'!$AD$62</f>
        <v>0</v>
      </c>
      <c r="H43" s="559">
        <f>'Exh. No. BGM-3 4'!$AD$68+'Exh. No. BGM-3 4'!$AD$69</f>
        <v>0</v>
      </c>
      <c r="I43" s="559">
        <f>'Exh. No. BGM-3 4'!$AD$77</f>
        <v>0</v>
      </c>
      <c r="J43" s="559">
        <f>'Exh. No. BGM-3 4'!$AD$75</f>
        <v>0</v>
      </c>
      <c r="K43" s="146"/>
      <c r="L43" s="216">
        <f t="shared" si="11"/>
        <v>0</v>
      </c>
      <c r="M43"/>
      <c r="N43" s="216">
        <f t="shared" si="12"/>
        <v>0</v>
      </c>
    </row>
    <row r="44" spans="1:19" s="139" customFormat="1">
      <c r="A44" s="214">
        <v>23</v>
      </c>
      <c r="B44" s="290">
        <f>'ADJ SUMMARY'!A49</f>
        <v>3.139999999999997</v>
      </c>
      <c r="C44" s="38" t="str">
        <f>'ADJ SUMMARY'!C49</f>
        <v>Pro Forma Underground Equip Inspection</v>
      </c>
      <c r="D44" s="55"/>
      <c r="E44" s="788"/>
      <c r="F44" s="788"/>
      <c r="G44" s="559">
        <f>'Exh. No. BGM-3 4'!$AD$61+'Exh. No. BGM-3 4'!$AD$62</f>
        <v>0</v>
      </c>
      <c r="H44" s="559">
        <f>'Exh. No. BGM-3 4'!$AD$68+'Exh. No. BGM-3 4'!$AD$69</f>
        <v>0</v>
      </c>
      <c r="I44" s="559">
        <f>'Exh. No. BGM-3 4'!$AD$77</f>
        <v>0</v>
      </c>
      <c r="J44" s="559">
        <f>'Exh. No. BGM-3 4'!$AD$75</f>
        <v>0</v>
      </c>
      <c r="K44" s="146"/>
      <c r="L44" s="216">
        <f t="shared" si="11"/>
        <v>0</v>
      </c>
      <c r="M44"/>
      <c r="N44" s="216">
        <f t="shared" si="12"/>
        <v>0</v>
      </c>
    </row>
    <row r="45" spans="1:19" s="139" customFormat="1">
      <c r="A45" s="214">
        <v>23</v>
      </c>
      <c r="B45" s="290" t="e">
        <f>'ADJ SUMMARY'!#REF!</f>
        <v>#REF!</v>
      </c>
      <c r="C45" s="38" t="e">
        <f>'ADJ SUMMARY'!#REF!</f>
        <v>#REF!</v>
      </c>
      <c r="D45" s="55"/>
      <c r="E45" s="788"/>
      <c r="F45" s="788"/>
      <c r="G45" s="559">
        <f>'Exh. No. BGM-3 4'!$AD$61+'Exh. No. BGM-3 4'!$AD$62</f>
        <v>0</v>
      </c>
      <c r="H45" s="559">
        <f>'Exh. No. BGM-3 4'!$AD$68+'Exh. No. BGM-3 4'!$AD$69</f>
        <v>0</v>
      </c>
      <c r="I45" s="559">
        <f>'Exh. No. BGM-3 4'!$AD$77</f>
        <v>0</v>
      </c>
      <c r="J45" s="559">
        <f>'Exh. No. BGM-3 4'!$AD$75</f>
        <v>0</v>
      </c>
      <c r="K45" s="146"/>
      <c r="L45" s="216">
        <f t="shared" ref="L45" si="13">SUM(G45:J45)</f>
        <v>0</v>
      </c>
      <c r="M45"/>
      <c r="N45" s="216">
        <f t="shared" ref="N45" si="14">F45-E45</f>
        <v>0</v>
      </c>
    </row>
    <row r="46" spans="1:19">
      <c r="A46" s="214">
        <v>22</v>
      </c>
      <c r="B46" s="290">
        <f>'ADJ SUMMARY'!A52</f>
        <v>4</v>
      </c>
      <c r="C46" s="38" t="str">
        <f>'ADJ SUMMARY'!C52</f>
        <v>Pro Forma Power Supply &amp; Transm Revs</v>
      </c>
      <c r="D46" s="147"/>
      <c r="E46" s="788"/>
      <c r="F46" s="788"/>
      <c r="G46" s="185">
        <f>'Exh. No. BGM-3 4'!$AS$61+'Exh. No. BGM-3 4'!$AS$62</f>
        <v>0</v>
      </c>
      <c r="H46" s="185">
        <f>'Exh. No. BGM-3 4'!$AS$68+'Exh. No. BGM-3 4'!$AS$69</f>
        <v>0</v>
      </c>
      <c r="I46" s="185">
        <f>'Exh. No. BGM-3 4'!$AS$77</f>
        <v>0</v>
      </c>
      <c r="J46" s="185">
        <f>'Exh. No. BGM-3 4'!$AS$75</f>
        <v>0</v>
      </c>
      <c r="K46" s="146"/>
      <c r="L46" s="216">
        <f>SUM(G46:J46)</f>
        <v>0</v>
      </c>
      <c r="M46"/>
      <c r="N46" s="216">
        <f>F46-E46</f>
        <v>0</v>
      </c>
      <c r="O46" s="28"/>
      <c r="P46" s="37"/>
      <c r="Q46" s="37"/>
      <c r="R46" s="28"/>
      <c r="S46" s="27"/>
    </row>
    <row r="47" spans="1:19" ht="3" customHeight="1">
      <c r="A47" s="214">
        <v>40</v>
      </c>
      <c r="B47" s="291"/>
      <c r="C47" s="235"/>
      <c r="D47" s="167"/>
      <c r="E47" s="185"/>
      <c r="F47" s="185"/>
      <c r="G47" s="185"/>
      <c r="H47" s="185"/>
      <c r="I47" s="185"/>
      <c r="J47" s="185"/>
      <c r="K47" s="146"/>
      <c r="L47" s="216"/>
      <c r="M47"/>
      <c r="N47" s="216"/>
      <c r="P47" s="168"/>
    </row>
    <row r="48" spans="1:19" ht="15.75" customHeight="1">
      <c r="A48" s="214">
        <v>37</v>
      </c>
      <c r="B48" s="28" t="s">
        <v>189</v>
      </c>
      <c r="C48" s="28"/>
      <c r="D48" s="28"/>
      <c r="E48" s="155">
        <f t="shared" ref="E48:J48" si="15">SUM(E10:E47)</f>
        <v>155763</v>
      </c>
      <c r="F48" s="155">
        <f t="shared" si="15"/>
        <v>325154</v>
      </c>
      <c r="G48" s="155">
        <f t="shared" si="15"/>
        <v>1332351</v>
      </c>
      <c r="H48" s="155">
        <f t="shared" si="15"/>
        <v>-494437</v>
      </c>
      <c r="I48" s="155">
        <f t="shared" si="15"/>
        <v>6880</v>
      </c>
      <c r="J48" s="155">
        <f t="shared" si="15"/>
        <v>-254441</v>
      </c>
      <c r="K48" s="168"/>
      <c r="L48" s="155">
        <f>SUM(L10:L47)</f>
        <v>590353</v>
      </c>
      <c r="N48" s="155">
        <f>SUM(N10:N47)</f>
        <v>169379</v>
      </c>
      <c r="P48" s="168"/>
    </row>
    <row r="49" spans="1:19">
      <c r="A49" s="30"/>
      <c r="B49" s="28"/>
      <c r="C49" s="28"/>
      <c r="D49" s="28"/>
      <c r="E49" s="44"/>
      <c r="F49" s="129"/>
      <c r="G49" s="129"/>
      <c r="H49" s="130"/>
      <c r="I49" s="130"/>
      <c r="J49" s="31"/>
      <c r="K49" s="146"/>
      <c r="L49" s="28"/>
    </row>
    <row r="50" spans="1:19">
      <c r="A50" s="862" t="s">
        <v>295</v>
      </c>
      <c r="B50" s="862"/>
      <c r="C50" s="862"/>
      <c r="D50" s="862"/>
      <c r="E50" s="862"/>
      <c r="F50" s="862"/>
      <c r="G50" s="862"/>
      <c r="H50" s="862"/>
      <c r="I50" s="408"/>
      <c r="J50" s="146"/>
      <c r="K50" s="146"/>
      <c r="L50" s="37"/>
    </row>
    <row r="51" spans="1:19">
      <c r="H51" s="26"/>
      <c r="I51" s="26"/>
      <c r="J51" s="31"/>
      <c r="K51" s="146"/>
      <c r="L51" s="28"/>
    </row>
    <row r="52" spans="1:19">
      <c r="A52" s="862" t="s">
        <v>273</v>
      </c>
      <c r="B52" s="862"/>
      <c r="C52" s="862"/>
      <c r="D52" s="862"/>
      <c r="E52" s="862"/>
      <c r="F52" s="862"/>
      <c r="G52" s="862"/>
      <c r="H52" s="862"/>
      <c r="I52" s="408"/>
      <c r="J52" s="31"/>
      <c r="K52" s="146"/>
      <c r="L52" s="28"/>
    </row>
    <row r="53" spans="1:19">
      <c r="H53" s="26"/>
      <c r="I53" s="26"/>
      <c r="J53" s="31"/>
      <c r="K53" s="146"/>
      <c r="L53" s="28"/>
    </row>
    <row r="54" spans="1:19">
      <c r="A54" s="30" t="s">
        <v>8</v>
      </c>
      <c r="F54" s="30" t="s">
        <v>258</v>
      </c>
      <c r="G54" s="30" t="s">
        <v>232</v>
      </c>
      <c r="H54" s="26"/>
      <c r="I54" s="26"/>
      <c r="J54" s="31"/>
      <c r="K54" s="146"/>
      <c r="L54" s="28"/>
    </row>
    <row r="55" spans="1:19">
      <c r="A55" s="30">
        <v>1</v>
      </c>
      <c r="B55" s="26" t="s">
        <v>241</v>
      </c>
      <c r="C55" s="26" t="s">
        <v>185</v>
      </c>
      <c r="D55" s="23"/>
      <c r="F55" s="157">
        <f>SUM(G48:J48)</f>
        <v>590353</v>
      </c>
      <c r="H55" s="26"/>
      <c r="I55" s="26"/>
      <c r="J55" s="31"/>
      <c r="K55" s="146"/>
      <c r="L55" s="28"/>
    </row>
    <row r="56" spans="1:19">
      <c r="A56" s="30"/>
      <c r="D56" s="23"/>
      <c r="F56" s="39"/>
      <c r="H56" s="26"/>
      <c r="I56" s="26"/>
      <c r="J56" s="31"/>
      <c r="K56" s="146"/>
      <c r="L56" s="28"/>
    </row>
    <row r="57" spans="1:19">
      <c r="A57" s="30">
        <v>2</v>
      </c>
      <c r="B57" s="26" t="s">
        <v>294</v>
      </c>
      <c r="C57" s="167" t="s">
        <v>130</v>
      </c>
      <c r="D57" s="23"/>
      <c r="F57" s="201">
        <f>'Exh. No. BGM-3 2'!N14</f>
        <v>7.0800000000000002E-2</v>
      </c>
      <c r="G57" s="169">
        <f>'Exh. No. BGM-3 2'!O13</f>
        <v>2.6800000000000001E-2</v>
      </c>
      <c r="H57" s="26"/>
      <c r="I57" s="26"/>
      <c r="J57" s="31"/>
      <c r="K57" s="146"/>
      <c r="L57" s="28"/>
    </row>
    <row r="58" spans="1:19">
      <c r="A58" s="30"/>
      <c r="D58" s="23"/>
      <c r="F58" s="202"/>
      <c r="H58" s="26"/>
      <c r="I58" s="26"/>
      <c r="J58" s="31"/>
      <c r="K58" s="146"/>
      <c r="L58" s="28"/>
    </row>
    <row r="59" spans="1:19">
      <c r="A59" s="30">
        <v>3</v>
      </c>
      <c r="B59" s="26" t="s">
        <v>24</v>
      </c>
      <c r="C59" s="26" t="s">
        <v>131</v>
      </c>
      <c r="D59" s="23"/>
      <c r="F59" s="39">
        <f>F55*F57</f>
        <v>41796.992400000003</v>
      </c>
      <c r="H59" s="26"/>
      <c r="I59" s="26"/>
      <c r="J59" s="31"/>
      <c r="K59" s="146"/>
      <c r="L59" s="28"/>
    </row>
    <row r="60" spans="1:19">
      <c r="A60" s="30"/>
      <c r="D60" s="23"/>
      <c r="F60" s="39"/>
      <c r="H60" s="26"/>
      <c r="I60" s="26"/>
      <c r="J60" s="31"/>
      <c r="K60" s="146"/>
      <c r="L60" s="28"/>
    </row>
    <row r="61" spans="1:19">
      <c r="A61" s="30">
        <v>4</v>
      </c>
      <c r="B61" s="26" t="s">
        <v>233</v>
      </c>
      <c r="C61" s="26" t="s">
        <v>131</v>
      </c>
      <c r="D61" s="23"/>
      <c r="F61" s="39">
        <f>F55*G57*-0.35</f>
        <v>-5537.5111399999996</v>
      </c>
      <c r="H61" s="26"/>
      <c r="I61" s="26"/>
      <c r="J61" s="31"/>
      <c r="K61" s="146"/>
      <c r="L61" s="28"/>
    </row>
    <row r="62" spans="1:19">
      <c r="A62" s="30"/>
      <c r="C62" s="26" t="s">
        <v>234</v>
      </c>
      <c r="D62" s="23"/>
      <c r="F62" s="39"/>
      <c r="H62" s="26"/>
      <c r="I62" s="26"/>
      <c r="J62" s="31"/>
      <c r="K62" s="146"/>
      <c r="L62" s="28"/>
      <c r="M62" s="28"/>
      <c r="N62" s="28"/>
      <c r="O62" s="28"/>
      <c r="P62" s="37"/>
      <c r="Q62" s="37"/>
      <c r="R62" s="28"/>
      <c r="S62" s="27"/>
    </row>
    <row r="63" spans="1:19">
      <c r="A63" s="30"/>
      <c r="D63" s="23"/>
      <c r="F63" s="39"/>
      <c r="H63" s="26"/>
      <c r="I63" s="26"/>
      <c r="J63" s="131"/>
      <c r="K63" s="217"/>
      <c r="L63" s="42"/>
      <c r="M63" s="28"/>
      <c r="N63" s="28"/>
      <c r="O63" s="28"/>
      <c r="P63" s="36"/>
      <c r="Q63" s="36"/>
      <c r="R63" s="46"/>
      <c r="S63" s="27"/>
    </row>
    <row r="64" spans="1:19">
      <c r="A64" s="30">
        <v>5</v>
      </c>
      <c r="B64" s="26" t="s">
        <v>235</v>
      </c>
      <c r="C64" s="26" t="s">
        <v>131</v>
      </c>
      <c r="D64" s="23"/>
      <c r="F64" s="203">
        <f>F48-E48</f>
        <v>169391</v>
      </c>
      <c r="H64" s="26"/>
      <c r="I64" s="26"/>
      <c r="J64" s="131"/>
      <c r="K64" s="146"/>
      <c r="L64" s="28"/>
      <c r="M64" s="28"/>
      <c r="N64" s="28"/>
      <c r="O64" s="28"/>
      <c r="P64" s="36"/>
      <c r="Q64" s="36"/>
      <c r="R64" s="46"/>
      <c r="S64" s="27"/>
    </row>
    <row r="65" spans="1:13">
      <c r="A65" s="30"/>
      <c r="C65" s="26" t="s">
        <v>236</v>
      </c>
      <c r="D65" s="23"/>
      <c r="F65" s="36"/>
      <c r="H65" s="26"/>
      <c r="I65" s="26"/>
      <c r="J65" s="26"/>
      <c r="K65" s="26"/>
    </row>
    <row r="66" spans="1:13">
      <c r="A66" s="30"/>
      <c r="D66" s="23"/>
      <c r="F66" s="36"/>
      <c r="H66" s="26"/>
      <c r="I66" s="26"/>
      <c r="J66" s="26"/>
      <c r="K66" s="26"/>
    </row>
    <row r="67" spans="1:13">
      <c r="A67" s="30">
        <v>6</v>
      </c>
      <c r="B67" s="26" t="s">
        <v>233</v>
      </c>
      <c r="C67" s="26" t="s">
        <v>131</v>
      </c>
      <c r="D67" s="23"/>
      <c r="F67" s="39">
        <f>F64*-0.35</f>
        <v>-59286.85</v>
      </c>
      <c r="H67" s="26"/>
      <c r="I67" s="26"/>
      <c r="J67" s="26"/>
      <c r="K67" s="26"/>
    </row>
    <row r="68" spans="1:13">
      <c r="A68" s="30"/>
      <c r="C68" s="26" t="s">
        <v>237</v>
      </c>
      <c r="D68" s="23"/>
      <c r="H68" s="26"/>
      <c r="I68" s="26"/>
      <c r="J68" s="26"/>
      <c r="K68" s="26"/>
    </row>
    <row r="69" spans="1:13">
      <c r="A69" s="30"/>
      <c r="D69" s="23"/>
      <c r="H69" s="26"/>
      <c r="I69" s="26"/>
      <c r="J69" s="26"/>
      <c r="K69" s="26"/>
    </row>
    <row r="70" spans="1:13">
      <c r="A70" s="30">
        <v>7</v>
      </c>
      <c r="B70" s="26" t="s">
        <v>238</v>
      </c>
      <c r="C70" s="26" t="s">
        <v>131</v>
      </c>
      <c r="D70" s="23"/>
      <c r="F70" s="39">
        <f>SUM(F59:F68)</f>
        <v>146363.63125999999</v>
      </c>
      <c r="H70" s="26"/>
      <c r="I70" s="26"/>
      <c r="J70" s="26"/>
      <c r="K70" s="26"/>
    </row>
    <row r="71" spans="1:13">
      <c r="A71" s="30"/>
      <c r="D71" s="23"/>
      <c r="H71" s="26"/>
      <c r="I71" s="26"/>
      <c r="J71" s="26"/>
      <c r="K71" s="26"/>
    </row>
    <row r="72" spans="1:13">
      <c r="A72" s="30">
        <v>8</v>
      </c>
      <c r="B72" s="26" t="s">
        <v>240</v>
      </c>
      <c r="C72" s="26" t="s">
        <v>239</v>
      </c>
      <c r="D72" s="23"/>
      <c r="F72" s="26">
        <f>1-0.35</f>
        <v>0.65</v>
      </c>
      <c r="H72" s="26"/>
      <c r="I72" s="26"/>
      <c r="J72" s="26"/>
      <c r="K72" s="26"/>
    </row>
    <row r="73" spans="1:13" ht="13.5" thickBot="1">
      <c r="A73" s="30"/>
      <c r="D73" s="23"/>
      <c r="H73" s="26"/>
      <c r="I73" s="26"/>
      <c r="J73" s="468"/>
      <c r="K73" s="26"/>
    </row>
    <row r="74" spans="1:13" ht="13.5" thickBot="1">
      <c r="A74" s="30">
        <v>9</v>
      </c>
      <c r="B74" s="26" t="s">
        <v>241</v>
      </c>
      <c r="C74" s="26" t="s">
        <v>139</v>
      </c>
      <c r="D74" s="23"/>
      <c r="F74" s="189">
        <f>F70/F72</f>
        <v>225174.81732307692</v>
      </c>
      <c r="G74" s="39"/>
      <c r="H74" s="26"/>
      <c r="I74" s="26"/>
      <c r="J74" s="26"/>
      <c r="K74" s="26"/>
    </row>
    <row r="75" spans="1:13">
      <c r="H75" s="26"/>
      <c r="I75" s="26"/>
      <c r="J75" s="157"/>
      <c r="K75" s="26"/>
    </row>
    <row r="76" spans="1:13">
      <c r="A76" s="30">
        <v>10</v>
      </c>
      <c r="B76" s="156" t="s">
        <v>289</v>
      </c>
      <c r="F76" s="468">
        <v>5571472.3669999996</v>
      </c>
      <c r="G76" s="157"/>
      <c r="J76" s="26"/>
      <c r="K76" s="26"/>
    </row>
    <row r="77" spans="1:13">
      <c r="A77"/>
      <c r="D77" s="23"/>
      <c r="H77" s="26"/>
      <c r="I77" s="26"/>
      <c r="J77" s="26"/>
      <c r="K77" s="26"/>
    </row>
    <row r="78" spans="1:13" ht="14.25" customHeight="1">
      <c r="A78" s="469">
        <v>11</v>
      </c>
      <c r="B78" s="26" t="s">
        <v>641</v>
      </c>
      <c r="F78" s="472">
        <f>F74/F76</f>
        <v>4.0415675155600558E-2</v>
      </c>
      <c r="H78" s="26"/>
      <c r="I78" s="26"/>
      <c r="J78" s="39"/>
      <c r="K78" s="473"/>
    </row>
    <row r="79" spans="1:13">
      <c r="H79" s="26"/>
      <c r="I79" s="26"/>
      <c r="J79" s="26"/>
      <c r="K79" s="26"/>
    </row>
    <row r="80" spans="1:13">
      <c r="A80" s="469">
        <v>12</v>
      </c>
      <c r="B80" s="26" t="s">
        <v>642</v>
      </c>
      <c r="F80" s="208">
        <f>166841.645+31981.271</f>
        <v>198822.916</v>
      </c>
      <c r="J80" s="26"/>
      <c r="K80" s="170">
        <f>F80/F82</f>
        <v>0.68729998868090691</v>
      </c>
      <c r="L80" s="170">
        <v>0.68730000000000002</v>
      </c>
      <c r="M80" s="26" t="s">
        <v>649</v>
      </c>
    </row>
    <row r="81" spans="1:11" ht="12.75" customHeight="1">
      <c r="F81" s="208"/>
      <c r="H81" s="26"/>
      <c r="I81" s="26"/>
      <c r="J81" s="26"/>
      <c r="K81" s="26"/>
    </row>
    <row r="82" spans="1:11">
      <c r="A82" s="469">
        <v>13</v>
      </c>
      <c r="B82" s="26" t="s">
        <v>643</v>
      </c>
      <c r="F82" s="208">
        <f>242749.374+46531.754</f>
        <v>289281.12800000003</v>
      </c>
      <c r="H82" s="26"/>
      <c r="I82" s="26"/>
      <c r="J82" s="26"/>
      <c r="K82" s="26"/>
    </row>
    <row r="83" spans="1:11" ht="13.5" thickBot="1">
      <c r="H83" s="26"/>
      <c r="I83" s="26"/>
      <c r="J83" s="26"/>
      <c r="K83" s="26"/>
    </row>
    <row r="84" spans="1:11" ht="12.75" customHeight="1" thickBot="1">
      <c r="A84" s="469">
        <v>14</v>
      </c>
      <c r="B84" s="26" t="s">
        <v>644</v>
      </c>
      <c r="F84" s="512">
        <f>F78*F80/F82</f>
        <v>2.7777693076975474E-2</v>
      </c>
      <c r="G84" s="167" t="s">
        <v>687</v>
      </c>
      <c r="H84" s="167"/>
      <c r="I84" s="167"/>
      <c r="J84" s="208"/>
      <c r="K84" s="473"/>
    </row>
    <row r="85" spans="1:11">
      <c r="G85" s="167" t="s">
        <v>688</v>
      </c>
      <c r="H85" s="167"/>
      <c r="I85" s="167"/>
      <c r="J85" s="208"/>
      <c r="K85" s="26"/>
    </row>
    <row r="86" spans="1:11">
      <c r="G86" s="167" t="s">
        <v>689</v>
      </c>
      <c r="H86" s="167"/>
      <c r="I86" s="167"/>
      <c r="J86" s="167"/>
      <c r="K86" s="26"/>
    </row>
    <row r="87" spans="1:11">
      <c r="H87" s="26"/>
      <c r="I87" s="26"/>
      <c r="J87" s="26"/>
      <c r="K87" s="26"/>
    </row>
    <row r="88" spans="1:11">
      <c r="H88" s="26"/>
      <c r="I88" s="26"/>
      <c r="J88" s="26"/>
      <c r="K88" s="26"/>
    </row>
    <row r="89" spans="1:11">
      <c r="C89" s="470"/>
      <c r="H89" s="26"/>
      <c r="I89" s="26"/>
      <c r="J89" s="26"/>
      <c r="K89" s="26"/>
    </row>
    <row r="90" spans="1:11">
      <c r="C90" s="471"/>
      <c r="H90" s="26"/>
      <c r="I90" s="26"/>
      <c r="J90" s="26"/>
      <c r="K90" s="26"/>
    </row>
    <row r="91" spans="1:11">
      <c r="D91" s="471"/>
      <c r="E91" s="497" t="s">
        <v>679</v>
      </c>
      <c r="F91" s="471"/>
      <c r="G91" s="471"/>
      <c r="I91" s="471"/>
      <c r="J91" s="26"/>
      <c r="K91" s="26"/>
    </row>
    <row r="92" spans="1:11">
      <c r="D92" s="471"/>
      <c r="I92" s="26"/>
      <c r="J92" s="26"/>
      <c r="K92" s="26"/>
    </row>
    <row r="93" spans="1:11">
      <c r="I93" s="26"/>
      <c r="J93" s="26"/>
      <c r="K93" s="26"/>
    </row>
    <row r="94" spans="1:11">
      <c r="B94" s="438" t="s">
        <v>8</v>
      </c>
      <c r="C94" s="471" t="s">
        <v>80</v>
      </c>
      <c r="D94" s="471"/>
      <c r="E94" s="471"/>
      <c r="F94" s="471"/>
      <c r="G94" s="471" t="s">
        <v>126</v>
      </c>
      <c r="I94" s="471"/>
      <c r="J94" s="26"/>
      <c r="K94" s="26"/>
    </row>
    <row r="95" spans="1:11">
      <c r="B95" s="438"/>
      <c r="I95" s="26"/>
      <c r="J95" s="26"/>
      <c r="K95" s="26"/>
    </row>
    <row r="96" spans="1:11" ht="12" customHeight="1">
      <c r="B96" s="438">
        <v>1</v>
      </c>
      <c r="C96" s="26" t="s">
        <v>680</v>
      </c>
      <c r="G96" s="468">
        <v>5689806.233</v>
      </c>
      <c r="I96" s="26"/>
      <c r="J96" s="26"/>
      <c r="K96" s="26"/>
    </row>
    <row r="97" spans="2:19">
      <c r="B97" s="438"/>
      <c r="I97" s="26"/>
      <c r="J97" s="26"/>
      <c r="K97" s="26"/>
    </row>
    <row r="98" spans="2:19">
      <c r="B98" s="438">
        <v>2</v>
      </c>
      <c r="C98" s="156" t="s">
        <v>645</v>
      </c>
      <c r="G98" s="157">
        <f>F76</f>
        <v>5571472.3669999996</v>
      </c>
      <c r="I98" s="26"/>
      <c r="J98" s="26"/>
      <c r="K98" s="26"/>
    </row>
    <row r="99" spans="2:19">
      <c r="B99" s="438"/>
      <c r="I99" s="26"/>
      <c r="J99" s="26"/>
      <c r="K99" s="26"/>
    </row>
    <row r="100" spans="2:19">
      <c r="B100" s="438">
        <v>3</v>
      </c>
      <c r="C100" s="26" t="s">
        <v>681</v>
      </c>
      <c r="G100" s="157">
        <f>G96-G98</f>
        <v>118333.86600000039</v>
      </c>
      <c r="I100" s="26"/>
      <c r="J100" s="26"/>
      <c r="K100" s="26"/>
    </row>
    <row r="101" spans="2:19">
      <c r="B101" s="438"/>
      <c r="I101" s="26"/>
      <c r="J101" s="26"/>
      <c r="K101" s="26"/>
    </row>
    <row r="102" spans="2:19" ht="12.75" customHeight="1">
      <c r="B102" s="438">
        <v>4</v>
      </c>
      <c r="C102" s="26" t="s">
        <v>646</v>
      </c>
      <c r="G102" s="474">
        <f>F84</f>
        <v>2.7777693076975474E-2</v>
      </c>
      <c r="I102" s="26"/>
      <c r="J102" s="26"/>
      <c r="K102" s="26"/>
    </row>
    <row r="103" spans="2:19">
      <c r="B103" s="438"/>
      <c r="I103" s="26"/>
      <c r="J103" s="26"/>
      <c r="K103" s="26"/>
    </row>
    <row r="104" spans="2:19">
      <c r="B104" s="438">
        <v>5</v>
      </c>
      <c r="C104" s="26" t="s">
        <v>682</v>
      </c>
      <c r="G104" s="473">
        <f>-G100*G102</f>
        <v>-3287.0418103599541</v>
      </c>
      <c r="I104" s="37"/>
      <c r="J104" s="26"/>
      <c r="K104" s="26"/>
    </row>
    <row r="105" spans="2:19">
      <c r="B105" s="438"/>
      <c r="I105" s="26"/>
      <c r="J105" s="26"/>
      <c r="K105" s="26"/>
    </row>
    <row r="106" spans="2:19">
      <c r="B106" s="438">
        <v>6</v>
      </c>
      <c r="C106" s="26" t="s">
        <v>647</v>
      </c>
      <c r="G106" s="474">
        <f>F78</f>
        <v>4.0415675155600558E-2</v>
      </c>
      <c r="I106" s="26"/>
      <c r="J106" s="26"/>
      <c r="K106" s="26"/>
    </row>
    <row r="107" spans="2:19">
      <c r="B107" s="438"/>
      <c r="I107" s="26"/>
      <c r="J107" s="26"/>
      <c r="K107" s="26"/>
    </row>
    <row r="108" spans="2:19">
      <c r="B108" s="438">
        <v>7</v>
      </c>
      <c r="C108" s="26" t="s">
        <v>683</v>
      </c>
      <c r="G108" s="473">
        <f>-G100*G106</f>
        <v>-4782.5430881623815</v>
      </c>
      <c r="I108" s="37"/>
      <c r="J108" s="26"/>
      <c r="K108" s="26"/>
    </row>
    <row r="109" spans="2:19" ht="13.5" thickBot="1">
      <c r="B109" s="438"/>
      <c r="I109" s="26"/>
      <c r="J109" s="26"/>
      <c r="K109" s="26"/>
    </row>
    <row r="110" spans="2:19" ht="14.25" thickTop="1" thickBot="1">
      <c r="B110" s="438">
        <v>8</v>
      </c>
      <c r="C110" s="26" t="s">
        <v>684</v>
      </c>
      <c r="G110" s="476">
        <f>G104-G108</f>
        <v>1495.5012778024275</v>
      </c>
      <c r="I110" s="26"/>
      <c r="J110" s="26"/>
      <c r="K110" s="26"/>
    </row>
    <row r="111" spans="2:19" ht="13.5" thickTop="1">
      <c r="I111" s="26"/>
      <c r="J111" s="26"/>
      <c r="K111" s="26"/>
    </row>
    <row r="112" spans="2:19" ht="12" customHeight="1">
      <c r="G112" s="58"/>
      <c r="J112" s="31"/>
      <c r="L112" s="28"/>
      <c r="M112" s="28"/>
      <c r="N112" s="28"/>
      <c r="O112" s="28"/>
      <c r="P112" s="37"/>
      <c r="Q112" s="37"/>
      <c r="R112" s="28"/>
      <c r="S112" s="27"/>
    </row>
    <row r="113" spans="1:6" ht="12" customHeight="1">
      <c r="A113" s="471"/>
      <c r="F113" s="475"/>
    </row>
  </sheetData>
  <mergeCells count="3">
    <mergeCell ref="A50:H50"/>
    <mergeCell ref="A52:H52"/>
    <mergeCell ref="E8:J8"/>
  </mergeCells>
  <phoneticPr fontId="0" type="noConversion"/>
  <pageMargins left="1.1000000000000001" right="0.75" top="0.75" bottom="0.75" header="0.5" footer="0.5"/>
  <pageSetup scale="72" orientation="landscape" horizontalDpi="4294967292" r:id="rId1"/>
  <headerFooter alignWithMargins="0">
    <oddHeader xml:space="preserve">&amp;C
</oddHeader>
    <oddFooter>&amp;L&amp;F / &amp;A&amp;RPage &amp;P of &amp;N</oddFooter>
  </headerFooter>
  <rowBreaks count="2" manualBreakCount="2">
    <brk id="49" max="9" man="1"/>
    <brk id="90" max="9"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92"/>
  <sheetViews>
    <sheetView view="pageBreakPreview" zoomScale="115" zoomScaleNormal="100" zoomScaleSheetLayoutView="115" workbookViewId="0">
      <selection activeCell="D34" sqref="D34"/>
    </sheetView>
  </sheetViews>
  <sheetFormatPr defaultColWidth="9.140625" defaultRowHeight="12.75"/>
  <cols>
    <col min="1" max="1" width="4.7109375" style="540" customWidth="1"/>
    <col min="2" max="3" width="1.7109375" style="539" customWidth="1"/>
    <col min="4" max="4" width="38.28515625" style="539" customWidth="1"/>
    <col min="5" max="5" width="11.7109375" style="279" customWidth="1"/>
    <col min="6" max="6" width="13.7109375" style="279" customWidth="1"/>
    <col min="7" max="7" width="11.7109375" style="279" customWidth="1"/>
    <col min="8" max="8" width="12.85546875" style="279" customWidth="1"/>
    <col min="9" max="9" width="15" style="279" customWidth="1"/>
    <col min="10" max="10" width="13.85546875" style="279" customWidth="1"/>
    <col min="11" max="11" width="9.140625" style="26"/>
    <col min="12" max="12" width="10.5703125" style="26" customWidth="1"/>
    <col min="13" max="13" width="9.140625" style="26"/>
    <col min="14" max="14" width="11.140625" style="26" bestFit="1" customWidth="1"/>
    <col min="15" max="16" width="9.140625" style="26"/>
    <col min="17" max="17" width="11.140625" style="26" bestFit="1" customWidth="1"/>
    <col min="18" max="18" width="9.140625" style="55"/>
    <col min="19" max="37" width="9.140625" style="26"/>
    <col min="38" max="38" width="14.7109375" style="26" customWidth="1"/>
    <col min="39" max="16384" width="9.140625" style="26"/>
  </cols>
  <sheetData>
    <row r="1" spans="1:23">
      <c r="A1" s="538">
        <f>'Exh. No. BGM-3 4'!A2</f>
        <v>0</v>
      </c>
      <c r="D1" s="540"/>
      <c r="E1" s="855"/>
      <c r="F1" s="855"/>
    </row>
    <row r="2" spans="1:23">
      <c r="A2" s="538" t="str">
        <f>'Exh. No. BGM-3 4'!A3</f>
        <v xml:space="preserve">WASHINGTON ELECTRIC RESULTS - PRO FORMA </v>
      </c>
      <c r="D2" s="540"/>
      <c r="F2" s="662"/>
      <c r="G2" s="480"/>
      <c r="H2" s="480"/>
      <c r="I2" s="480"/>
      <c r="J2" s="480"/>
    </row>
    <row r="3" spans="1:23" ht="1.5" customHeight="1">
      <c r="A3" s="704"/>
      <c r="D3" s="540"/>
      <c r="F3" s="480"/>
      <c r="G3" s="480"/>
      <c r="H3" s="480"/>
      <c r="I3" s="480"/>
      <c r="J3" s="480"/>
    </row>
    <row r="4" spans="1:23">
      <c r="A4" s="538" t="str">
        <f>'Exh. No. BGM-3 4'!A5</f>
        <v>TWELVE MONTHS ENDED DECEMBER 31, 2016</v>
      </c>
      <c r="D4" s="540"/>
      <c r="F4" s="480"/>
      <c r="G4" s="480"/>
      <c r="H4" s="480"/>
      <c r="I4" s="480"/>
      <c r="J4" s="480"/>
    </row>
    <row r="5" spans="1:23" ht="14.25">
      <c r="A5" s="881" t="str">
        <f>'Exh. No. BGM-3 4'!A6</f>
        <v xml:space="preserve">(000'S OF DOLLARS)  </v>
      </c>
      <c r="B5" s="881"/>
      <c r="C5" s="881"/>
      <c r="D5" s="881"/>
      <c r="E5" s="876" t="s">
        <v>741</v>
      </c>
      <c r="F5" s="877"/>
      <c r="G5" s="877"/>
      <c r="H5" s="877"/>
      <c r="I5" s="877"/>
      <c r="J5" s="878"/>
    </row>
    <row r="6" spans="1:23">
      <c r="A6" s="26"/>
      <c r="B6" s="542"/>
      <c r="C6" s="542"/>
      <c r="D6" s="541"/>
      <c r="E6" s="292"/>
      <c r="F6" s="660"/>
      <c r="G6" s="661"/>
      <c r="H6" s="661"/>
      <c r="I6" s="292" t="s">
        <v>746</v>
      </c>
      <c r="J6" s="294"/>
      <c r="W6" s="513"/>
    </row>
    <row r="7" spans="1:23">
      <c r="A7" s="543"/>
      <c r="B7" s="544"/>
      <c r="C7" s="545"/>
      <c r="D7" s="9"/>
      <c r="E7" s="658" t="s">
        <v>721</v>
      </c>
      <c r="F7" s="670" t="s">
        <v>741</v>
      </c>
      <c r="G7" s="670" t="s">
        <v>741</v>
      </c>
      <c r="H7" s="667" t="s">
        <v>731</v>
      </c>
      <c r="I7" s="659" t="s">
        <v>745</v>
      </c>
      <c r="J7" s="702" t="s">
        <v>741</v>
      </c>
    </row>
    <row r="8" spans="1:23">
      <c r="A8" s="546" t="s">
        <v>8</v>
      </c>
      <c r="B8" s="547"/>
      <c r="C8" s="548"/>
      <c r="D8" s="13"/>
      <c r="E8" s="663" t="s">
        <v>7</v>
      </c>
      <c r="F8" s="297" t="s">
        <v>137</v>
      </c>
      <c r="G8" s="297" t="s">
        <v>736</v>
      </c>
      <c r="H8" s="297" t="s">
        <v>173</v>
      </c>
      <c r="I8" s="665" t="s">
        <v>173</v>
      </c>
      <c r="J8" s="297" t="s">
        <v>172</v>
      </c>
    </row>
    <row r="9" spans="1:23">
      <c r="A9" s="549" t="s">
        <v>21</v>
      </c>
      <c r="B9" s="550"/>
      <c r="C9" s="551"/>
      <c r="D9" s="17" t="s">
        <v>22</v>
      </c>
      <c r="E9" s="664" t="s">
        <v>737</v>
      </c>
      <c r="F9" s="299" t="s">
        <v>148</v>
      </c>
      <c r="G9" s="299" t="s">
        <v>137</v>
      </c>
      <c r="H9" s="299" t="s">
        <v>174</v>
      </c>
      <c r="I9" s="666" t="s">
        <v>174</v>
      </c>
      <c r="J9" s="299" t="s">
        <v>137</v>
      </c>
    </row>
    <row r="10" spans="1:23">
      <c r="A10" s="18"/>
      <c r="B10" s="19"/>
      <c r="C10" s="19"/>
      <c r="D10" s="19" t="s">
        <v>34</v>
      </c>
      <c r="E10" s="301" t="s">
        <v>35</v>
      </c>
      <c r="F10" s="301" t="s">
        <v>36</v>
      </c>
      <c r="G10" s="301" t="s">
        <v>37</v>
      </c>
      <c r="H10" s="301" t="s">
        <v>38</v>
      </c>
      <c r="I10" s="301" t="s">
        <v>39</v>
      </c>
      <c r="J10" s="301" t="s">
        <v>732</v>
      </c>
    </row>
    <row r="11" spans="1:23" ht="5.25" customHeight="1"/>
    <row r="12" spans="1:23" ht="5.25" customHeight="1"/>
    <row r="13" spans="1:23" ht="5.25" customHeight="1"/>
    <row r="14" spans="1:23">
      <c r="B14" s="539" t="s">
        <v>40</v>
      </c>
    </row>
    <row r="15" spans="1:23">
      <c r="A15" s="552">
        <v>1</v>
      </c>
      <c r="B15" s="553" t="s">
        <v>41</v>
      </c>
      <c r="C15" s="553"/>
      <c r="D15" s="553"/>
      <c r="E15" s="553">
        <f>'PROPOSED RATES-2018-NOT USED'!G14</f>
        <v>491188</v>
      </c>
      <c r="F15" s="553" t="e">
        <f>G15-E15</f>
        <v>#REF!</v>
      </c>
      <c r="G15" s="553" t="e">
        <f>'Exh. No. BGM-3 4'!#REF!</f>
        <v>#REF!</v>
      </c>
      <c r="H15" s="582">
        <f>'Exh. No. BGM-3 3'!J9</f>
        <v>196.52699999999999</v>
      </c>
      <c r="I15" s="582" t="e">
        <f>'Exh. No. BGM-3 3'!K9</f>
        <v>#REF!</v>
      </c>
      <c r="J15" s="553" t="e">
        <f>G15+I15+H15</f>
        <v>#REF!</v>
      </c>
    </row>
    <row r="16" spans="1:23">
      <c r="A16" s="552">
        <v>2</v>
      </c>
      <c r="B16" s="554" t="s">
        <v>42</v>
      </c>
      <c r="C16" s="554"/>
      <c r="D16" s="554"/>
      <c r="E16" s="494">
        <f>'PROPOSED RATES-2018-NOT USED'!G15</f>
        <v>946</v>
      </c>
      <c r="F16" s="565" t="e">
        <f>G16-E16</f>
        <v>#REF!</v>
      </c>
      <c r="G16" s="565" t="e">
        <f>'Exh. No. BGM-3 4'!#REF!</f>
        <v>#REF!</v>
      </c>
      <c r="H16" s="565" t="e">
        <f>'Exh. No. BGM-3 4'!#REF!</f>
        <v>#REF!</v>
      </c>
      <c r="I16" s="565"/>
      <c r="J16" s="494" t="e">
        <f>G16+I16+H16</f>
        <v>#REF!</v>
      </c>
    </row>
    <row r="17" spans="1:13">
      <c r="A17" s="552">
        <v>3</v>
      </c>
      <c r="B17" s="554" t="s">
        <v>43</v>
      </c>
      <c r="C17" s="554"/>
      <c r="D17" s="554"/>
      <c r="E17" s="668">
        <f>'PROPOSED RATES-2018-NOT USED'!G16</f>
        <v>57325</v>
      </c>
      <c r="F17" s="577" t="e">
        <f>G17-E17</f>
        <v>#REF!</v>
      </c>
      <c r="G17" s="577" t="e">
        <f>'Exh. No. BGM-3 4'!#REF!</f>
        <v>#REF!</v>
      </c>
      <c r="H17" s="577" t="e">
        <f>'Exh. No. BGM-3 4'!#REF!</f>
        <v>#REF!</v>
      </c>
      <c r="I17" s="577"/>
      <c r="J17" s="668" t="e">
        <f>G17+I17+H17</f>
        <v>#REF!</v>
      </c>
    </row>
    <row r="18" spans="1:13">
      <c r="A18" s="552">
        <v>4</v>
      </c>
      <c r="B18" s="554"/>
      <c r="C18" s="554" t="s">
        <v>44</v>
      </c>
      <c r="D18" s="554"/>
      <c r="E18" s="565">
        <f>SUM(E15:E17)</f>
        <v>549459</v>
      </c>
      <c r="F18" s="565" t="e">
        <f>SUM(F15:F17)</f>
        <v>#REF!</v>
      </c>
      <c r="G18" s="565" t="e">
        <f t="shared" ref="G18:J18" si="0">SUM(G15:G17)</f>
        <v>#REF!</v>
      </c>
      <c r="H18" s="565" t="e">
        <f t="shared" ref="H18" si="1">SUM(H15:H17)</f>
        <v>#REF!</v>
      </c>
      <c r="I18" s="565" t="e">
        <f t="shared" si="0"/>
        <v>#REF!</v>
      </c>
      <c r="J18" s="494" t="e">
        <f t="shared" si="0"/>
        <v>#REF!</v>
      </c>
    </row>
    <row r="19" spans="1:13">
      <c r="A19" s="552">
        <v>5</v>
      </c>
      <c r="B19" s="554" t="s">
        <v>45</v>
      </c>
      <c r="C19" s="554"/>
      <c r="D19" s="554"/>
      <c r="E19" s="668">
        <f>'PROPOSED RATES-2018-NOT USED'!G18</f>
        <v>13300</v>
      </c>
      <c r="F19" s="577" t="e">
        <f>G19-E19</f>
        <v>#REF!</v>
      </c>
      <c r="G19" s="577" t="e">
        <f>'Exh. No. BGM-3 4'!#REF!</f>
        <v>#REF!</v>
      </c>
      <c r="H19" s="577" t="e">
        <f>'Exh. No. BGM-3 4'!#REF!</f>
        <v>#REF!</v>
      </c>
      <c r="I19" s="577"/>
      <c r="J19" s="668" t="e">
        <f>G19+I19+H19</f>
        <v>#REF!</v>
      </c>
    </row>
    <row r="20" spans="1:13">
      <c r="A20" s="552">
        <v>6</v>
      </c>
      <c r="B20" s="554"/>
      <c r="C20" s="554" t="s">
        <v>46</v>
      </c>
      <c r="D20" s="554"/>
      <c r="E20" s="565">
        <f>SUM(E18:E19)</f>
        <v>562759</v>
      </c>
      <c r="F20" s="565" t="e">
        <f t="shared" ref="F20:J20" si="2">SUM(F18:F19)</f>
        <v>#REF!</v>
      </c>
      <c r="G20" s="565" t="e">
        <f t="shared" si="2"/>
        <v>#REF!</v>
      </c>
      <c r="H20" s="565" t="e">
        <f t="shared" ref="H20" si="3">SUM(H18:H19)</f>
        <v>#REF!</v>
      </c>
      <c r="I20" s="565" t="e">
        <f t="shared" si="2"/>
        <v>#REF!</v>
      </c>
      <c r="J20" s="565" t="e">
        <f t="shared" si="2"/>
        <v>#REF!</v>
      </c>
    </row>
    <row r="21" spans="1:13">
      <c r="A21" s="552"/>
      <c r="B21" s="554"/>
      <c r="C21" s="554"/>
      <c r="D21" s="554"/>
      <c r="E21" s="565"/>
      <c r="F21" s="565"/>
      <c r="G21" s="565"/>
      <c r="H21" s="565"/>
      <c r="I21" s="565"/>
      <c r="J21" s="565"/>
    </row>
    <row r="22" spans="1:13">
      <c r="A22" s="552"/>
      <c r="B22" s="554" t="s">
        <v>47</v>
      </c>
      <c r="C22" s="554"/>
      <c r="D22" s="554"/>
      <c r="E22" s="565"/>
      <c r="F22" s="565"/>
      <c r="G22" s="565"/>
      <c r="H22" s="565"/>
      <c r="I22" s="565"/>
      <c r="J22" s="565"/>
      <c r="M22" s="305"/>
    </row>
    <row r="23" spans="1:13">
      <c r="A23" s="552"/>
      <c r="B23" s="554" t="s">
        <v>48</v>
      </c>
      <c r="C23" s="554"/>
      <c r="D23" s="554"/>
      <c r="E23" s="565"/>
      <c r="F23" s="565"/>
      <c r="G23" s="565"/>
      <c r="H23" s="565"/>
      <c r="I23" s="565"/>
      <c r="J23" s="565"/>
    </row>
    <row r="24" spans="1:13">
      <c r="A24" s="552">
        <v>7</v>
      </c>
      <c r="B24" s="554"/>
      <c r="C24" s="554" t="s">
        <v>49</v>
      </c>
      <c r="D24" s="554"/>
      <c r="E24" s="494">
        <f>'PROPOSED RATES-2018-NOT USED'!G23</f>
        <v>135284.34</v>
      </c>
      <c r="F24" s="565" t="e">
        <f>G24-E24</f>
        <v>#REF!</v>
      </c>
      <c r="G24" s="565" t="e">
        <f>'Exh. No. BGM-3 4'!#REF!</f>
        <v>#REF!</v>
      </c>
      <c r="H24" s="565"/>
      <c r="I24" s="565"/>
      <c r="J24" s="494" t="e">
        <f t="shared" ref="J24:J28" si="4">G24+I24+H24</f>
        <v>#REF!</v>
      </c>
    </row>
    <row r="25" spans="1:13">
      <c r="A25" s="552">
        <v>8</v>
      </c>
      <c r="B25" s="554"/>
      <c r="C25" s="554" t="s">
        <v>50</v>
      </c>
      <c r="D25" s="554"/>
      <c r="E25" s="494">
        <f>'PROPOSED RATES-2018-NOT USED'!G24</f>
        <v>77131</v>
      </c>
      <c r="F25" s="565" t="e">
        <f>G25-E25</f>
        <v>#REF!</v>
      </c>
      <c r="G25" s="565" t="e">
        <f>'Exh. No. BGM-3 4'!#REF!</f>
        <v>#REF!</v>
      </c>
      <c r="H25" s="565"/>
      <c r="I25" s="565"/>
      <c r="J25" s="494" t="e">
        <f t="shared" si="4"/>
        <v>#REF!</v>
      </c>
    </row>
    <row r="26" spans="1:13">
      <c r="A26" s="552">
        <v>9</v>
      </c>
      <c r="B26" s="554"/>
      <c r="C26" s="554" t="s">
        <v>589</v>
      </c>
      <c r="D26" s="554"/>
      <c r="E26" s="494">
        <f>'PROPOSED RATES-2018-NOT USED'!G25</f>
        <v>26806</v>
      </c>
      <c r="F26" s="565" t="e">
        <f>G26-E26</f>
        <v>#REF!</v>
      </c>
      <c r="G26" s="565" t="e">
        <f>'Exh. No. BGM-3 4'!#REF!</f>
        <v>#REF!</v>
      </c>
      <c r="H26" s="565"/>
      <c r="I26" s="565"/>
      <c r="J26" s="494" t="e">
        <f t="shared" si="4"/>
        <v>#REF!</v>
      </c>
      <c r="M26" s="565"/>
    </row>
    <row r="27" spans="1:13">
      <c r="A27" s="552">
        <v>10</v>
      </c>
      <c r="B27" s="554"/>
      <c r="C27" s="554" t="s">
        <v>586</v>
      </c>
      <c r="D27" s="554"/>
      <c r="E27" s="494">
        <f>'PROPOSED RATES-2018-NOT USED'!G26</f>
        <v>3312</v>
      </c>
      <c r="F27" s="565" t="e">
        <f>G27-E27</f>
        <v>#REF!</v>
      </c>
      <c r="G27" s="565" t="e">
        <f>'Exh. No. BGM-3 4'!#REF!</f>
        <v>#REF!</v>
      </c>
      <c r="H27" s="565"/>
      <c r="I27" s="565"/>
      <c r="J27" s="494" t="e">
        <f t="shared" si="4"/>
        <v>#REF!</v>
      </c>
    </row>
    <row r="28" spans="1:13">
      <c r="A28" s="552">
        <v>11</v>
      </c>
      <c r="B28" s="554"/>
      <c r="C28" s="554" t="s">
        <v>27</v>
      </c>
      <c r="D28" s="554"/>
      <c r="E28" s="668">
        <f>'PROPOSED RATES-2018-NOT USED'!G27</f>
        <v>16568</v>
      </c>
      <c r="F28" s="577" t="e">
        <f>G28-E28</f>
        <v>#REF!</v>
      </c>
      <c r="G28" s="577" t="e">
        <f>'Exh. No. BGM-3 4'!#REF!</f>
        <v>#REF!</v>
      </c>
      <c r="H28" s="577"/>
      <c r="I28" s="577"/>
      <c r="J28" s="668" t="e">
        <f t="shared" si="4"/>
        <v>#REF!</v>
      </c>
    </row>
    <row r="29" spans="1:13">
      <c r="A29" s="552">
        <v>12</v>
      </c>
      <c r="B29" s="554"/>
      <c r="C29" s="554"/>
      <c r="D29" s="554" t="s">
        <v>51</v>
      </c>
      <c r="E29" s="565">
        <f>SUM(E24:E28)</f>
        <v>259101.34</v>
      </c>
      <c r="F29" s="565" t="e">
        <f t="shared" ref="F29:J29" si="5">SUM(F24:F28)</f>
        <v>#REF!</v>
      </c>
      <c r="G29" s="565" t="e">
        <f t="shared" si="5"/>
        <v>#REF!</v>
      </c>
      <c r="H29" s="565">
        <f t="shared" ref="H29" si="6">SUM(H24:H28)</f>
        <v>0</v>
      </c>
      <c r="I29" s="565">
        <f t="shared" si="5"/>
        <v>0</v>
      </c>
      <c r="J29" s="565" t="e">
        <f t="shared" si="5"/>
        <v>#REF!</v>
      </c>
    </row>
    <row r="30" spans="1:13" ht="7.5" customHeight="1">
      <c r="A30" s="552"/>
      <c r="B30" s="554"/>
      <c r="C30" s="554"/>
      <c r="D30" s="554"/>
      <c r="E30" s="565"/>
      <c r="F30" s="565"/>
      <c r="G30" s="565"/>
      <c r="H30" s="565"/>
      <c r="I30" s="565"/>
      <c r="J30" s="565"/>
    </row>
    <row r="31" spans="1:13">
      <c r="A31" s="552"/>
      <c r="B31" s="554" t="s">
        <v>52</v>
      </c>
      <c r="C31" s="554"/>
      <c r="D31" s="554"/>
      <c r="E31" s="565"/>
      <c r="F31" s="565"/>
      <c r="G31" s="565"/>
      <c r="H31" s="565"/>
      <c r="I31" s="565"/>
      <c r="J31" s="565"/>
    </row>
    <row r="32" spans="1:13">
      <c r="A32" s="552">
        <v>13</v>
      </c>
      <c r="B32" s="554"/>
      <c r="C32" s="554" t="s">
        <v>49</v>
      </c>
      <c r="D32" s="554"/>
      <c r="E32" s="494">
        <f>'PROPOSED RATES-2018-NOT USED'!G31</f>
        <v>22200.469000000001</v>
      </c>
      <c r="F32" s="565" t="e">
        <f>G32-E32</f>
        <v>#REF!</v>
      </c>
      <c r="G32" s="565" t="e">
        <f>'Exh. No. BGM-3 4'!#REF!</f>
        <v>#REF!</v>
      </c>
      <c r="H32" s="565"/>
      <c r="I32" s="565"/>
      <c r="J32" s="494" t="e">
        <f t="shared" ref="J32:J35" si="7">G32+I32+H32</f>
        <v>#REF!</v>
      </c>
    </row>
    <row r="33" spans="1:10">
      <c r="A33" s="552">
        <v>14</v>
      </c>
      <c r="B33" s="554"/>
      <c r="C33" s="554" t="s">
        <v>589</v>
      </c>
      <c r="D33" s="554"/>
      <c r="E33" s="494">
        <f>'PROPOSED RATES-2018-NOT USED'!G32</f>
        <v>26944</v>
      </c>
      <c r="F33" s="565" t="e">
        <f>G33-E33</f>
        <v>#REF!</v>
      </c>
      <c r="G33" s="565" t="e">
        <f>'Exh. No. BGM-3 4'!#REF!</f>
        <v>#REF!</v>
      </c>
      <c r="H33" s="565"/>
      <c r="I33" s="565"/>
      <c r="J33" s="494" t="e">
        <f t="shared" si="7"/>
        <v>#REF!</v>
      </c>
    </row>
    <row r="34" spans="1:10">
      <c r="A34" s="552">
        <v>15</v>
      </c>
      <c r="B34" s="554"/>
      <c r="C34" s="554" t="s">
        <v>586</v>
      </c>
      <c r="D34" s="554"/>
      <c r="E34" s="494">
        <f>'PROPOSED RATES-2018-NOT USED'!G33</f>
        <v>0</v>
      </c>
      <c r="F34" s="565" t="e">
        <f>G34-E34</f>
        <v>#REF!</v>
      </c>
      <c r="G34" s="565" t="e">
        <f>'Exh. No. BGM-3 4'!#REF!</f>
        <v>#REF!</v>
      </c>
      <c r="H34" s="565"/>
      <c r="I34" s="565"/>
      <c r="J34" s="494" t="e">
        <f t="shared" si="7"/>
        <v>#REF!</v>
      </c>
    </row>
    <row r="35" spans="1:10">
      <c r="A35" s="552">
        <v>16</v>
      </c>
      <c r="B35" s="554"/>
      <c r="C35" s="554" t="s">
        <v>27</v>
      </c>
      <c r="D35" s="554"/>
      <c r="E35" s="668">
        <f>'PROPOSED RATES-2018-NOT USED'!G34</f>
        <v>27784</v>
      </c>
      <c r="F35" s="577" t="e">
        <f>G35-E35</f>
        <v>#REF!</v>
      </c>
      <c r="G35" s="577" t="e">
        <f>'Exh. No. BGM-3 4'!#REF!</f>
        <v>#REF!</v>
      </c>
      <c r="H35" s="577">
        <f>'Exh. No. BGM-3 3'!J16</f>
        <v>8</v>
      </c>
      <c r="I35" s="577" t="e">
        <f>'Exh. No. BGM-3 3'!K16</f>
        <v>#REF!</v>
      </c>
      <c r="J35" s="668" t="e">
        <f t="shared" si="7"/>
        <v>#REF!</v>
      </c>
    </row>
    <row r="36" spans="1:10">
      <c r="A36" s="552">
        <v>17</v>
      </c>
      <c r="B36" s="554"/>
      <c r="C36" s="554"/>
      <c r="D36" s="554" t="s">
        <v>53</v>
      </c>
      <c r="E36" s="565">
        <f>SUM(E32:E35)</f>
        <v>76928.468999999997</v>
      </c>
      <c r="F36" s="565" t="e">
        <f t="shared" ref="F36:J36" si="8">SUM(F32:F35)</f>
        <v>#REF!</v>
      </c>
      <c r="G36" s="565" t="e">
        <f t="shared" si="8"/>
        <v>#REF!</v>
      </c>
      <c r="H36" s="565">
        <f t="shared" ref="H36" si="9">SUM(H32:H35)</f>
        <v>8</v>
      </c>
      <c r="I36" s="565" t="e">
        <f t="shared" si="8"/>
        <v>#REF!</v>
      </c>
      <c r="J36" s="565" t="e">
        <f t="shared" si="8"/>
        <v>#REF!</v>
      </c>
    </row>
    <row r="37" spans="1:10" ht="6.75" customHeight="1">
      <c r="A37" s="552"/>
      <c r="B37" s="554"/>
      <c r="C37" s="554"/>
      <c r="D37" s="554"/>
      <c r="E37" s="565"/>
      <c r="F37" s="565"/>
      <c r="G37" s="565"/>
      <c r="H37" s="565"/>
      <c r="I37" s="565"/>
      <c r="J37" s="565"/>
    </row>
    <row r="38" spans="1:10">
      <c r="A38" s="552">
        <v>18</v>
      </c>
      <c r="B38" s="554" t="s">
        <v>54</v>
      </c>
      <c r="C38" s="554"/>
      <c r="D38" s="554"/>
      <c r="E38" s="494">
        <f>'PROPOSED RATES-2018-NOT USED'!G37</f>
        <v>13142.888000000001</v>
      </c>
      <c r="F38" s="565" t="e">
        <f>G38-E38</f>
        <v>#REF!</v>
      </c>
      <c r="G38" s="565" t="e">
        <f>'Exh. No. BGM-3 4'!#REF!</f>
        <v>#REF!</v>
      </c>
      <c r="H38" s="565">
        <f>'Exh. No. BGM-3 3'!J12</f>
        <v>1</v>
      </c>
      <c r="I38" s="565" t="e">
        <f>'Exh. No. BGM-3 3'!K12</f>
        <v>#REF!</v>
      </c>
      <c r="J38" s="494" t="e">
        <f t="shared" ref="J38:J40" si="10">G38+I38+H38</f>
        <v>#REF!</v>
      </c>
    </row>
    <row r="39" spans="1:10">
      <c r="A39" s="552">
        <v>19</v>
      </c>
      <c r="B39" s="554" t="s">
        <v>55</v>
      </c>
      <c r="C39" s="554"/>
      <c r="D39" s="554"/>
      <c r="E39" s="494">
        <f>'PROPOSED RATES-2018-NOT USED'!G38</f>
        <v>1417.0170000000001</v>
      </c>
      <c r="F39" s="565" t="e">
        <f>G39-E39</f>
        <v>#REF!</v>
      </c>
      <c r="G39" s="565" t="e">
        <f>'Exh. No. BGM-3 4'!#REF!</f>
        <v>#REF!</v>
      </c>
      <c r="H39" s="565"/>
      <c r="I39" s="565"/>
      <c r="J39" s="494" t="e">
        <f t="shared" si="10"/>
        <v>#REF!</v>
      </c>
    </row>
    <row r="40" spans="1:10">
      <c r="A40" s="552">
        <v>20</v>
      </c>
      <c r="B40" s="554" t="s">
        <v>56</v>
      </c>
      <c r="C40" s="554"/>
      <c r="D40" s="554"/>
      <c r="E40" s="494">
        <f>'PROPOSED RATES-2018-NOT USED'!G39</f>
        <v>0</v>
      </c>
      <c r="F40" s="565" t="e">
        <f>G40-E40</f>
        <v>#REF!</v>
      </c>
      <c r="G40" s="565" t="e">
        <f>'Exh. No. BGM-3 4'!#REF!</f>
        <v>#REF!</v>
      </c>
      <c r="H40" s="565"/>
      <c r="I40" s="565"/>
      <c r="J40" s="494" t="e">
        <f t="shared" si="10"/>
        <v>#REF!</v>
      </c>
    </row>
    <row r="41" spans="1:10" ht="6.75" customHeight="1">
      <c r="A41" s="554"/>
      <c r="B41" s="554"/>
      <c r="C41" s="554"/>
      <c r="D41" s="554"/>
      <c r="E41" s="565"/>
      <c r="F41" s="565"/>
      <c r="G41" s="565"/>
      <c r="H41" s="565"/>
      <c r="I41" s="565"/>
      <c r="J41" s="565"/>
    </row>
    <row r="42" spans="1:10">
      <c r="A42" s="552"/>
      <c r="B42" s="554" t="s">
        <v>57</v>
      </c>
      <c r="C42" s="554"/>
      <c r="D42" s="554"/>
      <c r="E42" s="565"/>
      <c r="F42" s="565"/>
      <c r="G42" s="565"/>
      <c r="H42" s="565"/>
      <c r="I42" s="565"/>
      <c r="J42" s="565"/>
    </row>
    <row r="43" spans="1:10">
      <c r="A43" s="552">
        <v>21</v>
      </c>
      <c r="B43" s="554"/>
      <c r="C43" s="554" t="s">
        <v>49</v>
      </c>
      <c r="D43" s="554"/>
      <c r="E43" s="494">
        <f>'PROPOSED RATES-2018-NOT USED'!G42</f>
        <v>50024.43</v>
      </c>
      <c r="F43" s="565" t="e">
        <f>G43-E43</f>
        <v>#REF!</v>
      </c>
      <c r="G43" s="565" t="e">
        <f>'Exh. No. BGM-3 4'!#REF!</f>
        <v>#REF!</v>
      </c>
      <c r="H43" s="565">
        <f>'Exh. No. BGM-3 3'!J14</f>
        <v>0</v>
      </c>
      <c r="I43" s="565" t="e">
        <f>'Exh. No. BGM-3 3'!K14</f>
        <v>#REF!</v>
      </c>
      <c r="J43" s="494" t="e">
        <f t="shared" ref="J43:J45" si="11">G43+I43+H43</f>
        <v>#REF!</v>
      </c>
    </row>
    <row r="44" spans="1:10">
      <c r="A44" s="552">
        <v>22</v>
      </c>
      <c r="B44" s="554"/>
      <c r="C44" s="554" t="s">
        <v>589</v>
      </c>
      <c r="D44" s="554"/>
      <c r="E44" s="494">
        <f>'PROPOSED RATES-2018-NOT USED'!G43</f>
        <v>23877</v>
      </c>
      <c r="F44" s="565" t="e">
        <f>G44-E44</f>
        <v>#REF!</v>
      </c>
      <c r="G44" s="565" t="e">
        <f>'Exh. No. BGM-3 4'!#REF!</f>
        <v>#REF!</v>
      </c>
      <c r="H44" s="565"/>
      <c r="I44" s="565"/>
      <c r="J44" s="494" t="e">
        <f t="shared" si="11"/>
        <v>#REF!</v>
      </c>
    </row>
    <row r="45" spans="1:10">
      <c r="A45" s="581">
        <v>23</v>
      </c>
      <c r="B45" s="554"/>
      <c r="C45" s="554" t="s">
        <v>27</v>
      </c>
      <c r="D45" s="554"/>
      <c r="E45" s="668">
        <f>'PROPOSED RATES-2018-NOT USED'!G44</f>
        <v>0</v>
      </c>
      <c r="F45" s="577" t="e">
        <f>G45-E45</f>
        <v>#REF!</v>
      </c>
      <c r="G45" s="577" t="e">
        <f>'Exh. No. BGM-3 4'!#REF!</f>
        <v>#REF!</v>
      </c>
      <c r="H45" s="577"/>
      <c r="I45" s="577"/>
      <c r="J45" s="668" t="e">
        <f t="shared" si="11"/>
        <v>#REF!</v>
      </c>
    </row>
    <row r="46" spans="1:10">
      <c r="A46" s="552">
        <v>24</v>
      </c>
      <c r="B46" s="554"/>
      <c r="C46" s="554"/>
      <c r="D46" s="554" t="s">
        <v>58</v>
      </c>
      <c r="E46" s="577">
        <f t="shared" ref="E46:J46" si="12">SUM(E43:E45)</f>
        <v>73901.429999999993</v>
      </c>
      <c r="F46" s="577" t="e">
        <f t="shared" si="12"/>
        <v>#REF!</v>
      </c>
      <c r="G46" s="577" t="e">
        <f t="shared" si="12"/>
        <v>#REF!</v>
      </c>
      <c r="H46" s="577">
        <f t="shared" si="12"/>
        <v>0</v>
      </c>
      <c r="I46" s="577" t="e">
        <f t="shared" si="12"/>
        <v>#REF!</v>
      </c>
      <c r="J46" s="577" t="e">
        <f t="shared" si="12"/>
        <v>#REF!</v>
      </c>
    </row>
    <row r="47" spans="1:10">
      <c r="A47" s="552">
        <v>25</v>
      </c>
      <c r="B47" s="554" t="s">
        <v>59</v>
      </c>
      <c r="C47" s="554"/>
      <c r="D47" s="554"/>
      <c r="E47" s="577">
        <f t="shared" ref="E47:J47" si="13">E29+E36+E38+E39+E40+E46</f>
        <v>424491.14399999997</v>
      </c>
      <c r="F47" s="577" t="e">
        <f t="shared" si="13"/>
        <v>#REF!</v>
      </c>
      <c r="G47" s="577" t="e">
        <f t="shared" si="13"/>
        <v>#REF!</v>
      </c>
      <c r="H47" s="577">
        <f t="shared" si="13"/>
        <v>9</v>
      </c>
      <c r="I47" s="577" t="e">
        <f t="shared" si="13"/>
        <v>#REF!</v>
      </c>
      <c r="J47" s="577" t="e">
        <f t="shared" si="13"/>
        <v>#REF!</v>
      </c>
    </row>
    <row r="48" spans="1:10" ht="7.5" customHeight="1">
      <c r="A48" s="552"/>
      <c r="B48" s="554"/>
      <c r="C48" s="554"/>
      <c r="D48" s="554"/>
      <c r="E48" s="565"/>
      <c r="F48" s="565"/>
      <c r="G48" s="565"/>
      <c r="H48" s="565"/>
      <c r="I48" s="565"/>
      <c r="J48" s="565"/>
    </row>
    <row r="49" spans="1:26">
      <c r="A49" s="552">
        <v>26</v>
      </c>
      <c r="B49" s="554" t="s">
        <v>60</v>
      </c>
      <c r="C49" s="554"/>
      <c r="D49" s="554"/>
      <c r="E49" s="565">
        <f t="shared" ref="E49:J49" si="14">E20-E47</f>
        <v>138267.85600000003</v>
      </c>
      <c r="F49" s="565" t="e">
        <f t="shared" si="14"/>
        <v>#REF!</v>
      </c>
      <c r="G49" s="565" t="e">
        <f t="shared" si="14"/>
        <v>#REF!</v>
      </c>
      <c r="H49" s="565" t="e">
        <f t="shared" si="14"/>
        <v>#REF!</v>
      </c>
      <c r="I49" s="565" t="e">
        <f t="shared" si="14"/>
        <v>#REF!</v>
      </c>
      <c r="J49" s="565" t="e">
        <f t="shared" si="14"/>
        <v>#REF!</v>
      </c>
    </row>
    <row r="50" spans="1:26" ht="5.25" customHeight="1">
      <c r="A50" s="552"/>
      <c r="B50" s="554"/>
      <c r="C50" s="554"/>
      <c r="D50" s="554"/>
      <c r="E50" s="565"/>
      <c r="F50" s="565"/>
      <c r="G50" s="565"/>
      <c r="H50" s="565"/>
      <c r="I50" s="565"/>
      <c r="J50" s="565"/>
    </row>
    <row r="51" spans="1:26">
      <c r="A51" s="552"/>
      <c r="B51" s="554" t="s">
        <v>61</v>
      </c>
      <c r="C51" s="554"/>
      <c r="D51" s="554"/>
      <c r="E51" s="565"/>
      <c r="F51" s="565"/>
      <c r="G51" s="565"/>
      <c r="H51" s="565"/>
      <c r="I51" s="565"/>
      <c r="J51" s="565"/>
    </row>
    <row r="52" spans="1:26">
      <c r="A52" s="552">
        <v>27</v>
      </c>
      <c r="B52" s="554" t="s">
        <v>62</v>
      </c>
      <c r="C52" s="554"/>
      <c r="D52" s="554"/>
      <c r="E52" s="494">
        <f>'PROPOSED RATES-2018-NOT USED'!G51</f>
        <v>-30654.500400000001</v>
      </c>
      <c r="F52" s="565" t="e">
        <f>G52-E52</f>
        <v>#REF!</v>
      </c>
      <c r="G52" s="566" t="e">
        <f>'Exh. No. BGM-3 4'!#REF!</f>
        <v>#REF!</v>
      </c>
      <c r="H52" s="565">
        <f>'Exh. No. BGM-3 3'!J22</f>
        <v>66</v>
      </c>
      <c r="I52" s="565" t="e">
        <f>'Exh. No. BGM-3 3'!K22</f>
        <v>#REF!</v>
      </c>
      <c r="J52" s="494" t="e">
        <f t="shared" ref="J52:J55" si="15">G52+I52+H52</f>
        <v>#REF!</v>
      </c>
      <c r="N52" s="167"/>
      <c r="O52" s="167"/>
      <c r="Z52" s="167"/>
    </row>
    <row r="53" spans="1:26">
      <c r="A53" s="552">
        <v>28</v>
      </c>
      <c r="B53" s="539" t="s">
        <v>300</v>
      </c>
      <c r="E53" s="494">
        <f>'PROPOSED RATES-2018-NOT USED'!G52</f>
        <v>18.581780000000009</v>
      </c>
      <c r="F53" s="565" t="e">
        <f>G53-E53</f>
        <v>#REF!</v>
      </c>
      <c r="G53" s="565" t="e">
        <f>'Exh. No. BGM-3 4'!#REF!</f>
        <v>#REF!</v>
      </c>
      <c r="H53" s="565"/>
      <c r="I53" s="565"/>
      <c r="J53" s="494" t="e">
        <f t="shared" si="15"/>
        <v>#REF!</v>
      </c>
    </row>
    <row r="54" spans="1:26">
      <c r="A54" s="552">
        <v>29</v>
      </c>
      <c r="B54" s="554" t="s">
        <v>63</v>
      </c>
      <c r="C54" s="554"/>
      <c r="D54" s="554"/>
      <c r="E54" s="494">
        <f>'PROPOSED RATES-2018-NOT USED'!G53</f>
        <v>67191</v>
      </c>
      <c r="F54" s="565" t="e">
        <f>G54-E54</f>
        <v>#REF!</v>
      </c>
      <c r="G54" s="565" t="e">
        <f>'Exh. No. BGM-3 4'!#REF!</f>
        <v>#REF!</v>
      </c>
      <c r="H54" s="565"/>
      <c r="I54" s="565"/>
      <c r="J54" s="494" t="e">
        <f t="shared" si="15"/>
        <v>#REF!</v>
      </c>
      <c r="O54" s="167"/>
    </row>
    <row r="55" spans="1:26">
      <c r="A55" s="552">
        <v>30</v>
      </c>
      <c r="B55" s="554" t="s">
        <v>64</v>
      </c>
      <c r="C55" s="554"/>
      <c r="D55" s="554"/>
      <c r="E55" s="668">
        <f>'PROPOSED RATES-2018-NOT USED'!G54</f>
        <v>-326</v>
      </c>
      <c r="F55" s="577" t="e">
        <f>G55-E55</f>
        <v>#REF!</v>
      </c>
      <c r="G55" s="577" t="e">
        <f>'Exh. No. BGM-3 4'!#REF!</f>
        <v>#REF!</v>
      </c>
      <c r="H55" s="577"/>
      <c r="I55" s="577"/>
      <c r="J55" s="668" t="e">
        <f t="shared" si="15"/>
        <v>#REF!</v>
      </c>
    </row>
    <row r="56" spans="1:26" ht="6.75" customHeight="1">
      <c r="A56" s="552"/>
      <c r="E56" s="565"/>
      <c r="F56" s="565"/>
      <c r="G56" s="565"/>
      <c r="H56" s="565"/>
      <c r="I56" s="565"/>
      <c r="J56" s="565"/>
    </row>
    <row r="57" spans="1:26" ht="13.5" thickBot="1">
      <c r="A57" s="540">
        <v>31</v>
      </c>
      <c r="B57" s="553" t="s">
        <v>65</v>
      </c>
      <c r="C57" s="553"/>
      <c r="D57" s="553"/>
      <c r="E57" s="589">
        <f t="shared" ref="E57:J57" si="16">E49-SUM(E52:E55)</f>
        <v>102038.77462000003</v>
      </c>
      <c r="F57" s="589" t="e">
        <f t="shared" si="16"/>
        <v>#REF!</v>
      </c>
      <c r="G57" s="589" t="e">
        <f t="shared" si="16"/>
        <v>#REF!</v>
      </c>
      <c r="H57" s="589" t="e">
        <f t="shared" si="16"/>
        <v>#REF!</v>
      </c>
      <c r="I57" s="589" t="e">
        <f t="shared" si="16"/>
        <v>#REF!</v>
      </c>
      <c r="J57" s="589" t="e">
        <f t="shared" si="16"/>
        <v>#REF!</v>
      </c>
      <c r="N57" s="39"/>
    </row>
    <row r="58" spans="1:26" ht="7.5" customHeight="1" thickTop="1">
      <c r="E58" s="565"/>
      <c r="F58" s="565"/>
      <c r="G58" s="565"/>
      <c r="H58" s="565"/>
      <c r="I58" s="565"/>
      <c r="J58" s="565"/>
      <c r="N58" s="106"/>
      <c r="Q58" s="106"/>
    </row>
    <row r="59" spans="1:26">
      <c r="B59" s="539" t="s">
        <v>66</v>
      </c>
      <c r="E59" s="565"/>
      <c r="F59" s="565"/>
      <c r="G59" s="565"/>
      <c r="H59" s="565"/>
      <c r="I59" s="565"/>
      <c r="J59" s="565"/>
      <c r="N59" s="39"/>
    </row>
    <row r="60" spans="1:26">
      <c r="A60" s="552"/>
      <c r="B60" s="539" t="s">
        <v>67</v>
      </c>
      <c r="E60" s="565"/>
      <c r="F60" s="565"/>
      <c r="G60" s="565"/>
      <c r="H60" s="565"/>
      <c r="I60" s="565"/>
      <c r="J60" s="565"/>
      <c r="N60" s="39"/>
    </row>
    <row r="61" spans="1:26">
      <c r="A61" s="552">
        <v>32</v>
      </c>
      <c r="B61" s="553"/>
      <c r="C61" s="553" t="s">
        <v>68</v>
      </c>
      <c r="D61" s="553"/>
      <c r="E61" s="553">
        <f>'PROPOSED RATES-2018-NOT USED'!G60</f>
        <v>156057</v>
      </c>
      <c r="F61" s="553" t="e">
        <f t="shared" ref="F61:F70" si="17">G61-E61</f>
        <v>#REF!</v>
      </c>
      <c r="G61" s="553" t="e">
        <f>'Exh. No. BGM-3 4'!#REF!</f>
        <v>#REF!</v>
      </c>
      <c r="H61" s="553"/>
      <c r="I61" s="553"/>
      <c r="J61" s="553" t="e">
        <f>G61+I61+H61</f>
        <v>#REF!</v>
      </c>
    </row>
    <row r="62" spans="1:26">
      <c r="A62" s="552">
        <v>33</v>
      </c>
      <c r="B62" s="554"/>
      <c r="C62" s="554" t="s">
        <v>69</v>
      </c>
      <c r="D62" s="554"/>
      <c r="E62" s="494">
        <f>'PROPOSED RATES-2018-NOT USED'!G61</f>
        <v>839722</v>
      </c>
      <c r="F62" s="565" t="e">
        <f t="shared" si="17"/>
        <v>#REF!</v>
      </c>
      <c r="G62" s="565" t="e">
        <f>'Exh. No. BGM-3 4'!#REF!</f>
        <v>#REF!</v>
      </c>
      <c r="H62" s="565"/>
      <c r="I62" s="565"/>
      <c r="J62" s="494" t="e">
        <f>G62+I62+H62</f>
        <v>#REF!</v>
      </c>
      <c r="N62" s="170"/>
    </row>
    <row r="63" spans="1:26">
      <c r="A63" s="552">
        <v>34</v>
      </c>
      <c r="B63" s="554"/>
      <c r="C63" s="554" t="s">
        <v>70</v>
      </c>
      <c r="D63" s="554"/>
      <c r="E63" s="494">
        <f>'PROPOSED RATES-2018-NOT USED'!G62</f>
        <v>430613</v>
      </c>
      <c r="F63" s="565" t="e">
        <f t="shared" si="17"/>
        <v>#REF!</v>
      </c>
      <c r="G63" s="565" t="e">
        <f>'Exh. No. BGM-3 4'!#REF!</f>
        <v>#REF!</v>
      </c>
      <c r="H63" s="565"/>
      <c r="I63" s="565"/>
      <c r="J63" s="494" t="e">
        <f t="shared" ref="J63:J65" si="18">G63+I63+H63</f>
        <v>#REF!</v>
      </c>
    </row>
    <row r="64" spans="1:26">
      <c r="A64" s="552">
        <v>35</v>
      </c>
      <c r="B64" s="554"/>
      <c r="C64" s="554" t="s">
        <v>52</v>
      </c>
      <c r="D64" s="554"/>
      <c r="E64" s="494">
        <f>'PROPOSED RATES-2018-NOT USED'!G63</f>
        <v>970455</v>
      </c>
      <c r="F64" s="565" t="e">
        <f t="shared" si="17"/>
        <v>#REF!</v>
      </c>
      <c r="G64" s="565" t="e">
        <f>'Exh. No. BGM-3 4'!#REF!</f>
        <v>#REF!</v>
      </c>
      <c r="H64" s="565"/>
      <c r="I64" s="565"/>
      <c r="J64" s="494" t="e">
        <f t="shared" si="18"/>
        <v>#REF!</v>
      </c>
    </row>
    <row r="65" spans="1:10">
      <c r="A65" s="552">
        <v>36</v>
      </c>
      <c r="B65" s="554"/>
      <c r="C65" s="554" t="s">
        <v>71</v>
      </c>
      <c r="D65" s="554"/>
      <c r="E65" s="668">
        <f>'PROPOSED RATES-2018-NOT USED'!G64</f>
        <v>233266</v>
      </c>
      <c r="F65" s="577" t="e">
        <f t="shared" si="17"/>
        <v>#REF!</v>
      </c>
      <c r="G65" s="577" t="e">
        <f>'Exh. No. BGM-3 4'!#REF!</f>
        <v>#REF!</v>
      </c>
      <c r="H65" s="577"/>
      <c r="I65" s="577"/>
      <c r="J65" s="668" t="e">
        <f t="shared" si="18"/>
        <v>#REF!</v>
      </c>
    </row>
    <row r="66" spans="1:10">
      <c r="A66" s="552">
        <v>37</v>
      </c>
      <c r="B66" s="554"/>
      <c r="C66" s="554"/>
      <c r="D66" s="554" t="s">
        <v>72</v>
      </c>
      <c r="E66" s="565">
        <f>SUM(E61:E65)</f>
        <v>2630113</v>
      </c>
      <c r="F66" s="565" t="e">
        <f t="shared" ref="F66:I66" si="19">SUM(F61:F65)</f>
        <v>#REF!</v>
      </c>
      <c r="G66" s="565" t="e">
        <f t="shared" si="19"/>
        <v>#REF!</v>
      </c>
      <c r="H66" s="565">
        <f t="shared" ref="H66" si="20">SUM(H61:H65)</f>
        <v>0</v>
      </c>
      <c r="I66" s="565">
        <f t="shared" si="19"/>
        <v>0</v>
      </c>
      <c r="J66" s="565" t="e">
        <f>SUM(J61:J65)</f>
        <v>#REF!</v>
      </c>
    </row>
    <row r="67" spans="1:10">
      <c r="A67" s="555"/>
      <c r="B67" s="554" t="s">
        <v>223</v>
      </c>
      <c r="C67" s="554"/>
      <c r="D67" s="554"/>
      <c r="E67" s="565"/>
      <c r="F67" s="565"/>
      <c r="G67" s="565"/>
      <c r="H67" s="565"/>
      <c r="I67" s="565"/>
      <c r="J67" s="565"/>
    </row>
    <row r="68" spans="1:10">
      <c r="A68" s="555">
        <v>38</v>
      </c>
      <c r="B68" s="554"/>
      <c r="C68" s="553" t="s">
        <v>218</v>
      </c>
      <c r="D68" s="554"/>
      <c r="E68" s="494">
        <f>'PROPOSED RATES-2018-NOT USED'!G67</f>
        <v>-30914</v>
      </c>
      <c r="F68" s="565" t="e">
        <f t="shared" si="17"/>
        <v>#REF!</v>
      </c>
      <c r="G68" s="565" t="e">
        <f>'Exh. No. BGM-3 4'!#REF!</f>
        <v>#REF!</v>
      </c>
      <c r="H68" s="565"/>
      <c r="I68" s="579"/>
      <c r="J68" s="494" t="e">
        <f t="shared" ref="J68:J72" si="21">G68+I68+H68</f>
        <v>#REF!</v>
      </c>
    </row>
    <row r="69" spans="1:10">
      <c r="A69" s="555">
        <v>39</v>
      </c>
      <c r="B69" s="554"/>
      <c r="C69" s="554" t="s">
        <v>219</v>
      </c>
      <c r="D69" s="554"/>
      <c r="E69" s="494">
        <f>'PROPOSED RATES-2018-NOT USED'!G68</f>
        <v>-351720</v>
      </c>
      <c r="F69" s="565" t="e">
        <f t="shared" si="17"/>
        <v>#REF!</v>
      </c>
      <c r="G69" s="553" t="e">
        <f>'Exh. No. BGM-3 4'!#REF!</f>
        <v>#REF!</v>
      </c>
      <c r="H69" s="553"/>
      <c r="I69" s="565"/>
      <c r="J69" s="494" t="e">
        <f t="shared" si="21"/>
        <v>#REF!</v>
      </c>
    </row>
    <row r="70" spans="1:10">
      <c r="A70" s="555">
        <v>40</v>
      </c>
      <c r="B70" s="554"/>
      <c r="C70" s="554" t="s">
        <v>220</v>
      </c>
      <c r="D70" s="554"/>
      <c r="E70" s="494">
        <f>'PROPOSED RATES-2018-NOT USED'!G69</f>
        <v>-135624</v>
      </c>
      <c r="F70" s="565" t="e">
        <f t="shared" si="17"/>
        <v>#REF!</v>
      </c>
      <c r="G70" s="565" t="e">
        <f>'Exh. No. BGM-3 4'!#REF!</f>
        <v>#REF!</v>
      </c>
      <c r="H70" s="565"/>
      <c r="I70" s="565"/>
      <c r="J70" s="494" t="e">
        <f t="shared" si="21"/>
        <v>#REF!</v>
      </c>
    </row>
    <row r="71" spans="1:10">
      <c r="A71" s="555">
        <v>41</v>
      </c>
      <c r="B71" s="554"/>
      <c r="C71" s="554" t="s">
        <v>204</v>
      </c>
      <c r="D71" s="554"/>
      <c r="E71" s="494">
        <f>'PROPOSED RATES-2018-NOT USED'!G70</f>
        <v>-295383</v>
      </c>
      <c r="F71" s="565" t="e">
        <f>G71-E71</f>
        <v>#REF!</v>
      </c>
      <c r="G71" s="565" t="e">
        <f>'Exh. No. BGM-3 4'!#REF!</f>
        <v>#REF!</v>
      </c>
      <c r="H71" s="565"/>
      <c r="I71" s="565"/>
      <c r="J71" s="494" t="e">
        <f t="shared" si="21"/>
        <v>#REF!</v>
      </c>
    </row>
    <row r="72" spans="1:10">
      <c r="A72" s="555">
        <v>42</v>
      </c>
      <c r="B72" s="554"/>
      <c r="C72" s="554" t="s">
        <v>221</v>
      </c>
      <c r="D72" s="554"/>
      <c r="E72" s="668">
        <f>'PROPOSED RATES-2018-NOT USED'!G71</f>
        <v>-80093</v>
      </c>
      <c r="F72" s="577" t="e">
        <f>G72-E72</f>
        <v>#REF!</v>
      </c>
      <c r="G72" s="565" t="e">
        <f>'Exh. No. BGM-3 4'!#REF!</f>
        <v>#REF!</v>
      </c>
      <c r="H72" s="565"/>
      <c r="I72" s="577"/>
      <c r="J72" s="494" t="e">
        <f t="shared" si="21"/>
        <v>#REF!</v>
      </c>
    </row>
    <row r="73" spans="1:10">
      <c r="A73" s="555">
        <v>43</v>
      </c>
      <c r="B73" s="554" t="s">
        <v>305</v>
      </c>
      <c r="C73" s="554"/>
      <c r="D73" s="554"/>
      <c r="E73" s="329">
        <f>SUM(E68:E72)</f>
        <v>-893734</v>
      </c>
      <c r="F73" s="329" t="e">
        <f t="shared" ref="F73" si="22">SUM(F68:F72)</f>
        <v>#REF!</v>
      </c>
      <c r="G73" s="329" t="e">
        <f>SUM(G68:G72)</f>
        <v>#REF!</v>
      </c>
      <c r="H73" s="329">
        <f>SUM(H68:H72)</f>
        <v>0</v>
      </c>
      <c r="I73" s="329">
        <f>SUM(I68:I72)</f>
        <v>0</v>
      </c>
      <c r="J73" s="329" t="e">
        <f>SUM(J68:J72)</f>
        <v>#REF!</v>
      </c>
    </row>
    <row r="74" spans="1:10">
      <c r="A74" s="555">
        <v>44</v>
      </c>
      <c r="B74" s="554" t="s">
        <v>594</v>
      </c>
      <c r="C74" s="554"/>
      <c r="D74" s="553"/>
      <c r="E74" s="579">
        <f>E66+E73</f>
        <v>1736379</v>
      </c>
      <c r="F74" s="579" t="e">
        <f t="shared" ref="F74:I74" si="23">F66+F73</f>
        <v>#REF!</v>
      </c>
      <c r="G74" s="579" t="e">
        <f t="shared" si="23"/>
        <v>#REF!</v>
      </c>
      <c r="H74" s="579">
        <f t="shared" ref="H74" si="24">H66+H73</f>
        <v>0</v>
      </c>
      <c r="I74" s="579">
        <f t="shared" si="23"/>
        <v>0</v>
      </c>
      <c r="J74" s="579" t="e">
        <f>J66+J73</f>
        <v>#REF!</v>
      </c>
    </row>
    <row r="75" spans="1:10" ht="5.25" customHeight="1">
      <c r="A75" s="555"/>
      <c r="B75" s="554"/>
      <c r="C75" s="554"/>
      <c r="E75" s="401"/>
      <c r="F75" s="401"/>
      <c r="G75" s="401"/>
      <c r="H75" s="401"/>
      <c r="I75" s="401"/>
      <c r="J75" s="401"/>
    </row>
    <row r="76" spans="1:10">
      <c r="A76" s="556">
        <v>45</v>
      </c>
      <c r="B76" s="554" t="s">
        <v>224</v>
      </c>
      <c r="C76" s="554"/>
      <c r="D76" s="554"/>
      <c r="E76" s="668">
        <f>'PROPOSED RATES-2018-NOT USED'!G75</f>
        <v>-355130</v>
      </c>
      <c r="F76" s="577" t="e">
        <f t="shared" ref="F76" si="25">G76-E76</f>
        <v>#REF!</v>
      </c>
      <c r="G76" s="577" t="e">
        <f>'Exh. No. BGM-3 4'!#REF!</f>
        <v>#REF!</v>
      </c>
      <c r="H76" s="577"/>
      <c r="I76" s="361"/>
      <c r="J76" s="668" t="e">
        <f t="shared" ref="J76" si="26">G76+I76+H76</f>
        <v>#REF!</v>
      </c>
    </row>
    <row r="77" spans="1:10">
      <c r="A77" s="556">
        <v>46</v>
      </c>
      <c r="B77" s="554"/>
      <c r="C77" s="554" t="s">
        <v>593</v>
      </c>
      <c r="D77" s="554"/>
      <c r="E77" s="579">
        <f>SUM(E74:E76)</f>
        <v>1381249</v>
      </c>
      <c r="F77" s="579" t="e">
        <f t="shared" ref="F77:J77" si="27">SUM(F74:F76)</f>
        <v>#REF!</v>
      </c>
      <c r="G77" s="579" t="e">
        <f t="shared" si="27"/>
        <v>#REF!</v>
      </c>
      <c r="H77" s="579">
        <f t="shared" ref="H77" si="28">SUM(H74:H76)</f>
        <v>0</v>
      </c>
      <c r="I77" s="579">
        <f t="shared" si="27"/>
        <v>0</v>
      </c>
      <c r="J77" s="579" t="e">
        <f t="shared" si="27"/>
        <v>#REF!</v>
      </c>
    </row>
    <row r="78" spans="1:10">
      <c r="A78" s="555">
        <v>47</v>
      </c>
      <c r="B78" s="554" t="s">
        <v>307</v>
      </c>
      <c r="C78" s="554"/>
      <c r="E78" s="494">
        <f>'PROPOSED RATES-2018-NOT USED'!G77</f>
        <v>-778</v>
      </c>
      <c r="F78" s="565" t="e">
        <f t="shared" ref="F78:F79" si="29">G78-E78</f>
        <v>#REF!</v>
      </c>
      <c r="G78" s="565" t="e">
        <f>'Exh. No. BGM-3 4'!#REF!</f>
        <v>#REF!</v>
      </c>
      <c r="H78" s="565"/>
      <c r="J78" s="494" t="e">
        <f t="shared" ref="J78:J79" si="30">G78+I78+H78</f>
        <v>#REF!</v>
      </c>
    </row>
    <row r="79" spans="1:10">
      <c r="A79" s="555">
        <v>48</v>
      </c>
      <c r="B79" s="554" t="s">
        <v>287</v>
      </c>
      <c r="C79" s="554"/>
      <c r="E79" s="668">
        <f>'PROPOSED RATES-2018-NOT USED'!G78</f>
        <v>62474</v>
      </c>
      <c r="F79" s="577" t="e">
        <f t="shared" si="29"/>
        <v>#REF!</v>
      </c>
      <c r="G79" s="577" t="e">
        <f>'Exh. No. BGM-3 4'!#REF!</f>
        <v>#REF!</v>
      </c>
      <c r="H79" s="577"/>
      <c r="I79" s="361"/>
      <c r="J79" s="668" t="e">
        <f t="shared" si="30"/>
        <v>#REF!</v>
      </c>
    </row>
    <row r="80" spans="1:10" ht="2.25" customHeight="1">
      <c r="A80" s="556">
        <v>49</v>
      </c>
      <c r="B80" s="554"/>
      <c r="C80" s="554"/>
      <c r="D80" s="554"/>
    </row>
    <row r="81" spans="1:10" ht="13.5" thickBot="1">
      <c r="A81" s="552">
        <v>50</v>
      </c>
      <c r="B81" s="553" t="s">
        <v>225</v>
      </c>
      <c r="C81" s="553"/>
      <c r="D81" s="553"/>
      <c r="E81" s="404">
        <f>SUM(E77:E79)</f>
        <v>1442945</v>
      </c>
      <c r="F81" s="404" t="e">
        <f t="shared" ref="F81:I81" si="31">SUM(F77:F79)</f>
        <v>#REF!</v>
      </c>
      <c r="G81" s="404" t="e">
        <f t="shared" si="31"/>
        <v>#REF!</v>
      </c>
      <c r="H81" s="404">
        <f t="shared" ref="H81" si="32">SUM(H77:H79)</f>
        <v>0</v>
      </c>
      <c r="I81" s="404">
        <f t="shared" si="31"/>
        <v>0</v>
      </c>
      <c r="J81" s="669" t="e">
        <f>SUM(J77:J79)</f>
        <v>#REF!</v>
      </c>
    </row>
    <row r="82" spans="1:10" ht="13.5" thickTop="1">
      <c r="A82" s="552">
        <v>51</v>
      </c>
      <c r="B82" s="539" t="s">
        <v>692</v>
      </c>
      <c r="E82" s="327">
        <f>ROUND(E57/E81,4)</f>
        <v>7.0699999999999999E-2</v>
      </c>
      <c r="G82" s="327" t="e">
        <f>ROUND(G57/G81,4)</f>
        <v>#REF!</v>
      </c>
      <c r="H82" s="327"/>
      <c r="J82" s="327" t="e">
        <f>ROUND(J57/J81,4)</f>
        <v>#REF!</v>
      </c>
    </row>
    <row r="83" spans="1:10">
      <c r="B83" s="508"/>
      <c r="D83" s="703"/>
      <c r="E83" s="507"/>
    </row>
    <row r="85" spans="1:10">
      <c r="E85" s="480"/>
    </row>
    <row r="86" spans="1:10">
      <c r="E86" s="480"/>
    </row>
    <row r="90" spans="1:10">
      <c r="J90" s="448"/>
    </row>
    <row r="91" spans="1:10">
      <c r="J91" s="448"/>
    </row>
    <row r="92" spans="1:10">
      <c r="J92" s="448"/>
    </row>
  </sheetData>
  <mergeCells count="3">
    <mergeCell ref="A5:D5"/>
    <mergeCell ref="E5:J5"/>
    <mergeCell ref="E1:F1"/>
  </mergeCells>
  <pageMargins left="0.75" right="0.51" top="0.75" bottom="0.5" header="0.5" footer="0.35"/>
  <pageSetup scale="74" orientation="portrait" r:id="rId1"/>
  <headerFooter scaleWithDoc="0" alignWithMargins="0">
    <oddHeader xml:space="preserve">&amp;RExhibit No. ____(JSS-2)
</oddHeader>
    <oddFooter xml:space="preserve">&amp;LStaff_DR_091-Supplemental 3 - Attachment F  (09.2015 PF/CC Study - Updated)&amp;RPage &amp;P of &amp;N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X89"/>
  <sheetViews>
    <sheetView zoomScale="130" zoomScaleNormal="130" zoomScaleSheetLayoutView="70" workbookViewId="0"/>
  </sheetViews>
  <sheetFormatPr defaultColWidth="9.140625" defaultRowHeight="14.25" customHeight="1"/>
  <cols>
    <col min="1" max="1" width="5.140625" style="320" bestFit="1" customWidth="1"/>
    <col min="2" max="2" width="1.7109375" style="320" customWidth="1"/>
    <col min="3" max="3" width="41.42578125" style="320" customWidth="1"/>
    <col min="4" max="4" width="3" style="320" customWidth="1"/>
    <col min="5" max="5" width="15.140625" style="320" customWidth="1"/>
    <col min="6" max="6" width="4.7109375" style="320" hidden="1" customWidth="1"/>
    <col min="7" max="7" width="2.140625" style="320" customWidth="1"/>
    <col min="8" max="8" width="1.7109375" style="26" customWidth="1"/>
    <col min="9" max="9" width="6.85546875" style="26" customWidth="1"/>
    <col min="10" max="10" width="14.140625" style="26" customWidth="1"/>
    <col min="11" max="11" width="12.85546875" style="26" hidden="1" customWidth="1"/>
    <col min="12" max="12" width="12.85546875" style="26" customWidth="1"/>
    <col min="13" max="13" width="18.85546875" style="55" customWidth="1"/>
    <col min="14" max="14" width="14.140625" style="26" customWidth="1"/>
    <col min="15" max="15" width="14" style="26" customWidth="1"/>
    <col min="16" max="16" width="8.7109375" style="26" hidden="1" customWidth="1"/>
    <col min="17" max="17" width="14.7109375" style="26" hidden="1" customWidth="1"/>
    <col min="18" max="18" width="9.140625" style="26" hidden="1" customWidth="1"/>
    <col min="19" max="19" width="10.42578125" style="26" hidden="1" customWidth="1"/>
    <col min="20" max="21" width="9.5703125" style="26" hidden="1" customWidth="1"/>
    <col min="22" max="22" width="11.42578125" style="26" hidden="1" customWidth="1"/>
    <col min="23" max="23" width="10.42578125" style="26" hidden="1" customWidth="1"/>
    <col min="24" max="24" width="9.140625" style="26" hidden="1" customWidth="1"/>
    <col min="25" max="25" width="17" style="26" hidden="1" customWidth="1"/>
    <col min="26" max="26" width="18" style="26" customWidth="1"/>
    <col min="27" max="27" width="17" style="26" customWidth="1"/>
    <col min="28" max="28" width="15.85546875" style="26" customWidth="1"/>
    <col min="29" max="33" width="9.140625" style="26"/>
    <col min="34" max="34" width="11.42578125" style="26" customWidth="1"/>
    <col min="35" max="16384" width="9.140625" style="26"/>
  </cols>
  <sheetData>
    <row r="1" spans="1:50" ht="19.5" customHeight="1">
      <c r="A1" s="105"/>
      <c r="B1" s="105"/>
      <c r="C1" s="105"/>
      <c r="D1" s="105"/>
      <c r="E1" s="105"/>
      <c r="F1" s="105"/>
      <c r="G1" s="105"/>
      <c r="I1" s="846"/>
      <c r="J1" s="847"/>
      <c r="K1" s="847"/>
      <c r="L1" s="847"/>
      <c r="M1" s="847"/>
      <c r="N1" s="848"/>
      <c r="O1" s="510"/>
    </row>
    <row r="2" spans="1:50" ht="14.25" customHeight="1">
      <c r="A2" s="509" t="s">
        <v>793</v>
      </c>
      <c r="B2" s="105"/>
      <c r="C2" s="105"/>
      <c r="D2" s="105"/>
      <c r="E2" s="105"/>
      <c r="F2" s="105"/>
      <c r="G2" s="105"/>
      <c r="I2" s="849" t="s">
        <v>794</v>
      </c>
      <c r="J2" s="850"/>
      <c r="K2" s="850"/>
      <c r="L2" s="850"/>
      <c r="M2" s="850"/>
      <c r="N2" s="851"/>
      <c r="O2" s="522"/>
    </row>
    <row r="3" spans="1:50" ht="14.25" customHeight="1">
      <c r="A3" s="844" t="s">
        <v>257</v>
      </c>
      <c r="B3" s="844"/>
      <c r="C3" s="844"/>
      <c r="D3" s="844"/>
      <c r="E3" s="844"/>
      <c r="F3" s="844"/>
      <c r="G3" s="105"/>
      <c r="I3" s="849" t="s">
        <v>257</v>
      </c>
      <c r="J3" s="850"/>
      <c r="K3" s="850"/>
      <c r="L3" s="850"/>
      <c r="M3" s="850"/>
      <c r="N3" s="851"/>
      <c r="O3" s="522"/>
      <c r="AO3" s="513"/>
    </row>
    <row r="4" spans="1:50" ht="14.25" customHeight="1" thickBot="1">
      <c r="A4" s="844" t="str">
        <f>'Exh. No. BGM-3 4'!A5</f>
        <v>TWELVE MONTHS ENDED DECEMBER 31, 2016</v>
      </c>
      <c r="B4" s="844"/>
      <c r="C4" s="844"/>
      <c r="D4" s="844"/>
      <c r="E4" s="844"/>
      <c r="F4" s="844"/>
      <c r="G4" s="105"/>
      <c r="I4" s="852"/>
      <c r="J4" s="853"/>
      <c r="K4" s="853"/>
      <c r="L4" s="853"/>
      <c r="M4" s="853"/>
      <c r="N4" s="854"/>
      <c r="O4" s="623"/>
    </row>
    <row r="5" spans="1:50" ht="14.25" customHeight="1">
      <c r="A5" s="844"/>
      <c r="B5" s="844"/>
      <c r="C5" s="844"/>
      <c r="D5" s="844"/>
      <c r="E5" s="844"/>
      <c r="F5" s="844"/>
      <c r="G5" s="495"/>
      <c r="I5" s="674" t="s">
        <v>795</v>
      </c>
      <c r="J5" s="675"/>
      <c r="K5" s="675"/>
      <c r="L5" s="675"/>
      <c r="M5" s="675"/>
      <c r="N5" s="676"/>
      <c r="O5" s="453"/>
      <c r="T5" s="513" t="s">
        <v>685</v>
      </c>
      <c r="Y5" s="28"/>
      <c r="Z5" s="28"/>
      <c r="AA5" s="28"/>
      <c r="AR5" s="513"/>
    </row>
    <row r="6" spans="1:50" ht="15.75">
      <c r="A6" s="793"/>
      <c r="B6" s="793"/>
      <c r="C6" s="793"/>
      <c r="D6" s="793"/>
      <c r="E6" s="856" t="s">
        <v>791</v>
      </c>
      <c r="F6" s="856"/>
      <c r="G6" s="36"/>
      <c r="H6" s="188"/>
      <c r="I6" s="677"/>
      <c r="J6" s="678"/>
      <c r="K6" s="678"/>
      <c r="L6" s="679"/>
      <c r="M6" s="680"/>
      <c r="N6" s="681"/>
      <c r="O6" s="655"/>
      <c r="T6" s="513"/>
      <c r="Y6" s="28"/>
      <c r="Z6" s="28"/>
      <c r="AA6" s="28"/>
      <c r="AR6" s="513"/>
    </row>
    <row r="7" spans="1:50" ht="14.25" customHeight="1">
      <c r="A7" s="654"/>
      <c r="B7" s="654"/>
      <c r="C7" s="855"/>
      <c r="D7" s="855"/>
      <c r="E7" s="673" t="s">
        <v>774</v>
      </c>
      <c r="F7" s="654"/>
      <c r="G7" s="26"/>
      <c r="I7" s="677"/>
      <c r="J7" s="682"/>
      <c r="K7" s="679"/>
      <c r="L7" s="679" t="s">
        <v>122</v>
      </c>
      <c r="M7" s="679"/>
      <c r="N7" s="681" t="s">
        <v>123</v>
      </c>
      <c r="O7" s="655"/>
      <c r="T7" s="513"/>
      <c r="Y7" s="28"/>
      <c r="Z7" s="28"/>
      <c r="AA7" s="28"/>
      <c r="AR7" s="513"/>
    </row>
    <row r="8" spans="1:50" ht="14.25" customHeight="1">
      <c r="A8" s="654"/>
      <c r="B8" s="654"/>
      <c r="C8" s="654"/>
      <c r="D8" s="654"/>
      <c r="E8" s="774">
        <v>43221</v>
      </c>
      <c r="F8" s="108"/>
      <c r="G8" s="39"/>
      <c r="H8" s="39"/>
      <c r="I8" s="677"/>
      <c r="J8" s="683" t="s">
        <v>125</v>
      </c>
      <c r="K8" s="679"/>
      <c r="L8" s="683" t="s">
        <v>127</v>
      </c>
      <c r="M8" s="683" t="s">
        <v>128</v>
      </c>
      <c r="N8" s="684" t="s">
        <v>128</v>
      </c>
      <c r="O8" s="454"/>
      <c r="Y8" s="28"/>
      <c r="Z8" s="28"/>
      <c r="AA8" s="28"/>
      <c r="AX8" s="513"/>
    </row>
    <row r="9" spans="1:50" ht="14.25" customHeight="1">
      <c r="A9" s="302" t="s">
        <v>120</v>
      </c>
      <c r="B9" s="302"/>
      <c r="C9" s="302"/>
      <c r="D9" s="302"/>
      <c r="E9" s="673" t="s">
        <v>121</v>
      </c>
      <c r="F9" s="654" t="s">
        <v>121</v>
      </c>
      <c r="G9" s="26"/>
      <c r="I9" s="677"/>
      <c r="J9" s="678"/>
      <c r="K9" s="678"/>
      <c r="L9" s="678"/>
      <c r="M9" s="680"/>
      <c r="N9" s="685"/>
      <c r="O9" s="454"/>
    </row>
    <row r="10" spans="1:50" ht="14.25" customHeight="1">
      <c r="A10" s="108" t="s">
        <v>21</v>
      </c>
      <c r="B10" s="302"/>
      <c r="C10" s="108" t="s">
        <v>80</v>
      </c>
      <c r="D10" s="303"/>
      <c r="E10" s="672" t="s">
        <v>124</v>
      </c>
      <c r="F10" s="108" t="s">
        <v>124</v>
      </c>
      <c r="G10" s="26"/>
      <c r="I10" s="677"/>
      <c r="J10" s="682" t="s">
        <v>638</v>
      </c>
      <c r="K10" s="686"/>
      <c r="L10" s="687">
        <f>100%-L12</f>
        <v>0.51600000000000001</v>
      </c>
      <c r="M10" s="792">
        <f>+'Exh. No. BGM-3 1'!AJ10</f>
        <v>5.1948000000000001E-2</v>
      </c>
      <c r="N10" s="689">
        <f>ROUND(L10*M10,4)</f>
        <v>2.6800000000000001E-2</v>
      </c>
      <c r="O10" s="454"/>
      <c r="Q10" s="312" t="s">
        <v>250</v>
      </c>
      <c r="R10" s="313"/>
      <c r="S10" s="314" t="s">
        <v>145</v>
      </c>
      <c r="T10" s="315"/>
      <c r="U10" s="302" t="s">
        <v>144</v>
      </c>
    </row>
    <row r="11" spans="1:50" ht="14.25" customHeight="1">
      <c r="A11" s="26"/>
      <c r="B11" s="26"/>
      <c r="C11" s="26"/>
      <c r="D11" s="26"/>
      <c r="E11" s="26"/>
      <c r="F11" s="26"/>
      <c r="G11" s="504"/>
      <c r="H11" s="28"/>
      <c r="I11" s="677"/>
      <c r="J11" s="682"/>
      <c r="K11" s="690"/>
      <c r="L11" s="687"/>
      <c r="M11" s="688"/>
      <c r="N11" s="689"/>
      <c r="O11" s="156"/>
      <c r="Q11" s="323" t="s">
        <v>251</v>
      </c>
      <c r="R11" s="303"/>
      <c r="S11" s="302" t="s">
        <v>122</v>
      </c>
      <c r="T11" s="302" t="s">
        <v>144</v>
      </c>
      <c r="U11" s="302" t="s">
        <v>123</v>
      </c>
    </row>
    <row r="12" spans="1:50" ht="14.25" customHeight="1">
      <c r="A12" s="304">
        <v>1</v>
      </c>
      <c r="B12" s="26"/>
      <c r="C12" s="26" t="s">
        <v>185</v>
      </c>
      <c r="D12" s="26"/>
      <c r="E12" s="473">
        <f>'Exh. No. BGM-3 4'!AT80</f>
        <v>1442945</v>
      </c>
      <c r="F12" s="473" t="e">
        <f>'Exh. No. BGM-3 4'!#REF!</f>
        <v>#REF!</v>
      </c>
      <c r="G12" s="505"/>
      <c r="H12" s="36"/>
      <c r="I12" s="677"/>
      <c r="J12" s="682" t="s">
        <v>11</v>
      </c>
      <c r="K12" s="690"/>
      <c r="L12" s="687">
        <v>0.48399999999999999</v>
      </c>
      <c r="M12" s="688">
        <v>9.0999999999999998E-2</v>
      </c>
      <c r="N12" s="689">
        <f>ROUND(L12*M12,4)</f>
        <v>4.3999999999999997E-2</v>
      </c>
      <c r="O12" s="457" t="s">
        <v>243</v>
      </c>
      <c r="Q12" s="108" t="s">
        <v>125</v>
      </c>
      <c r="R12" s="303"/>
      <c r="S12" s="108" t="s">
        <v>127</v>
      </c>
      <c r="T12" s="108" t="s">
        <v>128</v>
      </c>
      <c r="U12" s="108" t="s">
        <v>128</v>
      </c>
    </row>
    <row r="13" spans="1:50" ht="14.25" customHeight="1">
      <c r="A13" s="304"/>
      <c r="B13" s="26"/>
      <c r="C13" s="26"/>
      <c r="D13" s="26"/>
      <c r="E13" s="39"/>
      <c r="F13" s="39"/>
      <c r="G13" s="156"/>
      <c r="H13" s="28"/>
      <c r="I13" s="677"/>
      <c r="J13" s="682"/>
      <c r="K13" s="690"/>
      <c r="L13" s="691"/>
      <c r="M13" s="692"/>
      <c r="N13" s="689"/>
      <c r="O13" s="458">
        <f>SUM(N10:N11)</f>
        <v>2.6800000000000001E-2</v>
      </c>
      <c r="Q13" s="315"/>
      <c r="R13" s="313"/>
      <c r="S13" s="315"/>
      <c r="T13" s="315"/>
      <c r="U13" s="315"/>
    </row>
    <row r="14" spans="1:50" ht="14.25" customHeight="1" thickBot="1">
      <c r="A14" s="304">
        <v>2</v>
      </c>
      <c r="B14" s="26"/>
      <c r="C14" s="26" t="s">
        <v>130</v>
      </c>
      <c r="D14" s="26"/>
      <c r="E14" s="316">
        <f>$N$14</f>
        <v>7.0800000000000002E-2</v>
      </c>
      <c r="F14" s="202"/>
      <c r="G14" s="242"/>
      <c r="H14" s="28"/>
      <c r="I14" s="677"/>
      <c r="J14" s="682" t="s">
        <v>137</v>
      </c>
      <c r="K14" s="686"/>
      <c r="L14" s="693">
        <f>SUM(L10:L12)</f>
        <v>1</v>
      </c>
      <c r="M14" s="692"/>
      <c r="N14" s="694">
        <f>SUM(N10:N12)</f>
        <v>7.0800000000000002E-2</v>
      </c>
      <c r="O14" s="156"/>
      <c r="Q14" s="26" t="s">
        <v>129</v>
      </c>
      <c r="R14" s="36"/>
      <c r="S14" s="170">
        <v>0.4415</v>
      </c>
      <c r="T14" s="170">
        <v>7.7499999999999999E-2</v>
      </c>
      <c r="U14" s="170">
        <f>ROUND(S14*T14,4)</f>
        <v>3.4200000000000001E-2</v>
      </c>
    </row>
    <row r="15" spans="1:50" ht="14.25" customHeight="1" thickTop="1" thickBot="1">
      <c r="A15" s="304"/>
      <c r="B15" s="26"/>
      <c r="C15" s="26"/>
      <c r="D15" s="26"/>
      <c r="E15" s="202"/>
      <c r="F15" s="202"/>
      <c r="G15" s="156"/>
      <c r="H15" s="28"/>
      <c r="I15" s="695"/>
      <c r="J15" s="696"/>
      <c r="K15" s="697"/>
      <c r="L15" s="698"/>
      <c r="M15" s="699"/>
      <c r="N15" s="700" t="s">
        <v>818</v>
      </c>
      <c r="O15" s="454"/>
      <c r="R15" s="112"/>
      <c r="S15" s="170"/>
      <c r="T15" s="170"/>
      <c r="U15" s="170"/>
    </row>
    <row r="16" spans="1:50" ht="14.25" customHeight="1">
      <c r="A16" s="304">
        <v>3</v>
      </c>
      <c r="B16" s="26"/>
      <c r="C16" s="26" t="s">
        <v>131</v>
      </c>
      <c r="D16" s="26"/>
      <c r="E16" s="208">
        <f>ROUND(E12*E14,4)</f>
        <v>102160.50599999999</v>
      </c>
      <c r="F16" s="208" t="e">
        <f>ROUND(F12*F14,4)</f>
        <v>#REF!</v>
      </c>
      <c r="G16" s="506"/>
      <c r="H16" s="28"/>
      <c r="I16" s="557"/>
      <c r="O16" s="454"/>
      <c r="Q16" s="324" t="s">
        <v>132</v>
      </c>
      <c r="R16" s="325"/>
      <c r="S16" s="326">
        <v>3.39E-2</v>
      </c>
      <c r="T16" s="326">
        <v>7.0800000000000002E-2</v>
      </c>
      <c r="U16" s="326">
        <f>ROUND(S16*T16,4)</f>
        <v>2.3999999999999998E-3</v>
      </c>
    </row>
    <row r="17" spans="1:29" ht="14.25" customHeight="1">
      <c r="A17" s="304"/>
      <c r="B17" s="26"/>
      <c r="C17" s="26"/>
      <c r="D17" s="26"/>
      <c r="E17" s="39"/>
      <c r="F17" s="39"/>
      <c r="G17" s="321"/>
      <c r="H17" s="28"/>
      <c r="L17" s="159"/>
      <c r="M17" s="159"/>
      <c r="O17" s="454"/>
      <c r="P17" s="159"/>
      <c r="R17" s="112"/>
      <c r="S17" s="170"/>
      <c r="T17" s="170"/>
      <c r="U17" s="170"/>
      <c r="V17" s="318" t="s">
        <v>243</v>
      </c>
      <c r="W17" s="318" t="s">
        <v>244</v>
      </c>
      <c r="AC17" s="245"/>
    </row>
    <row r="18" spans="1:29" ht="14.25" customHeight="1">
      <c r="A18" s="304">
        <v>4</v>
      </c>
      <c r="B18" s="26"/>
      <c r="C18" s="26" t="s">
        <v>135</v>
      </c>
      <c r="D18" s="26"/>
      <c r="E18" s="306">
        <f>'Exh. No. BGM-3 4'!AT56</f>
        <v>102038.77462</v>
      </c>
      <c r="F18" s="317" t="e">
        <f>'Exh. No. BGM-3 4'!#REF!</f>
        <v>#REF!</v>
      </c>
      <c r="G18" s="321"/>
      <c r="H18" s="28"/>
      <c r="O18" s="454"/>
      <c r="P18" s="160"/>
      <c r="Q18" s="26" t="s">
        <v>133</v>
      </c>
      <c r="R18" s="112"/>
      <c r="S18" s="170" t="e">
        <f>#REF!</f>
        <v>#REF!</v>
      </c>
      <c r="T18" s="170" t="e">
        <f>#REF!</f>
        <v>#REF!</v>
      </c>
      <c r="U18" s="170" t="e">
        <f>ROUND(S18*T18,4)</f>
        <v>#REF!</v>
      </c>
      <c r="V18" s="319" t="e">
        <f>SUM(U14:U18)</f>
        <v>#REF!</v>
      </c>
      <c r="W18" s="319" t="e">
        <f>U14+U18</f>
        <v>#REF!</v>
      </c>
    </row>
    <row r="19" spans="1:29" ht="14.25" customHeight="1">
      <c r="A19" s="304"/>
      <c r="B19" s="26"/>
      <c r="C19" s="26"/>
      <c r="D19" s="26"/>
      <c r="E19" s="26"/>
      <c r="F19" s="26"/>
      <c r="G19" s="321"/>
      <c r="H19" s="28"/>
      <c r="O19" s="28"/>
      <c r="R19" s="112"/>
      <c r="S19" s="170"/>
      <c r="T19" s="170"/>
      <c r="U19" s="170"/>
      <c r="W19" s="161"/>
    </row>
    <row r="20" spans="1:29" ht="14.25" customHeight="1">
      <c r="A20" s="304">
        <v>5</v>
      </c>
      <c r="B20" s="26"/>
      <c r="C20" s="26" t="s">
        <v>136</v>
      </c>
      <c r="D20" s="26"/>
      <c r="E20" s="39">
        <f>E16-E18</f>
        <v>121.73137999999744</v>
      </c>
      <c r="F20" s="39" t="e">
        <f t="shared" ref="F20" si="0">F16-F18</f>
        <v>#REF!</v>
      </c>
      <c r="G20" s="321"/>
      <c r="H20" s="28"/>
      <c r="J20" s="28"/>
      <c r="Q20" s="26" t="s">
        <v>134</v>
      </c>
      <c r="R20" s="112"/>
      <c r="S20" s="170"/>
      <c r="T20" s="170"/>
      <c r="U20" s="170">
        <v>0</v>
      </c>
    </row>
    <row r="21" spans="1:29" ht="14.25" customHeight="1">
      <c r="A21" s="304"/>
      <c r="B21" s="26"/>
      <c r="C21" s="26"/>
      <c r="D21" s="26"/>
      <c r="E21" s="26"/>
      <c r="F21" s="26"/>
      <c r="G21" s="321"/>
      <c r="H21" s="28"/>
      <c r="J21" s="310"/>
      <c r="K21" s="156"/>
      <c r="L21" s="156"/>
      <c r="M21" s="197"/>
      <c r="N21" s="156"/>
      <c r="O21" s="156"/>
      <c r="R21" s="112"/>
      <c r="S21" s="170"/>
      <c r="T21" s="170"/>
      <c r="U21" s="170"/>
    </row>
    <row r="22" spans="1:29" ht="11.25" customHeight="1">
      <c r="A22" s="304">
        <v>6</v>
      </c>
      <c r="B22" s="26"/>
      <c r="C22" s="26" t="s">
        <v>138</v>
      </c>
      <c r="D22" s="26"/>
      <c r="E22" s="493">
        <f>'Exh. No. BGM-3 3'!$E$24</f>
        <v>0.61941299999999999</v>
      </c>
      <c r="F22" s="493">
        <f>'Exh. No. BGM-3 3'!F24</f>
        <v>0</v>
      </c>
      <c r="G22" s="321"/>
      <c r="H22" s="28"/>
      <c r="I22" s="156"/>
      <c r="J22" s="156"/>
      <c r="K22" s="156"/>
      <c r="L22" s="156"/>
      <c r="M22" s="197"/>
      <c r="N22" s="156"/>
      <c r="O22" s="156"/>
      <c r="Q22" s="26" t="s">
        <v>11</v>
      </c>
      <c r="R22" s="112"/>
      <c r="S22" s="170">
        <f>L12</f>
        <v>0.48399999999999999</v>
      </c>
      <c r="T22" s="170">
        <f>M12</f>
        <v>9.0999999999999998E-2</v>
      </c>
      <c r="U22" s="170">
        <f>ROUND(S22*T22,4)</f>
        <v>4.3999999999999997E-2</v>
      </c>
    </row>
    <row r="23" spans="1:29" ht="14.25" customHeight="1" thickBot="1">
      <c r="A23" s="304"/>
      <c r="B23" s="26"/>
      <c r="C23" s="26"/>
      <c r="D23" s="26"/>
      <c r="E23" s="651"/>
      <c r="F23" s="651">
        <v>2017</v>
      </c>
      <c r="G23" s="321"/>
      <c r="H23" s="28"/>
      <c r="I23" s="156"/>
      <c r="J23" s="242"/>
      <c r="K23" s="242"/>
      <c r="L23" s="242"/>
      <c r="M23" s="197"/>
      <c r="N23" s="156"/>
      <c r="O23" s="156"/>
      <c r="R23" s="112"/>
      <c r="S23" s="83"/>
      <c r="T23" s="83"/>
      <c r="U23" s="170"/>
    </row>
    <row r="24" spans="1:29" ht="14.25" customHeight="1" thickBot="1">
      <c r="A24" s="304">
        <v>7</v>
      </c>
      <c r="B24" s="26"/>
      <c r="C24" s="26" t="s">
        <v>733</v>
      </c>
      <c r="D24" s="26"/>
      <c r="E24" s="720">
        <f>ROUND(E20/E22,3)</f>
        <v>196.52699999999999</v>
      </c>
      <c r="F24" s="671" t="e">
        <f t="shared" ref="F24" si="1">ROUND(F20/F22,0)</f>
        <v>#REF!</v>
      </c>
      <c r="G24" s="321"/>
      <c r="H24" s="28"/>
      <c r="I24" s="451"/>
      <c r="J24" s="242"/>
      <c r="K24" s="242"/>
      <c r="L24" s="242"/>
      <c r="M24" s="197"/>
      <c r="N24" s="156"/>
      <c r="O24" s="156"/>
      <c r="P24" s="156"/>
      <c r="Q24" s="156"/>
      <c r="R24" s="185"/>
      <c r="S24" s="449"/>
      <c r="T24" s="449"/>
      <c r="U24" s="450"/>
      <c r="V24" s="156"/>
      <c r="W24" s="156"/>
      <c r="X24" s="156"/>
      <c r="AC24" s="245"/>
    </row>
    <row r="25" spans="1:29" ht="14.25" customHeight="1">
      <c r="A25" s="304"/>
      <c r="B25" s="315"/>
      <c r="C25" s="26"/>
      <c r="D25" s="26"/>
      <c r="E25" s="39"/>
      <c r="F25" s="26"/>
      <c r="G25" s="321"/>
      <c r="H25" s="28"/>
      <c r="I25" s="156"/>
      <c r="J25" s="242"/>
      <c r="K25" s="242"/>
      <c r="L25" s="242"/>
      <c r="M25" s="242"/>
      <c r="N25" s="156"/>
      <c r="O25" s="156"/>
      <c r="P25" s="156"/>
      <c r="Q25" s="156"/>
      <c r="R25" s="185"/>
      <c r="S25" s="449"/>
      <c r="T25" s="449"/>
      <c r="U25" s="450"/>
      <c r="V25" s="156"/>
      <c r="W25" s="156"/>
      <c r="X25" s="156"/>
    </row>
    <row r="26" spans="1:29" ht="14.25" customHeight="1">
      <c r="A26" s="304">
        <v>8</v>
      </c>
      <c r="B26" s="315"/>
      <c r="C26" s="26" t="s">
        <v>734</v>
      </c>
      <c r="D26" s="26"/>
      <c r="E26" s="36">
        <f>'Exh. No. BGM-3 4'!AT14+'Exh. No. BGM-3 4'!AT15</f>
        <v>492134</v>
      </c>
      <c r="F26" s="36" t="e">
        <f>'Exh. No. BGM-3 4'!#REF!+'Exh. No. BGM-3 4'!#REF!</f>
        <v>#REF!</v>
      </c>
      <c r="G26" s="321"/>
      <c r="H26" s="28"/>
      <c r="I26" s="452"/>
      <c r="J26" s="655"/>
      <c r="K26" s="655"/>
      <c r="L26" s="655"/>
      <c r="M26" s="655"/>
      <c r="N26" s="655"/>
      <c r="O26" s="156"/>
      <c r="P26" s="156"/>
      <c r="Q26" s="156"/>
      <c r="R26" s="185"/>
      <c r="S26" s="449"/>
      <c r="T26" s="449"/>
      <c r="U26" s="450"/>
      <c r="V26" s="156"/>
      <c r="W26" s="156"/>
      <c r="X26" s="156"/>
    </row>
    <row r="27" spans="1:29" ht="14.25" customHeight="1">
      <c r="A27" s="304"/>
      <c r="B27" s="315"/>
      <c r="C27" s="26"/>
      <c r="D27" s="26"/>
      <c r="E27" s="26"/>
      <c r="F27" s="26"/>
      <c r="G27" s="321"/>
      <c r="H27" s="28"/>
      <c r="I27" s="454"/>
      <c r="J27" s="454"/>
      <c r="K27" s="454"/>
      <c r="L27" s="655"/>
      <c r="M27" s="455"/>
      <c r="N27" s="655"/>
      <c r="O27" s="156"/>
      <c r="P27" s="156"/>
      <c r="Q27" s="156"/>
      <c r="R27" s="242"/>
      <c r="S27" s="450"/>
      <c r="T27" s="449"/>
      <c r="U27" s="450"/>
      <c r="V27" s="156"/>
      <c r="W27" s="156"/>
      <c r="X27" s="156"/>
    </row>
    <row r="28" spans="1:29" ht="14.25" customHeight="1" thickBot="1">
      <c r="A28" s="304">
        <v>9</v>
      </c>
      <c r="B28" s="315"/>
      <c r="C28" s="26" t="s">
        <v>140</v>
      </c>
      <c r="D28" s="26"/>
      <c r="E28" s="496">
        <f>ROUND(E24/E26,4)</f>
        <v>4.0000000000000002E-4</v>
      </c>
      <c r="F28" s="496" t="e">
        <f t="shared" ref="F28" si="2">ROUND(F24/F26,4)</f>
        <v>#REF!</v>
      </c>
      <c r="G28" s="321"/>
      <c r="H28" s="28"/>
      <c r="I28" s="454"/>
      <c r="J28" s="156"/>
      <c r="K28" s="655"/>
      <c r="L28" s="655"/>
      <c r="M28" s="655"/>
      <c r="N28" s="655"/>
      <c r="O28" s="655"/>
      <c r="P28" s="156"/>
      <c r="Q28" s="156"/>
      <c r="R28" s="156"/>
      <c r="S28" s="156"/>
      <c r="T28" s="156"/>
      <c r="U28" s="156"/>
      <c r="V28" s="156"/>
      <c r="W28" s="156"/>
      <c r="X28" s="156"/>
    </row>
    <row r="29" spans="1:29" ht="14.25" customHeight="1" thickTop="1">
      <c r="E29" s="321"/>
      <c r="F29" s="321"/>
      <c r="G29" s="321"/>
      <c r="H29" s="28"/>
      <c r="I29" s="454"/>
      <c r="J29" s="655"/>
      <c r="K29" s="655"/>
      <c r="L29" s="655"/>
      <c r="M29" s="655"/>
      <c r="N29" s="655"/>
      <c r="O29" s="454"/>
      <c r="P29" s="156"/>
      <c r="Q29" s="156"/>
      <c r="R29" s="156"/>
      <c r="S29" s="156"/>
      <c r="T29" s="156"/>
      <c r="U29" s="156"/>
      <c r="V29" s="156"/>
      <c r="W29" s="156"/>
      <c r="X29" s="156"/>
    </row>
    <row r="30" spans="1:29" ht="14.25" customHeight="1">
      <c r="A30" s="632">
        <v>10</v>
      </c>
      <c r="B30" s="315"/>
      <c r="C30" s="26" t="s">
        <v>735</v>
      </c>
      <c r="D30" s="26"/>
      <c r="E30" s="242">
        <v>511823</v>
      </c>
      <c r="F30" s="36">
        <v>505346</v>
      </c>
      <c r="G30" s="321"/>
      <c r="H30" s="28"/>
      <c r="I30" s="454"/>
      <c r="J30" s="454"/>
      <c r="K30" s="454"/>
      <c r="L30" s="454"/>
      <c r="M30" s="455"/>
      <c r="N30" s="454"/>
      <c r="O30" s="454"/>
      <c r="P30" s="156"/>
      <c r="Q30" s="156"/>
      <c r="R30" s="156"/>
      <c r="S30" s="156"/>
      <c r="T30" s="156"/>
      <c r="U30" s="156"/>
      <c r="V30" s="156"/>
      <c r="W30" s="156"/>
      <c r="X30" s="156"/>
    </row>
    <row r="31" spans="1:29" ht="14.25" customHeight="1">
      <c r="A31" s="632"/>
      <c r="B31" s="315"/>
      <c r="C31" s="26"/>
      <c r="D31" s="26"/>
      <c r="E31" s="167"/>
      <c r="F31" s="26"/>
      <c r="G31" s="321"/>
      <c r="H31" s="28"/>
      <c r="I31" s="454"/>
      <c r="J31" s="156"/>
      <c r="K31" s="242"/>
      <c r="L31" s="450"/>
      <c r="M31" s="456"/>
      <c r="N31" s="450"/>
      <c r="O31" s="454"/>
      <c r="P31" s="156"/>
      <c r="Q31" s="156"/>
      <c r="R31" s="156"/>
      <c r="S31" s="156"/>
      <c r="T31" s="156"/>
      <c r="U31" s="156"/>
      <c r="V31" s="156"/>
      <c r="W31" s="156"/>
      <c r="X31" s="156"/>
    </row>
    <row r="32" spans="1:29" ht="14.25" customHeight="1" thickBot="1">
      <c r="A32" s="632">
        <v>11</v>
      </c>
      <c r="B32" s="315"/>
      <c r="C32" s="26" t="s">
        <v>140</v>
      </c>
      <c r="D32" s="26"/>
      <c r="E32" s="705">
        <f>ROUND(E24/E30,4)</f>
        <v>4.0000000000000002E-4</v>
      </c>
      <c r="F32" s="496" t="e">
        <f t="shared" ref="F32" si="3">ROUND(F24/F30,4)</f>
        <v>#REF!</v>
      </c>
      <c r="G32" s="321"/>
      <c r="H32" s="28"/>
      <c r="I32" s="454"/>
      <c r="J32" s="156"/>
      <c r="K32" s="185"/>
      <c r="L32" s="450"/>
      <c r="M32" s="456"/>
      <c r="N32" s="450"/>
      <c r="O32" s="156"/>
      <c r="P32" s="156"/>
      <c r="Q32" s="156"/>
      <c r="R32" s="156"/>
      <c r="S32" s="156"/>
      <c r="T32" s="156"/>
      <c r="U32" s="156"/>
      <c r="V32" s="156"/>
      <c r="W32" s="156"/>
      <c r="X32" s="156"/>
    </row>
    <row r="33" spans="1:24" ht="14.25" customHeight="1" thickTop="1">
      <c r="A33" s="321"/>
      <c r="B33" s="321"/>
      <c r="C33" s="321"/>
      <c r="D33" s="321"/>
      <c r="E33" s="322"/>
      <c r="F33" s="321"/>
      <c r="G33" s="321"/>
      <c r="H33" s="28"/>
      <c r="I33" s="454"/>
      <c r="J33" s="156"/>
      <c r="K33" s="559"/>
      <c r="L33" s="450"/>
      <c r="M33" s="456"/>
      <c r="N33" s="450"/>
      <c r="O33" s="156"/>
      <c r="P33" s="156"/>
      <c r="Q33" s="156"/>
      <c r="R33" s="156"/>
      <c r="S33" s="156"/>
      <c r="T33" s="156"/>
      <c r="U33" s="156"/>
      <c r="V33" s="156"/>
      <c r="W33" s="156"/>
      <c r="X33" s="156"/>
    </row>
    <row r="34" spans="1:24" ht="14.25" customHeight="1">
      <c r="A34" s="321"/>
      <c r="B34" s="321"/>
      <c r="C34" s="321"/>
      <c r="D34" s="321"/>
      <c r="E34" s="322"/>
      <c r="F34" s="321"/>
      <c r="G34" s="321"/>
      <c r="H34" s="28"/>
      <c r="I34" s="454"/>
      <c r="J34" s="156"/>
      <c r="K34" s="559"/>
      <c r="L34" s="450"/>
      <c r="M34" s="456"/>
      <c r="N34" s="450"/>
      <c r="O34" s="156"/>
      <c r="P34" s="156"/>
      <c r="Q34" s="156"/>
      <c r="R34" s="156"/>
      <c r="S34" s="156"/>
      <c r="T34" s="156"/>
      <c r="U34" s="156"/>
      <c r="V34" s="156"/>
      <c r="W34" s="156"/>
      <c r="X34" s="156"/>
    </row>
    <row r="35" spans="1:24" s="28" customFormat="1" ht="14.25" customHeight="1">
      <c r="A35" s="321"/>
      <c r="B35" s="321"/>
      <c r="C35" s="321"/>
      <c r="D35" s="321"/>
      <c r="E35" s="322"/>
      <c r="F35" s="321"/>
      <c r="G35" s="321"/>
      <c r="I35" s="454"/>
      <c r="J35" s="156"/>
      <c r="K35" s="559"/>
      <c r="L35" s="450"/>
      <c r="M35" s="456"/>
      <c r="N35" s="450"/>
      <c r="O35" s="457"/>
      <c r="P35" s="156"/>
      <c r="Q35" s="156"/>
      <c r="R35" s="156"/>
      <c r="S35" s="156"/>
      <c r="T35" s="156"/>
      <c r="U35" s="156"/>
      <c r="V35" s="156"/>
      <c r="W35" s="156"/>
      <c r="X35" s="156"/>
    </row>
    <row r="36" spans="1:24" s="28" customFormat="1" ht="14.25" customHeight="1">
      <c r="A36" s="321"/>
      <c r="B36" s="775"/>
      <c r="C36" s="775"/>
      <c r="D36" s="321"/>
      <c r="E36" s="484"/>
      <c r="F36" s="321"/>
      <c r="G36" s="320"/>
      <c r="H36" s="26"/>
      <c r="I36" s="454"/>
      <c r="J36" s="156"/>
      <c r="K36" s="559"/>
      <c r="L36" s="449"/>
      <c r="M36" s="459"/>
      <c r="N36" s="450"/>
      <c r="O36" s="458"/>
      <c r="P36" s="156"/>
      <c r="Q36" s="156"/>
      <c r="R36" s="156"/>
      <c r="S36" s="156"/>
      <c r="T36" s="156"/>
      <c r="U36" s="156"/>
      <c r="V36" s="156"/>
      <c r="W36" s="156"/>
      <c r="X36" s="156"/>
    </row>
    <row r="37" spans="1:24" s="28" customFormat="1" ht="14.25" customHeight="1">
      <c r="A37" s="321"/>
      <c r="B37" s="775"/>
      <c r="C37" s="775"/>
      <c r="D37" s="321"/>
      <c r="E37" s="484"/>
      <c r="F37" s="321"/>
      <c r="G37" s="320"/>
      <c r="H37" s="26"/>
      <c r="I37" s="454"/>
      <c r="J37" s="156"/>
      <c r="K37" s="242"/>
      <c r="L37" s="450"/>
      <c r="M37" s="459"/>
      <c r="N37" s="450"/>
      <c r="O37" s="156"/>
      <c r="P37" s="156"/>
      <c r="Q37" s="156"/>
      <c r="R37" s="156"/>
      <c r="S37" s="156"/>
      <c r="T37" s="156"/>
      <c r="U37" s="156"/>
      <c r="V37" s="156"/>
      <c r="W37" s="156"/>
      <c r="X37" s="156"/>
    </row>
    <row r="38" spans="1:24" s="28" customFormat="1" ht="14.25" customHeight="1">
      <c r="A38" s="321"/>
      <c r="B38" s="776"/>
      <c r="C38" s="775"/>
      <c r="D38" s="321"/>
      <c r="E38" s="777"/>
      <c r="F38" s="321"/>
      <c r="G38" s="320"/>
      <c r="H38" s="26"/>
      <c r="I38" s="454"/>
      <c r="J38" s="156"/>
      <c r="K38" s="559"/>
      <c r="L38" s="450"/>
      <c r="M38" s="456"/>
      <c r="N38" s="450"/>
      <c r="O38" s="454"/>
      <c r="P38" s="156"/>
      <c r="Q38" s="156"/>
      <c r="R38" s="156"/>
      <c r="S38" s="156"/>
      <c r="T38" s="156"/>
      <c r="U38" s="156"/>
      <c r="V38" s="156"/>
      <c r="W38" s="156"/>
      <c r="X38" s="156"/>
    </row>
    <row r="39" spans="1:24" s="28" customFormat="1" ht="14.25" customHeight="1">
      <c r="A39" s="321"/>
      <c r="B39" s="775"/>
      <c r="C39" s="775"/>
      <c r="D39" s="321"/>
      <c r="E39" s="485"/>
      <c r="F39" s="321"/>
      <c r="G39" s="320"/>
      <c r="H39" s="26"/>
      <c r="I39" s="156"/>
      <c r="J39" s="156"/>
      <c r="K39" s="156"/>
      <c r="L39" s="156"/>
      <c r="M39" s="197"/>
      <c r="N39" s="156"/>
      <c r="O39" s="454"/>
      <c r="P39" s="156"/>
      <c r="Q39" s="156"/>
      <c r="R39" s="156"/>
      <c r="S39" s="156"/>
      <c r="T39" s="156"/>
      <c r="U39" s="156"/>
      <c r="V39" s="156"/>
      <c r="W39" s="156"/>
      <c r="X39" s="156"/>
    </row>
    <row r="40" spans="1:24" s="28" customFormat="1" ht="14.25" customHeight="1">
      <c r="A40" s="321"/>
      <c r="B40" s="775"/>
      <c r="C40" s="775"/>
      <c r="D40" s="321"/>
      <c r="E40" s="486"/>
      <c r="F40" s="321"/>
      <c r="G40" s="320"/>
      <c r="H40" s="26"/>
      <c r="I40" s="156"/>
      <c r="J40" s="156"/>
      <c r="K40" s="156"/>
      <c r="L40" s="156"/>
      <c r="M40" s="197"/>
      <c r="N40" s="156"/>
      <c r="O40" s="454"/>
      <c r="P40" s="156"/>
      <c r="Q40" s="156"/>
      <c r="R40" s="156"/>
      <c r="S40" s="156"/>
      <c r="T40" s="156"/>
      <c r="U40" s="156"/>
      <c r="V40" s="156"/>
      <c r="W40" s="156"/>
      <c r="X40" s="156"/>
    </row>
    <row r="41" spans="1:24" s="28" customFormat="1" ht="14.25" customHeight="1">
      <c r="A41" s="321"/>
      <c r="B41" s="775"/>
      <c r="C41" s="775"/>
      <c r="D41" s="321"/>
      <c r="E41" s="485"/>
      <c r="F41" s="321"/>
      <c r="G41" s="320"/>
      <c r="H41" s="26"/>
      <c r="I41" s="156"/>
      <c r="J41" s="156"/>
      <c r="K41" s="156"/>
      <c r="L41" s="156"/>
      <c r="M41" s="197"/>
      <c r="N41" s="259"/>
      <c r="O41" s="156"/>
      <c r="P41" s="156"/>
      <c r="Q41" s="156"/>
      <c r="R41" s="156"/>
      <c r="S41" s="156"/>
      <c r="T41" s="156"/>
      <c r="U41" s="156"/>
      <c r="V41" s="156"/>
      <c r="W41" s="156"/>
      <c r="X41" s="156"/>
    </row>
    <row r="42" spans="1:24" s="28" customFormat="1" ht="14.25" customHeight="1">
      <c r="A42" s="321"/>
      <c r="B42" s="775"/>
      <c r="C42" s="775"/>
      <c r="D42" s="321"/>
      <c r="E42" s="487"/>
      <c r="F42" s="321"/>
      <c r="G42" s="320"/>
      <c r="H42" s="26"/>
      <c r="I42" s="156"/>
      <c r="J42" s="156"/>
      <c r="K42" s="156"/>
      <c r="L42" s="156"/>
      <c r="M42" s="197"/>
      <c r="N42" s="259"/>
      <c r="O42" s="156"/>
      <c r="P42" s="156"/>
      <c r="Q42" s="156"/>
      <c r="R42" s="156"/>
      <c r="S42" s="156"/>
      <c r="T42" s="156"/>
      <c r="U42" s="156"/>
      <c r="V42" s="156"/>
      <c r="W42" s="156"/>
      <c r="X42" s="156"/>
    </row>
    <row r="43" spans="1:24" s="28" customFormat="1" ht="14.25" customHeight="1">
      <c r="A43" s="321"/>
      <c r="B43" s="775"/>
      <c r="C43" s="775"/>
      <c r="D43" s="321"/>
      <c r="E43" s="485"/>
      <c r="F43" s="321"/>
      <c r="G43" s="320"/>
      <c r="H43" s="167"/>
      <c r="I43" s="156"/>
      <c r="J43" s="156"/>
      <c r="K43" s="156"/>
      <c r="L43" s="156"/>
      <c r="M43" s="197"/>
      <c r="N43" s="156"/>
      <c r="O43" s="156"/>
      <c r="P43" s="156"/>
      <c r="Q43" s="156"/>
      <c r="R43" s="156"/>
      <c r="S43" s="156"/>
      <c r="T43" s="156"/>
      <c r="U43" s="156"/>
      <c r="V43" s="156"/>
      <c r="W43" s="156"/>
      <c r="X43" s="156"/>
    </row>
    <row r="44" spans="1:24" s="28" customFormat="1" ht="14.25" customHeight="1">
      <c r="A44" s="321"/>
      <c r="B44" s="775"/>
      <c r="C44" s="775"/>
      <c r="D44" s="321"/>
      <c r="E44" s="488"/>
      <c r="F44" s="321"/>
      <c r="G44" s="320"/>
      <c r="H44" s="26"/>
      <c r="I44" s="460"/>
      <c r="J44" s="156"/>
      <c r="K44" s="156"/>
      <c r="L44" s="156"/>
      <c r="M44" s="197"/>
      <c r="N44" s="259"/>
      <c r="O44" s="156"/>
      <c r="P44" s="156"/>
      <c r="Q44" s="156"/>
      <c r="R44" s="156"/>
      <c r="S44" s="156"/>
      <c r="T44" s="156"/>
      <c r="U44" s="156"/>
      <c r="V44" s="156"/>
      <c r="W44" s="156"/>
      <c r="X44" s="156"/>
    </row>
    <row r="45" spans="1:24" s="28" customFormat="1" ht="14.25" customHeight="1">
      <c r="A45" s="321"/>
      <c r="B45" s="775"/>
      <c r="C45" s="775"/>
      <c r="D45" s="321"/>
      <c r="E45" s="778"/>
      <c r="F45" s="321"/>
      <c r="G45" s="320"/>
      <c r="H45" s="26"/>
      <c r="I45" s="460"/>
      <c r="J45" s="156"/>
      <c r="K45" s="156"/>
      <c r="L45" s="156"/>
      <c r="M45" s="197"/>
      <c r="N45" s="259"/>
      <c r="O45" s="156"/>
      <c r="P45" s="156"/>
      <c r="Q45" s="156"/>
      <c r="R45" s="156"/>
      <c r="S45" s="156"/>
      <c r="T45" s="156"/>
      <c r="U45" s="156"/>
      <c r="V45" s="156"/>
      <c r="W45" s="156"/>
      <c r="X45" s="156"/>
    </row>
    <row r="46" spans="1:24" s="28" customFormat="1" ht="14.25" customHeight="1">
      <c r="A46" s="321"/>
      <c r="B46" s="775"/>
      <c r="C46" s="775"/>
      <c r="D46" s="321"/>
      <c r="E46" s="779"/>
      <c r="F46" s="321"/>
      <c r="G46" s="320"/>
      <c r="H46" s="26"/>
      <c r="I46" s="156"/>
      <c r="J46" s="156"/>
      <c r="K46" s="156"/>
      <c r="L46" s="156"/>
      <c r="M46" s="197"/>
      <c r="N46" s="156"/>
      <c r="O46" s="156"/>
      <c r="P46" s="156"/>
      <c r="Q46" s="156"/>
      <c r="R46" s="156"/>
      <c r="S46" s="156"/>
      <c r="T46" s="156"/>
      <c r="U46" s="156"/>
      <c r="V46" s="156"/>
      <c r="W46" s="156"/>
      <c r="X46" s="156"/>
    </row>
    <row r="47" spans="1:24" ht="14.25" customHeight="1">
      <c r="A47" s="321"/>
      <c r="B47" s="321"/>
      <c r="C47" s="321"/>
      <c r="D47" s="321"/>
      <c r="E47" s="321"/>
      <c r="F47" s="321"/>
      <c r="I47" s="156"/>
      <c r="J47" s="156"/>
      <c r="K47" s="156"/>
      <c r="L47" s="156"/>
      <c r="M47" s="197"/>
      <c r="N47" s="259"/>
      <c r="O47" s="156"/>
      <c r="P47" s="156"/>
      <c r="Q47" s="156"/>
      <c r="R47" s="156"/>
      <c r="S47" s="156"/>
      <c r="T47" s="156"/>
      <c r="U47" s="156"/>
      <c r="V47" s="156"/>
      <c r="W47" s="156"/>
      <c r="X47" s="156"/>
    </row>
    <row r="48" spans="1:24" ht="14.25" customHeight="1">
      <c r="I48" s="156"/>
      <c r="J48" s="156"/>
      <c r="K48" s="156"/>
      <c r="L48" s="156"/>
      <c r="M48" s="197"/>
      <c r="N48" s="259"/>
      <c r="O48" s="156"/>
      <c r="P48" s="156"/>
      <c r="Q48" s="156"/>
      <c r="R48" s="156"/>
      <c r="S48" s="156"/>
      <c r="T48" s="156"/>
      <c r="U48" s="156"/>
      <c r="V48" s="156"/>
      <c r="W48" s="156"/>
      <c r="X48" s="156"/>
    </row>
    <row r="49" spans="9:24" ht="14.25" customHeight="1">
      <c r="I49" s="156"/>
      <c r="J49" s="156"/>
      <c r="K49" s="156"/>
      <c r="L49" s="156"/>
      <c r="M49" s="197"/>
      <c r="N49" s="156"/>
      <c r="O49" s="156"/>
      <c r="P49" s="156"/>
      <c r="Q49" s="156"/>
      <c r="R49" s="156"/>
      <c r="S49" s="156"/>
      <c r="T49" s="156"/>
      <c r="U49" s="156"/>
      <c r="V49" s="156"/>
      <c r="W49" s="156"/>
      <c r="X49" s="156"/>
    </row>
    <row r="50" spans="9:24" ht="14.25" customHeight="1">
      <c r="I50" s="156"/>
      <c r="J50" s="156"/>
      <c r="K50" s="156"/>
      <c r="L50" s="156"/>
      <c r="M50" s="197"/>
      <c r="N50" s="156"/>
      <c r="O50" s="156"/>
      <c r="P50" s="156"/>
      <c r="Q50" s="156"/>
      <c r="R50" s="156"/>
      <c r="S50" s="156"/>
      <c r="T50" s="156"/>
      <c r="U50" s="156"/>
      <c r="V50" s="156"/>
      <c r="W50" s="156"/>
      <c r="X50" s="156"/>
    </row>
    <row r="51" spans="9:24" ht="14.25" customHeight="1">
      <c r="I51" s="156"/>
      <c r="J51" s="156"/>
      <c r="K51" s="156"/>
      <c r="L51" s="156"/>
      <c r="M51" s="197"/>
      <c r="N51" s="156"/>
      <c r="O51" s="156"/>
      <c r="P51" s="156"/>
      <c r="Q51" s="156"/>
      <c r="R51" s="156"/>
      <c r="S51" s="156"/>
      <c r="T51" s="156"/>
      <c r="U51" s="156"/>
      <c r="V51" s="156"/>
      <c r="W51" s="156"/>
      <c r="X51" s="156"/>
    </row>
    <row r="52" spans="9:24" ht="14.25" customHeight="1">
      <c r="I52" s="156"/>
      <c r="J52" s="197"/>
      <c r="K52" s="156"/>
      <c r="L52" s="156"/>
      <c r="M52" s="197"/>
      <c r="N52" s="310"/>
      <c r="O52" s="156"/>
      <c r="P52" s="156"/>
      <c r="Q52" s="156"/>
      <c r="R52" s="156"/>
      <c r="S52" s="156"/>
      <c r="T52" s="156"/>
      <c r="U52" s="156"/>
      <c r="V52" s="156"/>
      <c r="W52" s="156"/>
      <c r="X52" s="156"/>
    </row>
    <row r="53" spans="9:24" ht="14.25" customHeight="1">
      <c r="I53" s="156"/>
      <c r="J53" s="156"/>
      <c r="K53" s="156"/>
      <c r="L53" s="156"/>
      <c r="M53" s="197"/>
      <c r="N53" s="259"/>
      <c r="O53" s="156"/>
      <c r="P53" s="156"/>
      <c r="Q53" s="156"/>
      <c r="R53" s="156"/>
      <c r="S53" s="156"/>
      <c r="T53" s="156"/>
      <c r="U53" s="156"/>
      <c r="V53" s="156"/>
      <c r="W53" s="156"/>
      <c r="X53" s="156"/>
    </row>
    <row r="54" spans="9:24" ht="14.25" customHeight="1">
      <c r="I54" s="156"/>
      <c r="J54" s="845"/>
      <c r="K54" s="845"/>
      <c r="L54" s="845"/>
      <c r="M54" s="845"/>
      <c r="N54" s="461"/>
      <c r="O54" s="156"/>
      <c r="P54" s="156"/>
      <c r="Q54" s="156"/>
      <c r="R54" s="310"/>
      <c r="S54" s="156"/>
      <c r="T54" s="156"/>
      <c r="U54" s="156"/>
      <c r="V54" s="156"/>
      <c r="W54" s="156"/>
      <c r="X54" s="156"/>
    </row>
    <row r="55" spans="9:24" ht="14.25" customHeight="1">
      <c r="I55" s="156"/>
      <c r="J55" s="156"/>
      <c r="K55" s="156"/>
      <c r="L55" s="156"/>
      <c r="M55" s="197"/>
      <c r="N55" s="156"/>
      <c r="O55" s="156"/>
      <c r="P55" s="156"/>
      <c r="Q55" s="156"/>
      <c r="R55" s="242"/>
      <c r="S55" s="156"/>
      <c r="T55" s="156"/>
      <c r="U55" s="156"/>
      <c r="V55" s="156"/>
      <c r="W55" s="156"/>
      <c r="X55" s="156"/>
    </row>
    <row r="56" spans="9:24" ht="29.25" customHeight="1">
      <c r="I56" s="156"/>
      <c r="J56" s="156"/>
      <c r="K56" s="156"/>
      <c r="L56" s="156"/>
      <c r="M56" s="197"/>
      <c r="N56" s="462"/>
      <c r="O56" s="156"/>
      <c r="P56" s="156"/>
      <c r="Q56" s="156"/>
      <c r="R56" s="450"/>
      <c r="S56" s="156"/>
      <c r="T56" s="156"/>
      <c r="U56" s="156"/>
      <c r="V56" s="156"/>
      <c r="W56" s="156"/>
      <c r="X56" s="156"/>
    </row>
    <row r="57" spans="9:24" ht="14.25" customHeight="1">
      <c r="I57" s="156"/>
      <c r="J57" s="156"/>
      <c r="K57" s="156"/>
      <c r="L57" s="156"/>
      <c r="M57" s="197"/>
      <c r="N57" s="156"/>
      <c r="O57" s="156"/>
      <c r="P57" s="156"/>
      <c r="Q57" s="156"/>
      <c r="R57" s="449"/>
      <c r="S57" s="156"/>
      <c r="T57" s="156"/>
      <c r="U57" s="156"/>
      <c r="V57" s="156"/>
      <c r="W57" s="156"/>
      <c r="X57" s="156"/>
    </row>
    <row r="58" spans="9:24" ht="14.25" customHeight="1">
      <c r="I58" s="156"/>
      <c r="J58" s="156"/>
      <c r="K58" s="156"/>
      <c r="L58" s="156"/>
      <c r="M58" s="197"/>
      <c r="N58" s="463"/>
      <c r="O58" s="156"/>
      <c r="P58" s="156"/>
      <c r="Q58" s="156"/>
      <c r="R58" s="242"/>
      <c r="S58" s="156"/>
      <c r="T58" s="156"/>
      <c r="U58" s="156"/>
      <c r="V58" s="156"/>
      <c r="W58" s="156"/>
      <c r="X58" s="156"/>
    </row>
    <row r="59" spans="9:24" ht="14.25" customHeight="1">
      <c r="I59" s="156"/>
      <c r="J59" s="156"/>
      <c r="K59" s="156"/>
      <c r="L59" s="156"/>
      <c r="M59" s="197"/>
      <c r="N59" s="156"/>
      <c r="O59" s="156"/>
      <c r="P59" s="156"/>
      <c r="Q59" s="156"/>
      <c r="R59" s="242"/>
      <c r="S59" s="156"/>
      <c r="T59" s="156"/>
      <c r="U59" s="156"/>
      <c r="V59" s="156"/>
      <c r="W59" s="156"/>
      <c r="X59" s="156"/>
    </row>
    <row r="60" spans="9:24" ht="14.25" customHeight="1">
      <c r="I60" s="156"/>
      <c r="J60" s="156"/>
      <c r="K60" s="156"/>
      <c r="L60" s="156"/>
      <c r="M60" s="197"/>
      <c r="N60" s="156"/>
      <c r="O60" s="156"/>
      <c r="P60" s="156"/>
      <c r="Q60" s="156"/>
      <c r="R60" s="242"/>
      <c r="S60" s="156"/>
      <c r="T60" s="156"/>
      <c r="U60" s="156"/>
      <c r="V60" s="156"/>
      <c r="W60" s="156"/>
      <c r="X60" s="156"/>
    </row>
    <row r="61" spans="9:24" ht="14.25" customHeight="1">
      <c r="I61" s="156"/>
      <c r="J61" s="197"/>
      <c r="K61" s="156"/>
      <c r="L61" s="156"/>
      <c r="M61" s="197"/>
      <c r="N61" s="310"/>
      <c r="O61" s="156"/>
      <c r="P61" s="156"/>
      <c r="Q61" s="156"/>
      <c r="R61" s="156"/>
      <c r="S61" s="156"/>
      <c r="T61" s="156"/>
      <c r="U61" s="156"/>
      <c r="V61" s="156"/>
      <c r="W61" s="156"/>
      <c r="X61" s="156"/>
    </row>
    <row r="62" spans="9:24" ht="14.25" customHeight="1">
      <c r="I62" s="156"/>
      <c r="J62" s="464"/>
      <c r="K62" s="156"/>
      <c r="L62" s="156"/>
      <c r="M62" s="197"/>
      <c r="N62" s="259"/>
      <c r="O62" s="156"/>
      <c r="P62" s="156"/>
      <c r="Q62" s="156"/>
      <c r="R62" s="242"/>
      <c r="S62" s="156"/>
      <c r="T62" s="156"/>
      <c r="U62" s="156"/>
      <c r="V62" s="156"/>
      <c r="W62" s="156"/>
      <c r="X62" s="156"/>
    </row>
    <row r="63" spans="9:24" ht="14.25" customHeight="1">
      <c r="I63" s="156"/>
      <c r="J63" s="156"/>
      <c r="K63" s="156"/>
      <c r="L63" s="156"/>
      <c r="M63" s="197"/>
      <c r="N63" s="156"/>
      <c r="O63" s="156"/>
      <c r="P63" s="156"/>
      <c r="Q63" s="156"/>
      <c r="R63" s="156"/>
      <c r="S63" s="156"/>
      <c r="T63" s="156"/>
      <c r="U63" s="156"/>
      <c r="V63" s="156"/>
      <c r="W63" s="156"/>
      <c r="X63" s="156"/>
    </row>
    <row r="64" spans="9:24" ht="14.25" customHeight="1">
      <c r="I64" s="156"/>
      <c r="J64" s="156"/>
      <c r="K64" s="156"/>
      <c r="L64" s="156"/>
      <c r="M64" s="197"/>
      <c r="N64" s="254"/>
      <c r="O64" s="156"/>
      <c r="P64" s="156"/>
      <c r="Q64" s="156"/>
      <c r="R64" s="462"/>
      <c r="S64" s="156"/>
      <c r="T64" s="156"/>
      <c r="U64" s="156"/>
      <c r="V64" s="156"/>
      <c r="W64" s="156"/>
      <c r="X64" s="156"/>
    </row>
    <row r="65" spans="9:24" ht="14.25" customHeight="1">
      <c r="I65" s="156"/>
      <c r="J65" s="156"/>
      <c r="K65" s="156"/>
      <c r="L65" s="156"/>
      <c r="M65" s="197"/>
      <c r="N65" s="156"/>
      <c r="O65" s="156"/>
      <c r="P65" s="156"/>
      <c r="Q65" s="156"/>
      <c r="R65" s="156"/>
      <c r="S65" s="156"/>
      <c r="T65" s="156"/>
      <c r="U65" s="156"/>
      <c r="V65" s="156"/>
      <c r="W65" s="156"/>
      <c r="X65" s="156"/>
    </row>
    <row r="66" spans="9:24" ht="14.25" customHeight="1">
      <c r="I66" s="156"/>
      <c r="J66" s="464"/>
      <c r="K66" s="156"/>
      <c r="L66" s="156"/>
      <c r="M66" s="197"/>
      <c r="N66" s="254"/>
      <c r="O66" s="156"/>
      <c r="P66" s="156"/>
      <c r="Q66" s="156"/>
      <c r="R66" s="242"/>
      <c r="S66" s="156"/>
      <c r="T66" s="156"/>
      <c r="U66" s="156"/>
      <c r="V66" s="156"/>
      <c r="W66" s="156"/>
      <c r="X66" s="156"/>
    </row>
    <row r="67" spans="9:24" ht="14.25" customHeight="1">
      <c r="I67" s="156"/>
      <c r="J67" s="464"/>
      <c r="K67" s="156"/>
      <c r="L67" s="156"/>
      <c r="M67" s="197"/>
      <c r="N67" s="156"/>
      <c r="O67" s="156"/>
      <c r="P67" s="156"/>
      <c r="Q67" s="156"/>
      <c r="R67" s="156"/>
      <c r="S67" s="156"/>
      <c r="T67" s="156"/>
      <c r="U67" s="156"/>
      <c r="V67" s="156"/>
      <c r="W67" s="156"/>
      <c r="X67" s="156"/>
    </row>
    <row r="68" spans="9:24" ht="14.25" customHeight="1">
      <c r="I68" s="156"/>
      <c r="J68" s="156"/>
      <c r="K68" s="156"/>
      <c r="L68" s="156"/>
      <c r="M68" s="197"/>
      <c r="N68" s="156"/>
      <c r="O68" s="156"/>
      <c r="P68" s="156"/>
      <c r="Q68" s="156"/>
      <c r="R68" s="242"/>
      <c r="S68" s="156"/>
      <c r="T68" s="156"/>
      <c r="U68" s="156"/>
      <c r="V68" s="156"/>
      <c r="W68" s="156"/>
      <c r="X68" s="156"/>
    </row>
    <row r="69" spans="9:24" ht="14.25" customHeight="1">
      <c r="I69" s="156"/>
      <c r="J69" s="464"/>
      <c r="K69" s="156"/>
      <c r="L69" s="156"/>
      <c r="M69" s="197"/>
      <c r="N69" s="465"/>
      <c r="O69" s="156"/>
      <c r="P69" s="156"/>
      <c r="Q69" s="156"/>
      <c r="R69" s="156"/>
      <c r="S69" s="156"/>
      <c r="T69" s="156"/>
      <c r="U69" s="156"/>
      <c r="V69" s="156"/>
      <c r="W69" s="156"/>
      <c r="X69" s="156"/>
    </row>
    <row r="70" spans="9:24" ht="14.25" customHeight="1">
      <c r="I70" s="156"/>
      <c r="J70" s="156"/>
      <c r="K70" s="156"/>
      <c r="L70" s="156"/>
      <c r="M70" s="197"/>
      <c r="N70" s="156"/>
      <c r="O70" s="156"/>
      <c r="P70" s="156"/>
      <c r="Q70" s="156"/>
      <c r="R70" s="450"/>
      <c r="S70" s="156"/>
      <c r="T70" s="156"/>
      <c r="U70" s="156"/>
      <c r="V70" s="156"/>
      <c r="W70" s="156"/>
      <c r="X70" s="156"/>
    </row>
    <row r="71" spans="9:24" ht="14.25" customHeight="1">
      <c r="I71" s="156"/>
      <c r="J71" s="156"/>
      <c r="K71" s="156"/>
      <c r="L71" s="156"/>
      <c r="M71" s="197"/>
      <c r="N71" s="156"/>
      <c r="O71" s="156"/>
      <c r="P71" s="156"/>
      <c r="Q71" s="156"/>
      <c r="R71" s="156"/>
      <c r="S71" s="156"/>
      <c r="T71" s="156"/>
      <c r="U71" s="156"/>
      <c r="V71" s="156"/>
      <c r="W71" s="156"/>
      <c r="X71" s="156"/>
    </row>
    <row r="72" spans="9:24" ht="14.25" customHeight="1">
      <c r="I72" s="156"/>
      <c r="J72" s="156"/>
      <c r="K72" s="156"/>
      <c r="L72" s="156"/>
      <c r="M72" s="197"/>
      <c r="N72" s="156"/>
      <c r="O72" s="156"/>
      <c r="P72" s="156"/>
      <c r="Q72" s="156"/>
      <c r="R72" s="156"/>
      <c r="S72" s="156"/>
      <c r="T72" s="156"/>
      <c r="U72" s="156"/>
      <c r="V72" s="156"/>
      <c r="W72" s="156"/>
      <c r="X72" s="156"/>
    </row>
    <row r="73" spans="9:24" ht="14.25" customHeight="1">
      <c r="I73" s="156"/>
      <c r="J73" s="156"/>
      <c r="K73" s="156"/>
      <c r="L73" s="156"/>
      <c r="M73" s="197"/>
      <c r="N73" s="156"/>
      <c r="O73" s="156"/>
      <c r="P73" s="464"/>
      <c r="Q73" s="156"/>
      <c r="R73" s="156"/>
      <c r="S73" s="156"/>
      <c r="T73" s="156"/>
      <c r="U73" s="156"/>
      <c r="V73" s="156"/>
      <c r="W73" s="156"/>
      <c r="X73" s="156"/>
    </row>
    <row r="74" spans="9:24" ht="14.25" customHeight="1">
      <c r="I74" s="156"/>
      <c r="J74" s="156"/>
      <c r="K74" s="156"/>
      <c r="L74" s="156"/>
      <c r="M74" s="197"/>
      <c r="N74" s="156"/>
      <c r="O74" s="156"/>
      <c r="P74" s="464"/>
      <c r="Q74" s="156"/>
      <c r="R74" s="156"/>
      <c r="S74" s="156"/>
      <c r="T74" s="156"/>
      <c r="U74" s="156"/>
      <c r="V74" s="156"/>
      <c r="W74" s="156"/>
      <c r="X74" s="156"/>
    </row>
    <row r="75" spans="9:24" ht="14.25" customHeight="1">
      <c r="I75" s="156"/>
      <c r="J75" s="156"/>
      <c r="K75" s="156"/>
      <c r="L75" s="156"/>
      <c r="M75" s="197"/>
      <c r="N75" s="156"/>
      <c r="O75" s="156"/>
      <c r="P75" s="464"/>
      <c r="Q75" s="156"/>
      <c r="R75" s="156"/>
      <c r="S75" s="156"/>
      <c r="T75" s="156"/>
      <c r="U75" s="156"/>
      <c r="V75" s="156"/>
      <c r="W75" s="156"/>
      <c r="X75" s="156"/>
    </row>
    <row r="76" spans="9:24" ht="14.25" customHeight="1">
      <c r="I76" s="156"/>
      <c r="J76" s="156"/>
      <c r="K76" s="156"/>
      <c r="L76" s="156"/>
      <c r="M76" s="197"/>
      <c r="N76" s="156"/>
      <c r="O76" s="156"/>
      <c r="P76" s="464"/>
      <c r="Q76" s="156"/>
      <c r="R76" s="156"/>
      <c r="S76" s="156"/>
      <c r="T76" s="156"/>
      <c r="U76" s="156"/>
      <c r="V76" s="156"/>
      <c r="W76" s="156"/>
      <c r="X76" s="156"/>
    </row>
    <row r="77" spans="9:24" ht="14.25" customHeight="1">
      <c r="I77" s="156"/>
      <c r="J77" s="156"/>
      <c r="K77" s="156"/>
      <c r="L77" s="156"/>
      <c r="M77" s="197"/>
      <c r="N77" s="156"/>
      <c r="O77" s="156"/>
      <c r="P77" s="464"/>
      <c r="Q77" s="156"/>
      <c r="R77" s="156"/>
      <c r="S77" s="156"/>
      <c r="T77" s="156"/>
      <c r="U77" s="156"/>
      <c r="V77" s="156"/>
      <c r="W77" s="156"/>
      <c r="X77" s="156"/>
    </row>
    <row r="78" spans="9:24" ht="14.25" customHeight="1">
      <c r="I78" s="156"/>
      <c r="J78" s="156"/>
      <c r="K78" s="156"/>
      <c r="L78" s="156"/>
      <c r="M78" s="197"/>
      <c r="N78" s="156"/>
      <c r="O78" s="156"/>
      <c r="P78" s="464"/>
      <c r="Q78" s="156"/>
      <c r="R78" s="156"/>
      <c r="S78" s="156"/>
      <c r="T78" s="156"/>
      <c r="U78" s="156"/>
      <c r="V78" s="156"/>
      <c r="W78" s="156"/>
      <c r="X78" s="156"/>
    </row>
    <row r="79" spans="9:24" ht="14.25" customHeight="1">
      <c r="I79" s="156"/>
      <c r="J79" s="156"/>
      <c r="K79" s="156"/>
      <c r="L79" s="156"/>
      <c r="M79" s="197"/>
      <c r="N79" s="156"/>
      <c r="O79" s="156"/>
      <c r="P79" s="464"/>
      <c r="Q79" s="156"/>
      <c r="R79" s="156"/>
      <c r="S79" s="156"/>
      <c r="T79" s="156"/>
      <c r="U79" s="156"/>
      <c r="V79" s="156"/>
      <c r="W79" s="156"/>
      <c r="X79" s="156"/>
    </row>
    <row r="80" spans="9:24" ht="14.25" customHeight="1">
      <c r="I80" s="156"/>
      <c r="J80" s="156"/>
      <c r="K80" s="156"/>
      <c r="L80" s="156"/>
      <c r="M80" s="197"/>
      <c r="N80" s="156"/>
      <c r="O80" s="156"/>
      <c r="P80" s="464"/>
      <c r="Q80" s="156"/>
      <c r="R80" s="156"/>
      <c r="S80" s="156"/>
      <c r="T80" s="156"/>
      <c r="U80" s="156"/>
      <c r="V80" s="156"/>
      <c r="W80" s="156"/>
      <c r="X80" s="156"/>
    </row>
    <row r="81" spans="5:24" ht="14.25" customHeight="1">
      <c r="I81" s="156"/>
      <c r="J81" s="156"/>
      <c r="K81" s="156"/>
      <c r="L81" s="156"/>
      <c r="M81" s="197"/>
      <c r="N81" s="156"/>
      <c r="O81" s="156"/>
      <c r="P81" s="464"/>
      <c r="Q81" s="156"/>
      <c r="R81" s="156"/>
      <c r="S81" s="156"/>
      <c r="T81" s="156"/>
      <c r="U81" s="156"/>
      <c r="V81" s="156"/>
      <c r="W81" s="156"/>
      <c r="X81" s="156"/>
    </row>
    <row r="82" spans="5:24" ht="14.25" customHeight="1">
      <c r="I82" s="156"/>
      <c r="J82" s="156"/>
      <c r="K82" s="156"/>
      <c r="L82" s="156"/>
      <c r="M82" s="197"/>
      <c r="N82" s="156"/>
      <c r="O82" s="156"/>
      <c r="P82" s="464"/>
      <c r="Q82" s="156"/>
      <c r="R82" s="156"/>
      <c r="S82" s="156"/>
      <c r="T82" s="156"/>
      <c r="U82" s="156"/>
      <c r="V82" s="156"/>
      <c r="W82" s="156"/>
      <c r="X82" s="156"/>
    </row>
    <row r="83" spans="5:24" ht="14.25" customHeight="1">
      <c r="I83" s="156"/>
      <c r="J83" s="156"/>
      <c r="K83" s="156"/>
      <c r="L83" s="156"/>
      <c r="M83" s="197"/>
      <c r="N83" s="156"/>
      <c r="O83" s="156"/>
      <c r="P83" s="156"/>
      <c r="Q83" s="156"/>
      <c r="R83" s="156"/>
      <c r="S83" s="156"/>
      <c r="T83" s="156"/>
      <c r="U83" s="156"/>
      <c r="V83" s="156"/>
      <c r="W83" s="156"/>
      <c r="X83" s="156"/>
    </row>
    <row r="84" spans="5:24" ht="14.25" customHeight="1">
      <c r="I84" s="156"/>
      <c r="J84" s="156"/>
      <c r="K84" s="156"/>
      <c r="L84" s="156"/>
      <c r="M84" s="197"/>
      <c r="N84" s="156"/>
      <c r="O84" s="156"/>
      <c r="P84" s="156"/>
      <c r="Q84" s="156"/>
      <c r="R84" s="156"/>
      <c r="S84" s="156"/>
      <c r="T84" s="156"/>
      <c r="U84" s="156"/>
      <c r="V84" s="156"/>
      <c r="W84" s="156"/>
      <c r="X84" s="156"/>
    </row>
    <row r="85" spans="5:24" ht="14.25" customHeight="1">
      <c r="O85" s="156"/>
      <c r="P85" s="156"/>
      <c r="Q85" s="156"/>
      <c r="R85" s="156"/>
      <c r="S85" s="156"/>
      <c r="T85" s="156"/>
      <c r="U85" s="156"/>
      <c r="V85" s="156"/>
      <c r="W85" s="156"/>
      <c r="X85" s="156"/>
    </row>
    <row r="86" spans="5:24" ht="14.25" customHeight="1">
      <c r="O86" s="156"/>
      <c r="P86" s="156"/>
      <c r="Q86" s="156"/>
      <c r="R86" s="156"/>
      <c r="S86" s="156"/>
      <c r="T86" s="156"/>
      <c r="U86" s="156"/>
      <c r="V86" s="156"/>
      <c r="W86" s="156"/>
      <c r="X86" s="156"/>
    </row>
    <row r="88" spans="5:24" ht="14.25" customHeight="1">
      <c r="E88" s="479"/>
    </row>
    <row r="89" spans="5:24" ht="14.25" customHeight="1">
      <c r="E89" s="479"/>
    </row>
  </sheetData>
  <mergeCells count="10">
    <mergeCell ref="A5:F5"/>
    <mergeCell ref="J54:M54"/>
    <mergeCell ref="I1:N1"/>
    <mergeCell ref="I2:N2"/>
    <mergeCell ref="I3:N3"/>
    <mergeCell ref="I4:N4"/>
    <mergeCell ref="A3:F3"/>
    <mergeCell ref="A4:F4"/>
    <mergeCell ref="C7:D7"/>
    <mergeCell ref="E6:F6"/>
  </mergeCells>
  <phoneticPr fontId="0" type="noConversion"/>
  <pageMargins left="0.7" right="0.51" top="1.5" bottom="0.5" header="0.5" footer="0.5"/>
  <pageSetup scale="93" firstPageNumber="4" orientation="portrait" r:id="rId1"/>
  <headerFooter scaleWithDoc="0"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zoomScale="85" zoomScaleNormal="85" zoomScaleSheetLayoutView="55" workbookViewId="0"/>
  </sheetViews>
  <sheetFormatPr defaultColWidth="9.140625" defaultRowHeight="12.75"/>
  <cols>
    <col min="1" max="1" width="11.5703125" style="26" customWidth="1"/>
    <col min="2" max="2" width="9.140625" style="26"/>
    <col min="3" max="3" width="42" style="26" customWidth="1"/>
    <col min="4" max="4" width="5.85546875" style="26" customWidth="1"/>
    <col min="5" max="5" width="20.140625" style="101" customWidth="1"/>
    <col min="6" max="6" width="19.85546875" style="26" bestFit="1" customWidth="1"/>
    <col min="7" max="9" width="9.140625" style="26"/>
    <col min="10" max="11" width="14.7109375" style="26" customWidth="1"/>
    <col min="12" max="16" width="9.140625" style="26"/>
    <col min="17" max="17" width="9.140625" style="55"/>
    <col min="18" max="36" width="9.140625" style="26"/>
    <col min="37" max="37" width="14.7109375" style="26" customWidth="1"/>
    <col min="38" max="38" width="17" style="26" customWidth="1"/>
    <col min="39" max="39" width="18" style="26" customWidth="1"/>
    <col min="40" max="40" width="17" style="26" customWidth="1"/>
    <col min="41" max="41" width="15.85546875" style="26" customWidth="1"/>
    <col min="42" max="51" width="9.140625" style="26"/>
    <col min="52" max="52" width="11.42578125" style="26" customWidth="1"/>
    <col min="53" max="16384" width="9.140625" style="26"/>
  </cols>
  <sheetData>
    <row r="1" spans="1:52" ht="13.5">
      <c r="A1" s="105"/>
      <c r="B1" s="105"/>
      <c r="C1" s="105"/>
      <c r="D1" s="105"/>
      <c r="E1" s="120"/>
      <c r="G1" s="106"/>
    </row>
    <row r="2" spans="1:52" ht="13.5" customHeight="1">
      <c r="A2" s="858" t="s">
        <v>184</v>
      </c>
      <c r="B2" s="858"/>
      <c r="C2" s="858"/>
      <c r="D2" s="858"/>
      <c r="E2" s="858"/>
      <c r="G2" s="106"/>
    </row>
    <row r="3" spans="1:52">
      <c r="A3" s="844" t="s">
        <v>257</v>
      </c>
      <c r="B3" s="844"/>
      <c r="C3" s="844"/>
      <c r="D3" s="844"/>
      <c r="E3" s="844"/>
      <c r="F3" s="510"/>
      <c r="G3" s="510"/>
      <c r="X3" s="28"/>
      <c r="Y3" s="28"/>
      <c r="Z3" s="28"/>
      <c r="AA3" s="28"/>
      <c r="AB3" s="28"/>
      <c r="AC3" s="28"/>
      <c r="AD3" s="28"/>
      <c r="AE3" s="28"/>
      <c r="AF3" s="28"/>
      <c r="AG3" s="28"/>
      <c r="AH3" s="28"/>
      <c r="AI3" s="28"/>
      <c r="AJ3" s="28"/>
      <c r="AK3" s="28"/>
      <c r="AL3" s="28"/>
      <c r="AM3" s="28"/>
      <c r="AN3" s="28"/>
      <c r="AO3" s="28"/>
      <c r="AP3" s="28"/>
      <c r="AQ3" s="707"/>
      <c r="AR3" s="28"/>
      <c r="AS3" s="28"/>
      <c r="AT3" s="28"/>
    </row>
    <row r="4" spans="1:52" ht="13.5">
      <c r="A4" s="105" t="str">
        <f>'Exh. No. BGM-3 4'!A5</f>
        <v>TWELVE MONTHS ENDED DECEMBER 31, 2016</v>
      </c>
      <c r="B4" s="105"/>
      <c r="C4" s="105"/>
      <c r="D4" s="105"/>
      <c r="E4" s="120"/>
      <c r="G4" s="106"/>
      <c r="J4" s="657">
        <v>2017</v>
      </c>
      <c r="K4" s="657" t="s">
        <v>730</v>
      </c>
      <c r="X4" s="28"/>
      <c r="Y4" s="28"/>
      <c r="Z4" s="28"/>
      <c r="AA4" s="28"/>
      <c r="AB4" s="28"/>
      <c r="AC4" s="28"/>
      <c r="AD4" s="28"/>
      <c r="AE4" s="28"/>
      <c r="AF4" s="28"/>
      <c r="AG4" s="28"/>
      <c r="AH4" s="28"/>
      <c r="AI4" s="28"/>
      <c r="AJ4" s="28"/>
      <c r="AK4" s="28"/>
      <c r="AL4" s="28"/>
      <c r="AM4" s="28"/>
      <c r="AN4" s="28"/>
      <c r="AO4" s="28"/>
      <c r="AP4" s="28"/>
      <c r="AQ4" s="28"/>
      <c r="AR4" s="28"/>
      <c r="AS4" s="28"/>
      <c r="AT4" s="28"/>
    </row>
    <row r="5" spans="1:52">
      <c r="G5" s="106"/>
      <c r="J5" s="114" t="s">
        <v>186</v>
      </c>
      <c r="K5" s="114" t="s">
        <v>186</v>
      </c>
      <c r="V5" s="513"/>
      <c r="X5" s="28"/>
      <c r="Y5" s="28"/>
      <c r="Z5" s="28"/>
      <c r="AA5" s="28"/>
      <c r="AB5" s="28"/>
      <c r="AC5" s="28"/>
      <c r="AD5" s="28"/>
      <c r="AE5" s="28"/>
      <c r="AF5" s="28"/>
      <c r="AG5" s="28"/>
      <c r="AH5" s="28"/>
      <c r="AI5" s="28"/>
      <c r="AJ5" s="28"/>
      <c r="AK5" s="28"/>
      <c r="AL5" s="28"/>
      <c r="AM5" s="28"/>
      <c r="AN5" s="28"/>
      <c r="AO5" s="28"/>
      <c r="AP5" s="28"/>
      <c r="AQ5" s="28"/>
      <c r="AR5" s="28"/>
      <c r="AS5" s="28"/>
      <c r="AT5" s="707"/>
    </row>
    <row r="6" spans="1:52" s="27" customFormat="1" ht="13.5">
      <c r="A6" s="27" t="s">
        <v>120</v>
      </c>
      <c r="E6" s="121"/>
      <c r="G6" s="107"/>
      <c r="J6" s="115" t="s">
        <v>174</v>
      </c>
      <c r="K6" s="115" t="s">
        <v>174</v>
      </c>
      <c r="Q6" s="145"/>
      <c r="X6" s="706"/>
      <c r="Y6" s="706"/>
      <c r="Z6" s="706"/>
      <c r="AA6" s="706"/>
      <c r="AB6" s="706"/>
      <c r="AC6" s="706"/>
      <c r="AD6" s="706"/>
      <c r="AE6" s="706"/>
      <c r="AF6" s="706"/>
      <c r="AG6" s="706"/>
      <c r="AH6" s="706"/>
      <c r="AI6" s="706"/>
      <c r="AJ6" s="706"/>
      <c r="AK6" s="706"/>
      <c r="AL6" s="706"/>
      <c r="AM6" s="706"/>
      <c r="AN6" s="706"/>
      <c r="AO6" s="706"/>
      <c r="AP6" s="706"/>
      <c r="AQ6" s="706"/>
      <c r="AR6" s="706"/>
      <c r="AS6" s="706"/>
      <c r="AT6" s="706"/>
      <c r="AZ6" s="513" t="s">
        <v>690</v>
      </c>
    </row>
    <row r="7" spans="1:52" s="27" customFormat="1" ht="13.5">
      <c r="A7" s="108" t="s">
        <v>21</v>
      </c>
      <c r="C7" s="108" t="s">
        <v>80</v>
      </c>
      <c r="D7" s="29"/>
      <c r="E7" s="122" t="s">
        <v>176</v>
      </c>
      <c r="G7" s="107"/>
      <c r="K7" s="654"/>
      <c r="Q7" s="145"/>
      <c r="X7" s="706"/>
      <c r="Y7" s="706"/>
      <c r="Z7" s="706"/>
      <c r="AA7" s="706"/>
      <c r="AB7" s="706"/>
      <c r="AC7" s="706"/>
      <c r="AD7" s="706"/>
      <c r="AE7" s="706"/>
      <c r="AF7" s="706"/>
      <c r="AG7" s="706"/>
      <c r="AH7" s="706"/>
      <c r="AI7" s="706"/>
      <c r="AJ7" s="706"/>
      <c r="AK7" s="706"/>
      <c r="AL7" s="706"/>
      <c r="AM7" s="706"/>
      <c r="AN7" s="706"/>
      <c r="AO7" s="706"/>
      <c r="AP7" s="706"/>
      <c r="AQ7" s="706"/>
      <c r="AR7" s="706"/>
      <c r="AS7" s="706"/>
      <c r="AT7" s="706"/>
    </row>
    <row r="8" spans="1:52">
      <c r="G8" s="106"/>
      <c r="X8" s="28"/>
      <c r="Y8" s="28"/>
      <c r="Z8" s="28"/>
      <c r="AA8" s="28"/>
      <c r="AB8" s="28"/>
      <c r="AC8" s="28"/>
      <c r="AD8" s="28"/>
      <c r="AE8" s="28"/>
      <c r="AF8" s="28"/>
      <c r="AG8" s="28"/>
      <c r="AH8" s="28"/>
      <c r="AI8" s="28"/>
      <c r="AJ8" s="28"/>
      <c r="AK8" s="28"/>
      <c r="AL8" s="28"/>
      <c r="AM8" s="28"/>
      <c r="AN8" s="28"/>
      <c r="AO8" s="28"/>
      <c r="AP8" s="28"/>
      <c r="AQ8" s="28"/>
      <c r="AR8" s="28"/>
      <c r="AS8" s="28"/>
      <c r="AT8" s="28"/>
    </row>
    <row r="9" spans="1:52">
      <c r="A9" s="30">
        <v>1</v>
      </c>
      <c r="C9" s="109" t="s">
        <v>32</v>
      </c>
      <c r="E9" s="123">
        <v>1</v>
      </c>
      <c r="J9" s="110">
        <f>'Exh. No. BGM-3 2'!E24</f>
        <v>196.52699999999999</v>
      </c>
      <c r="K9" s="110" t="e">
        <f>'Exh. No. BGM-3 2'!#REF!</f>
        <v>#REF!</v>
      </c>
    </row>
    <row r="10" spans="1:52">
      <c r="A10" s="30"/>
      <c r="E10" s="123"/>
      <c r="J10" s="106"/>
      <c r="K10" s="106"/>
    </row>
    <row r="11" spans="1:52">
      <c r="A11" s="30"/>
      <c r="C11" s="102" t="s">
        <v>177</v>
      </c>
      <c r="D11" s="103"/>
      <c r="E11" s="123"/>
      <c r="J11" s="106"/>
      <c r="K11" s="106"/>
    </row>
    <row r="12" spans="1:52">
      <c r="A12" s="30">
        <v>2</v>
      </c>
      <c r="C12" s="103" t="s">
        <v>178</v>
      </c>
      <c r="D12" s="103"/>
      <c r="E12" s="124">
        <v>6.5779999999999996E-3</v>
      </c>
      <c r="J12" s="106">
        <f>ROUND($J$9*E12,0)</f>
        <v>1</v>
      </c>
      <c r="K12" s="106" t="e">
        <f>ROUND($K$9*E12,0)</f>
        <v>#REF!</v>
      </c>
    </row>
    <row r="13" spans="1:52">
      <c r="A13" s="30"/>
      <c r="C13" s="103"/>
      <c r="D13" s="103"/>
      <c r="E13" s="124"/>
      <c r="J13" s="106"/>
      <c r="K13" s="106"/>
    </row>
    <row r="14" spans="1:52">
      <c r="A14" s="30">
        <v>3</v>
      </c>
      <c r="C14" s="103" t="s">
        <v>179</v>
      </c>
      <c r="D14" s="103"/>
      <c r="E14" s="124">
        <v>2E-3</v>
      </c>
      <c r="J14" s="106">
        <f>ROUND($J$9*E14,0)</f>
        <v>0</v>
      </c>
      <c r="K14" s="106" t="e">
        <f>ROUND($K$9*E14,0)</f>
        <v>#REF!</v>
      </c>
    </row>
    <row r="15" spans="1:52">
      <c r="A15" s="30"/>
      <c r="C15" s="103"/>
      <c r="D15" s="103"/>
      <c r="E15" s="124"/>
      <c r="J15" s="106"/>
      <c r="K15" s="106"/>
      <c r="AP15" s="245"/>
    </row>
    <row r="16" spans="1:52">
      <c r="A16" s="30">
        <v>4</v>
      </c>
      <c r="C16" s="103" t="s">
        <v>180</v>
      </c>
      <c r="D16" s="103"/>
      <c r="E16" s="124">
        <v>3.8478999999999999E-2</v>
      </c>
      <c r="J16" s="106">
        <f>ROUND($J$9*E16,0)</f>
        <v>8</v>
      </c>
      <c r="K16" s="106" t="e">
        <f>ROUND($K$9*E16,0)</f>
        <v>#REF!</v>
      </c>
    </row>
    <row r="17" spans="1:61">
      <c r="A17" s="30"/>
      <c r="C17" s="103"/>
      <c r="D17" s="103"/>
      <c r="E17" s="493"/>
      <c r="J17" s="106"/>
      <c r="K17" s="106"/>
    </row>
    <row r="18" spans="1:61">
      <c r="A18" s="30">
        <v>6</v>
      </c>
      <c r="C18" s="103" t="s">
        <v>181</v>
      </c>
      <c r="D18" s="103"/>
      <c r="E18" s="125">
        <f>SUM(E12:E16)</f>
        <v>4.7057000000000002E-2</v>
      </c>
      <c r="J18" s="111">
        <f>SUM(J12:J16)</f>
        <v>9</v>
      </c>
      <c r="K18" s="111" t="e">
        <f>SUM(K12:K16)</f>
        <v>#REF!</v>
      </c>
    </row>
    <row r="19" spans="1:61">
      <c r="C19" s="103"/>
      <c r="D19" s="103"/>
      <c r="E19" s="124"/>
      <c r="J19" s="106"/>
      <c r="K19" s="106"/>
      <c r="L19" s="305"/>
    </row>
    <row r="20" spans="1:61">
      <c r="A20" s="30">
        <v>7</v>
      </c>
      <c r="C20" s="103" t="s">
        <v>182</v>
      </c>
      <c r="D20" s="103"/>
      <c r="E20" s="124">
        <f>E9-E18</f>
        <v>0.95294299999999998</v>
      </c>
      <c r="J20" s="112">
        <f>J9-J18</f>
        <v>187.52699999999999</v>
      </c>
      <c r="K20" s="112" t="e">
        <f>K9-K18</f>
        <v>#REF!</v>
      </c>
      <c r="AP20" s="245"/>
    </row>
    <row r="21" spans="1:61">
      <c r="C21" s="103"/>
      <c r="D21" s="103"/>
      <c r="E21" s="124"/>
      <c r="J21" s="112"/>
      <c r="K21" s="112"/>
      <c r="BC21" s="26">
        <v>109</v>
      </c>
      <c r="BI21" s="26">
        <v>-2</v>
      </c>
    </row>
    <row r="22" spans="1:61">
      <c r="A22" s="30">
        <v>8</v>
      </c>
      <c r="C22" s="103" t="s">
        <v>183</v>
      </c>
      <c r="D22" s="104"/>
      <c r="E22" s="126">
        <f>ROUND(E20*0.35,6)</f>
        <v>0.33352999999999999</v>
      </c>
      <c r="G22" s="106"/>
      <c r="J22" s="113">
        <f>ROUND(J20*0.35,0)</f>
        <v>66</v>
      </c>
      <c r="K22" s="113" t="e">
        <f>ROUND(K20*0.35,0)</f>
        <v>#REF!</v>
      </c>
    </row>
    <row r="23" spans="1:61">
      <c r="C23" s="103"/>
      <c r="D23" s="103"/>
      <c r="E23" s="124"/>
      <c r="G23" s="106"/>
      <c r="L23" s="124"/>
    </row>
    <row r="24" spans="1:61" ht="13.5" thickBot="1">
      <c r="A24" s="30">
        <v>9</v>
      </c>
      <c r="C24" s="102" t="s">
        <v>184</v>
      </c>
      <c r="D24" s="103"/>
      <c r="E24" s="622">
        <f>ROUND(E20-E22,6)</f>
        <v>0.61941299999999999</v>
      </c>
      <c r="J24" s="148">
        <f>J20-J22</f>
        <v>121.52699999999999</v>
      </c>
      <c r="K24" s="148" t="e">
        <f>K20-K22</f>
        <v>#REF!</v>
      </c>
    </row>
    <row r="25" spans="1:61" ht="13.5" thickTop="1">
      <c r="BG25" s="26">
        <v>622</v>
      </c>
    </row>
    <row r="26" spans="1:61">
      <c r="J26" s="157">
        <f>J24/E24</f>
        <v>196.19704462127851</v>
      </c>
      <c r="K26" s="157" t="e">
        <f>K24/E24</f>
        <v>#REF!</v>
      </c>
    </row>
    <row r="27" spans="1:61" ht="12.75" customHeight="1">
      <c r="C27" s="859"/>
      <c r="D27" s="859"/>
      <c r="E27" s="859"/>
    </row>
    <row r="28" spans="1:61">
      <c r="C28" s="701"/>
      <c r="D28" s="701"/>
      <c r="E28" s="701"/>
    </row>
    <row r="29" spans="1:61">
      <c r="BI29" s="26">
        <v>-281</v>
      </c>
    </row>
    <row r="30" spans="1:61">
      <c r="A30" s="844"/>
      <c r="B30" s="844"/>
      <c r="C30" s="844"/>
      <c r="D30" s="844"/>
      <c r="E30" s="844"/>
    </row>
    <row r="31" spans="1:61" s="28" customFormat="1" ht="15.75" customHeight="1">
      <c r="A31" s="857"/>
      <c r="B31" s="857"/>
      <c r="C31" s="857"/>
      <c r="D31" s="857"/>
      <c r="E31" s="857"/>
      <c r="Q31" s="144"/>
      <c r="BG31" s="28">
        <v>393</v>
      </c>
    </row>
    <row r="32" spans="1:61" s="28" customFormat="1">
      <c r="A32" s="857"/>
      <c r="B32" s="857"/>
      <c r="C32" s="857"/>
      <c r="D32" s="857"/>
      <c r="E32" s="857"/>
      <c r="J32" s="29"/>
      <c r="K32" s="656"/>
      <c r="Q32" s="144"/>
    </row>
    <row r="33" spans="5:61" s="28" customFormat="1">
      <c r="E33" s="190"/>
      <c r="J33" s="29"/>
      <c r="K33" s="656"/>
      <c r="Q33" s="144"/>
    </row>
    <row r="34" spans="5:61" s="28" customFormat="1">
      <c r="E34" s="190"/>
      <c r="J34" s="29"/>
      <c r="K34" s="656"/>
      <c r="Q34" s="144"/>
    </row>
    <row r="35" spans="5:61" s="28" customFormat="1">
      <c r="E35" s="190"/>
      <c r="Q35" s="144"/>
    </row>
    <row r="36" spans="5:61" s="28" customFormat="1">
      <c r="E36" s="124"/>
      <c r="J36" s="191"/>
      <c r="K36" s="191"/>
      <c r="Q36" s="144"/>
    </row>
    <row r="37" spans="5:61" s="28" customFormat="1">
      <c r="E37" s="124"/>
      <c r="J37" s="112"/>
      <c r="K37" s="112"/>
      <c r="Q37" s="144"/>
    </row>
    <row r="38" spans="5:61" s="28" customFormat="1">
      <c r="E38" s="124"/>
      <c r="J38" s="112"/>
      <c r="K38" s="112"/>
      <c r="Q38" s="144"/>
    </row>
    <row r="39" spans="5:61" s="28" customFormat="1">
      <c r="E39" s="124"/>
      <c r="J39" s="112"/>
      <c r="K39" s="112"/>
      <c r="Q39" s="144"/>
      <c r="BI39" s="28">
        <v>-51</v>
      </c>
    </row>
    <row r="40" spans="5:61" s="28" customFormat="1">
      <c r="E40" s="124"/>
      <c r="J40" s="112"/>
      <c r="K40" s="112"/>
      <c r="Q40" s="144"/>
    </row>
    <row r="41" spans="5:61" s="28" customFormat="1">
      <c r="E41" s="124"/>
      <c r="F41" s="124"/>
      <c r="J41" s="112"/>
      <c r="K41" s="112"/>
      <c r="Q41" s="144"/>
    </row>
    <row r="42" spans="5:61" s="28" customFormat="1">
      <c r="J42" s="112"/>
      <c r="K42" s="112"/>
      <c r="Q42" s="144"/>
    </row>
    <row r="43" spans="5:61" s="28" customFormat="1">
      <c r="E43" s="124"/>
      <c r="J43" s="112"/>
      <c r="K43" s="112"/>
      <c r="Q43" s="144"/>
    </row>
    <row r="44" spans="5:61" s="28" customFormat="1">
      <c r="E44" s="124"/>
      <c r="J44" s="112"/>
      <c r="K44" s="112"/>
      <c r="Q44" s="144"/>
    </row>
    <row r="45" spans="5:61" s="28" customFormat="1">
      <c r="E45" s="124"/>
      <c r="J45" s="112"/>
      <c r="K45" s="112"/>
      <c r="Q45" s="144"/>
    </row>
    <row r="46" spans="5:61" s="28" customFormat="1">
      <c r="E46" s="192"/>
      <c r="J46" s="193"/>
      <c r="K46" s="193"/>
      <c r="Q46" s="144"/>
      <c r="AP46" s="246"/>
    </row>
    <row r="47" spans="5:61" s="28" customFormat="1">
      <c r="E47" s="124"/>
      <c r="J47" s="112"/>
      <c r="K47" s="112"/>
      <c r="Q47" s="144"/>
    </row>
    <row r="48" spans="5:61" s="28" customFormat="1">
      <c r="E48" s="124"/>
      <c r="G48" s="156"/>
      <c r="J48" s="112"/>
      <c r="K48" s="112"/>
      <c r="M48" s="156"/>
      <c r="N48" s="156"/>
      <c r="Q48" s="144"/>
      <c r="Y48" s="156"/>
    </row>
    <row r="49" spans="5:42" s="28" customFormat="1">
      <c r="E49" s="124"/>
      <c r="J49" s="112"/>
      <c r="K49" s="112"/>
      <c r="Q49" s="144"/>
    </row>
    <row r="50" spans="5:42" s="28" customFormat="1">
      <c r="E50" s="124"/>
      <c r="J50" s="112"/>
      <c r="K50" s="112"/>
      <c r="N50" s="156"/>
      <c r="Q50" s="144"/>
    </row>
    <row r="51" spans="5:42" s="28" customFormat="1">
      <c r="E51" s="124"/>
      <c r="Q51" s="144"/>
    </row>
    <row r="52" spans="5:42" s="28" customFormat="1">
      <c r="E52" s="192"/>
      <c r="J52" s="112"/>
      <c r="K52" s="112"/>
      <c r="Q52" s="144"/>
    </row>
    <row r="53" spans="5:42" s="28" customFormat="1">
      <c r="E53" s="190"/>
      <c r="Q53" s="144"/>
    </row>
    <row r="56" spans="5:42">
      <c r="AP56" s="244"/>
    </row>
    <row r="61" spans="5:42">
      <c r="AP61" s="244"/>
    </row>
    <row r="66" spans="42:42">
      <c r="AP66" s="244"/>
    </row>
    <row r="81" spans="5:5">
      <c r="E81" s="478"/>
    </row>
    <row r="82" spans="5:5">
      <c r="E82" s="478"/>
    </row>
  </sheetData>
  <mergeCells count="6">
    <mergeCell ref="A30:E30"/>
    <mergeCell ref="A31:E31"/>
    <mergeCell ref="A32:E32"/>
    <mergeCell ref="A2:E2"/>
    <mergeCell ref="A3:E3"/>
    <mergeCell ref="C27:E27"/>
  </mergeCells>
  <phoneticPr fontId="0" type="noConversion"/>
  <pageMargins left="0.7" right="0.51" top="1.25" bottom="0.5" header="0.5" footer="0.5"/>
  <pageSetup firstPageNumber="4" orientation="portrait" r:id="rId1"/>
  <headerFooter scaleWithDoc="0" alignWithMargins="0">
    <oddFooter>&amp;RPage &amp;P of 46</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101"/>
  <sheetViews>
    <sheetView zoomScaleNormal="100" zoomScaleSheetLayoutView="55" workbookViewId="0">
      <pane xSplit="5" ySplit="11" topLeftCell="F12" activePane="bottomRight" state="frozen"/>
      <selection activeCell="T51" sqref="T51"/>
      <selection pane="topRight" activeCell="T51" sqref="T51"/>
      <selection pane="bottomLeft" activeCell="T51" sqref="T51"/>
      <selection pane="bottomRight" activeCell="F12" sqref="F12"/>
    </sheetView>
  </sheetViews>
  <sheetFormatPr defaultColWidth="10.7109375" defaultRowHeight="12"/>
  <cols>
    <col min="1" max="1" width="4.7109375" style="540" customWidth="1"/>
    <col min="2" max="3" width="1.7109375" style="539" customWidth="1"/>
    <col min="4" max="4" width="35.42578125" style="539" customWidth="1"/>
    <col min="5" max="5" width="12.28515625" style="566" customWidth="1"/>
    <col min="6" max="6" width="11.42578125" style="565" customWidth="1"/>
    <col min="7" max="12" width="9.85546875" style="565" customWidth="1"/>
    <col min="13" max="13" width="10.140625" style="565" customWidth="1"/>
    <col min="14" max="14" width="10.42578125" style="565" customWidth="1"/>
    <col min="15" max="15" width="11.5703125" style="565" customWidth="1"/>
    <col min="16" max="16" width="9.42578125" style="565" customWidth="1"/>
    <col min="17" max="17" width="9.5703125" style="565" customWidth="1"/>
    <col min="18" max="18" width="12" style="565" customWidth="1"/>
    <col min="19" max="19" width="10.85546875" style="566" customWidth="1"/>
    <col min="20" max="20" width="21.5703125" style="566" customWidth="1"/>
    <col min="21" max="21" width="11.7109375" style="565" customWidth="1"/>
    <col min="22" max="22" width="12.42578125" style="565" customWidth="1"/>
    <col min="23" max="26" width="12.42578125" style="566" customWidth="1"/>
    <col min="27" max="27" width="11.42578125" style="566" hidden="1" customWidth="1"/>
    <col min="28" max="28" width="11.7109375" style="565" hidden="1" customWidth="1"/>
    <col min="29" max="29" width="11.7109375" style="564" customWidth="1"/>
    <col min="30" max="30" width="15.7109375" style="566" customWidth="1"/>
    <col min="31" max="31" width="11.7109375" style="565" bestFit="1" customWidth="1"/>
    <col min="32" max="32" width="10.42578125" style="565" bestFit="1" customWidth="1"/>
    <col min="33" max="33" width="13.28515625" style="565" customWidth="1"/>
    <col min="34" max="36" width="10.42578125" style="565" bestFit="1" customWidth="1"/>
    <col min="37" max="37" width="13.28515625" style="566" bestFit="1" customWidth="1"/>
    <col min="38" max="38" width="17.42578125" style="565" customWidth="1"/>
    <col min="39" max="39" width="14.5703125" style="566" customWidth="1"/>
    <col min="40" max="40" width="10.140625" style="566" customWidth="1"/>
    <col min="41" max="41" width="9.42578125" style="566" customWidth="1"/>
    <col min="42" max="42" width="12.140625" style="566" customWidth="1"/>
    <col min="43" max="43" width="13.5703125" style="566" customWidth="1"/>
    <col min="44" max="44" width="11.28515625" style="567" customWidth="1"/>
    <col min="45" max="45" width="13.140625" style="566" customWidth="1"/>
    <col min="46" max="46" width="13" style="567" customWidth="1"/>
    <col min="47" max="47" width="7.140625" style="636" customWidth="1"/>
    <col min="48" max="16384" width="10.7109375" style="539"/>
  </cols>
  <sheetData>
    <row r="1" spans="1:47" ht="12.75">
      <c r="D1" s="855"/>
      <c r="E1" s="855"/>
      <c r="F1" s="566"/>
      <c r="G1" s="566"/>
      <c r="H1" s="566"/>
      <c r="I1" s="566"/>
      <c r="J1" s="566"/>
      <c r="K1" s="566"/>
      <c r="L1" s="566"/>
      <c r="M1" s="566"/>
      <c r="N1" s="566"/>
      <c r="O1" s="566"/>
      <c r="P1" s="566"/>
      <c r="Q1" s="566"/>
      <c r="AD1" s="709" t="s">
        <v>713</v>
      </c>
      <c r="AG1" s="566"/>
      <c r="AH1" s="566"/>
    </row>
    <row r="2" spans="1:47" ht="12.75" customHeight="1">
      <c r="A2" s="704"/>
      <c r="D2" s="540"/>
      <c r="E2" s="794" t="s">
        <v>787</v>
      </c>
      <c r="F2" s="528" t="s">
        <v>712</v>
      </c>
      <c r="G2" s="564"/>
      <c r="H2" s="564"/>
      <c r="I2" s="564"/>
      <c r="J2" s="568"/>
      <c r="K2" s="564"/>
      <c r="L2" s="564"/>
      <c r="M2" s="564"/>
      <c r="N2" s="564"/>
      <c r="O2" s="564"/>
      <c r="P2" s="564"/>
      <c r="Q2" s="564"/>
      <c r="R2" s="566"/>
      <c r="U2" s="566"/>
      <c r="V2" s="566"/>
      <c r="W2" s="627"/>
      <c r="X2" s="627"/>
      <c r="AB2" s="566"/>
      <c r="AF2" s="566"/>
      <c r="AG2" s="566"/>
      <c r="AH2" s="566"/>
      <c r="AI2" s="566"/>
      <c r="AJ2" s="566"/>
      <c r="AL2" s="752"/>
      <c r="AN2" s="627"/>
      <c r="AO2" s="627"/>
      <c r="AP2" s="627"/>
      <c r="AQ2" s="627"/>
      <c r="AS2" s="794"/>
    </row>
    <row r="3" spans="1:47" ht="14.25" customHeight="1">
      <c r="A3" s="704" t="s">
        <v>739</v>
      </c>
      <c r="D3" s="540"/>
      <c r="E3" s="794" t="s">
        <v>788</v>
      </c>
      <c r="G3" s="567"/>
      <c r="H3" s="567"/>
      <c r="I3" s="564"/>
      <c r="J3" s="564"/>
      <c r="K3" s="564"/>
      <c r="L3" s="564"/>
      <c r="M3" s="564"/>
      <c r="N3" s="748"/>
      <c r="O3" s="564"/>
      <c r="P3" s="715"/>
      <c r="Q3" s="715"/>
      <c r="R3" s="566"/>
      <c r="U3" s="566"/>
      <c r="V3" s="566"/>
      <c r="W3" s="719"/>
      <c r="X3" s="719"/>
      <c r="Y3" s="719"/>
      <c r="Z3" s="860" t="s">
        <v>766</v>
      </c>
      <c r="AB3" s="566"/>
      <c r="AD3" s="719"/>
      <c r="AE3" s="719"/>
      <c r="AF3" s="719"/>
      <c r="AG3" s="719"/>
      <c r="AH3" s="719"/>
      <c r="AI3" s="719"/>
      <c r="AJ3" s="719"/>
      <c r="AL3" s="752"/>
      <c r="AN3" s="719"/>
      <c r="AO3" s="719"/>
      <c r="AP3" s="719"/>
      <c r="AQ3" s="719"/>
      <c r="AR3" s="719"/>
      <c r="AS3" s="794"/>
      <c r="AT3" s="719"/>
      <c r="AU3" s="719"/>
    </row>
    <row r="4" spans="1:47" ht="14.25" customHeight="1">
      <c r="A4" s="704" t="s">
        <v>792</v>
      </c>
      <c r="D4" s="540"/>
      <c r="E4" s="781"/>
      <c r="G4" s="566"/>
      <c r="H4" s="566"/>
      <c r="I4" s="566"/>
      <c r="J4" s="564"/>
      <c r="K4" s="566"/>
      <c r="L4" s="566"/>
      <c r="M4" s="566"/>
      <c r="N4" s="748"/>
      <c r="O4" s="566"/>
      <c r="P4" s="716"/>
      <c r="Q4" s="716"/>
      <c r="R4" s="568"/>
      <c r="S4" s="568"/>
      <c r="T4" s="568"/>
      <c r="U4" s="568"/>
      <c r="V4" s="568"/>
      <c r="W4" s="749"/>
      <c r="X4" s="642"/>
      <c r="Y4" s="716"/>
      <c r="Z4" s="860"/>
      <c r="AB4" s="566"/>
      <c r="AD4" s="786"/>
      <c r="AE4" s="747"/>
      <c r="AF4" s="752"/>
      <c r="AG4" s="752"/>
      <c r="AH4" s="747"/>
      <c r="AI4" s="752"/>
      <c r="AJ4" s="752"/>
      <c r="AK4" s="736"/>
      <c r="AL4" s="752"/>
      <c r="AM4" s="719"/>
      <c r="AO4" s="716"/>
      <c r="AP4" s="716"/>
      <c r="AQ4" s="716"/>
      <c r="AS4" s="735"/>
    </row>
    <row r="5" spans="1:47" ht="12.75" customHeight="1">
      <c r="A5" s="704" t="s">
        <v>740</v>
      </c>
      <c r="D5" s="540"/>
      <c r="E5" s="782"/>
      <c r="F5" s="603"/>
      <c r="G5" s="730"/>
      <c r="H5" s="603"/>
      <c r="I5" s="631"/>
      <c r="J5" s="631"/>
      <c r="K5" s="631"/>
      <c r="L5" s="631"/>
      <c r="M5" s="631"/>
      <c r="N5" s="748"/>
      <c r="O5" s="631"/>
      <c r="P5" s="716"/>
      <c r="Q5" s="716"/>
      <c r="R5" s="631"/>
      <c r="S5" s="631"/>
      <c r="T5" s="730"/>
      <c r="U5" s="631"/>
      <c r="V5" s="631"/>
      <c r="W5" s="749"/>
      <c r="X5" s="631"/>
      <c r="Y5" s="730"/>
      <c r="Z5" s="860"/>
      <c r="AA5" s="631" t="s">
        <v>277</v>
      </c>
      <c r="AB5" s="631" t="s">
        <v>277</v>
      </c>
      <c r="AC5" s="631"/>
      <c r="AD5" s="786"/>
      <c r="AE5" s="747"/>
      <c r="AF5" s="752"/>
      <c r="AG5" s="752"/>
      <c r="AH5" s="747"/>
      <c r="AI5" s="752"/>
      <c r="AJ5" s="752"/>
      <c r="AK5" s="631"/>
      <c r="AL5" s="752"/>
      <c r="AM5" s="716"/>
      <c r="AN5" s="631"/>
      <c r="AO5" s="719"/>
      <c r="AP5" s="631"/>
      <c r="AQ5" s="631"/>
      <c r="AS5" s="759"/>
    </row>
    <row r="6" spans="1:47" s="542" customFormat="1" ht="12" customHeight="1">
      <c r="A6" s="704" t="s">
        <v>190</v>
      </c>
      <c r="D6" s="541"/>
      <c r="E6" s="571"/>
      <c r="F6" s="569"/>
      <c r="G6" s="566"/>
      <c r="H6" s="569"/>
      <c r="I6" s="625"/>
      <c r="J6" s="710"/>
      <c r="K6" s="625"/>
      <c r="L6" s="625"/>
      <c r="M6" s="625"/>
      <c r="N6" s="625"/>
      <c r="O6" s="625"/>
      <c r="P6" s="717"/>
      <c r="Q6" s="717"/>
      <c r="R6" s="710"/>
      <c r="S6" s="625"/>
      <c r="T6" s="625"/>
      <c r="U6" s="625"/>
      <c r="V6" s="625"/>
      <c r="W6" s="634"/>
      <c r="X6" s="634"/>
      <c r="Y6" s="717"/>
      <c r="Z6" s="861"/>
      <c r="AA6" s="568"/>
      <c r="AB6" s="631"/>
      <c r="AC6" s="503"/>
      <c r="AD6" s="787" t="s">
        <v>781</v>
      </c>
      <c r="AE6" s="841" t="s">
        <v>819</v>
      </c>
      <c r="AF6" s="625"/>
      <c r="AG6" s="631"/>
      <c r="AH6" s="717"/>
      <c r="AI6" s="717"/>
      <c r="AJ6" s="718"/>
      <c r="AK6" s="625"/>
      <c r="AL6" s="717"/>
      <c r="AM6" s="841" t="s">
        <v>819</v>
      </c>
      <c r="AN6" s="568"/>
      <c r="AO6" s="841" t="s">
        <v>819</v>
      </c>
      <c r="AP6" s="717"/>
      <c r="AQ6" s="717"/>
      <c r="AR6" s="758"/>
      <c r="AS6" s="841" t="s">
        <v>819</v>
      </c>
      <c r="AT6" s="758"/>
      <c r="AU6" s="637"/>
    </row>
    <row r="7" spans="1:47" s="542" customFormat="1" ht="12" customHeight="1">
      <c r="A7" s="543"/>
      <c r="B7" s="544"/>
      <c r="C7" s="545"/>
      <c r="D7" s="545"/>
      <c r="E7" s="613"/>
      <c r="F7" s="614" t="s">
        <v>1</v>
      </c>
      <c r="G7" s="635" t="s">
        <v>1</v>
      </c>
      <c r="H7" s="614" t="s">
        <v>288</v>
      </c>
      <c r="I7" s="614" t="s">
        <v>3</v>
      </c>
      <c r="J7" s="635" t="s">
        <v>5</v>
      </c>
      <c r="K7" s="614" t="s">
        <v>15</v>
      </c>
      <c r="L7" s="614" t="s">
        <v>16</v>
      </c>
      <c r="M7" s="614" t="s">
        <v>4</v>
      </c>
      <c r="N7" s="635" t="s">
        <v>639</v>
      </c>
      <c r="O7" s="614" t="s">
        <v>6</v>
      </c>
      <c r="P7" s="614" t="s">
        <v>5</v>
      </c>
      <c r="Q7" s="614" t="s">
        <v>229</v>
      </c>
      <c r="R7" s="570" t="s">
        <v>693</v>
      </c>
      <c r="S7" s="570" t="s">
        <v>3</v>
      </c>
      <c r="T7" s="570" t="s">
        <v>722</v>
      </c>
      <c r="U7" s="281" t="s">
        <v>3</v>
      </c>
      <c r="V7" s="281" t="s">
        <v>119</v>
      </c>
      <c r="W7" s="626" t="s">
        <v>777</v>
      </c>
      <c r="X7" s="626" t="s">
        <v>723</v>
      </c>
      <c r="Y7" s="281" t="s">
        <v>5</v>
      </c>
      <c r="Z7" s="626" t="s">
        <v>743</v>
      </c>
      <c r="AA7" s="570" t="s">
        <v>651</v>
      </c>
      <c r="AB7" s="282" t="s">
        <v>651</v>
      </c>
      <c r="AC7" s="281" t="s">
        <v>20</v>
      </c>
      <c r="AD7" s="281" t="s">
        <v>246</v>
      </c>
      <c r="AE7" s="281" t="s">
        <v>246</v>
      </c>
      <c r="AF7" s="281" t="s">
        <v>246</v>
      </c>
      <c r="AG7" s="281" t="s">
        <v>246</v>
      </c>
      <c r="AH7" s="281" t="s">
        <v>246</v>
      </c>
      <c r="AI7" s="281" t="s">
        <v>246</v>
      </c>
      <c r="AJ7" s="281" t="s">
        <v>246</v>
      </c>
      <c r="AK7" s="732" t="s">
        <v>7</v>
      </c>
      <c r="AL7" s="281" t="s">
        <v>246</v>
      </c>
      <c r="AM7" s="635" t="s">
        <v>246</v>
      </c>
      <c r="AN7" s="281" t="s">
        <v>246</v>
      </c>
      <c r="AO7" s="281" t="s">
        <v>246</v>
      </c>
      <c r="AP7" s="732" t="s">
        <v>767</v>
      </c>
      <c r="AQ7" s="732" t="s">
        <v>7</v>
      </c>
      <c r="AR7" s="760" t="s">
        <v>759</v>
      </c>
      <c r="AS7" s="737" t="s">
        <v>246</v>
      </c>
      <c r="AT7" s="769" t="s">
        <v>7</v>
      </c>
      <c r="AU7" s="737"/>
    </row>
    <row r="8" spans="1:47" s="542" customFormat="1">
      <c r="A8" s="546" t="s">
        <v>8</v>
      </c>
      <c r="B8" s="547"/>
      <c r="C8" s="548"/>
      <c r="D8" s="548"/>
      <c r="E8" s="571" t="s">
        <v>298</v>
      </c>
      <c r="F8" s="615" t="s">
        <v>10</v>
      </c>
      <c r="G8" s="629" t="s">
        <v>296</v>
      </c>
      <c r="H8" s="615" t="s">
        <v>122</v>
      </c>
      <c r="I8" s="615" t="s">
        <v>13</v>
      </c>
      <c r="J8" s="629" t="s">
        <v>14</v>
      </c>
      <c r="K8" s="615" t="s">
        <v>29</v>
      </c>
      <c r="L8" s="615" t="s">
        <v>29</v>
      </c>
      <c r="M8" s="615" t="s">
        <v>17</v>
      </c>
      <c r="N8" s="629" t="s">
        <v>758</v>
      </c>
      <c r="O8" s="615" t="s">
        <v>19</v>
      </c>
      <c r="P8" s="615" t="s">
        <v>230</v>
      </c>
      <c r="Q8" s="615" t="s">
        <v>291</v>
      </c>
      <c r="R8" s="571" t="s">
        <v>187</v>
      </c>
      <c r="S8" s="572" t="s">
        <v>695</v>
      </c>
      <c r="T8" s="572" t="s">
        <v>775</v>
      </c>
      <c r="U8" s="571" t="s">
        <v>117</v>
      </c>
      <c r="V8" s="571" t="s">
        <v>2</v>
      </c>
      <c r="W8" s="571" t="s">
        <v>762</v>
      </c>
      <c r="X8" s="571" t="s">
        <v>724</v>
      </c>
      <c r="Y8" s="571" t="s">
        <v>18</v>
      </c>
      <c r="Z8" s="746" t="s">
        <v>12</v>
      </c>
      <c r="AA8" s="572"/>
      <c r="AB8" s="283"/>
      <c r="AC8" s="571" t="s">
        <v>33</v>
      </c>
      <c r="AD8" s="571" t="s">
        <v>785</v>
      </c>
      <c r="AE8" s="571" t="s">
        <v>227</v>
      </c>
      <c r="AF8" s="571" t="s">
        <v>227</v>
      </c>
      <c r="AG8" s="571" t="s">
        <v>254</v>
      </c>
      <c r="AH8" s="571" t="s">
        <v>678</v>
      </c>
      <c r="AI8" s="571" t="s">
        <v>14</v>
      </c>
      <c r="AJ8" s="571" t="s">
        <v>744</v>
      </c>
      <c r="AK8" s="733" t="s">
        <v>697</v>
      </c>
      <c r="AL8" s="571" t="s">
        <v>757</v>
      </c>
      <c r="AM8" s="629" t="s">
        <v>778</v>
      </c>
      <c r="AN8" s="571" t="s">
        <v>635</v>
      </c>
      <c r="AO8" s="571" t="s">
        <v>763</v>
      </c>
      <c r="AP8" s="733" t="s">
        <v>724</v>
      </c>
      <c r="AQ8" s="733" t="s">
        <v>782</v>
      </c>
      <c r="AR8" s="753" t="s">
        <v>246</v>
      </c>
      <c r="AS8" s="737" t="s">
        <v>760</v>
      </c>
      <c r="AT8" s="770" t="s">
        <v>779</v>
      </c>
      <c r="AU8" s="736"/>
    </row>
    <row r="9" spans="1:47" s="542" customFormat="1">
      <c r="A9" s="549" t="s">
        <v>21</v>
      </c>
      <c r="B9" s="550"/>
      <c r="C9" s="551"/>
      <c r="D9" s="551" t="s">
        <v>22</v>
      </c>
      <c r="E9" s="573" t="s">
        <v>299</v>
      </c>
      <c r="F9" s="616" t="s">
        <v>24</v>
      </c>
      <c r="G9" s="630" t="s">
        <v>297</v>
      </c>
      <c r="H9" s="616" t="s">
        <v>76</v>
      </c>
      <c r="I9" s="616" t="s">
        <v>27</v>
      </c>
      <c r="J9" s="630" t="s">
        <v>28</v>
      </c>
      <c r="K9" s="616" t="s">
        <v>76</v>
      </c>
      <c r="L9" s="616" t="s">
        <v>76</v>
      </c>
      <c r="M9" s="616" t="s">
        <v>30</v>
      </c>
      <c r="N9" s="630" t="s">
        <v>29</v>
      </c>
      <c r="O9" s="616" t="s">
        <v>720</v>
      </c>
      <c r="P9" s="616" t="s">
        <v>27</v>
      </c>
      <c r="Q9" s="616" t="s">
        <v>292</v>
      </c>
      <c r="R9" s="573" t="s">
        <v>76</v>
      </c>
      <c r="S9" s="574" t="s">
        <v>696</v>
      </c>
      <c r="T9" s="574" t="s">
        <v>776</v>
      </c>
      <c r="U9" s="573" t="s">
        <v>118</v>
      </c>
      <c r="V9" s="573" t="s">
        <v>25</v>
      </c>
      <c r="W9" s="573"/>
      <c r="X9" s="573" t="s">
        <v>742</v>
      </c>
      <c r="Y9" s="573" t="s">
        <v>31</v>
      </c>
      <c r="Z9" s="573" t="s">
        <v>26</v>
      </c>
      <c r="AA9" s="574"/>
      <c r="AB9" s="284"/>
      <c r="AC9" s="573" t="s">
        <v>76</v>
      </c>
      <c r="AD9" s="573" t="s">
        <v>786</v>
      </c>
      <c r="AE9" s="573" t="s">
        <v>253</v>
      </c>
      <c r="AF9" s="573" t="s">
        <v>228</v>
      </c>
      <c r="AG9" s="573" t="s">
        <v>255</v>
      </c>
      <c r="AH9" s="573" t="s">
        <v>677</v>
      </c>
      <c r="AI9" s="573" t="s">
        <v>28</v>
      </c>
      <c r="AJ9" s="573" t="s">
        <v>29</v>
      </c>
      <c r="AK9" s="734" t="s">
        <v>187</v>
      </c>
      <c r="AL9" s="573" t="s">
        <v>756</v>
      </c>
      <c r="AM9" s="630" t="s">
        <v>714</v>
      </c>
      <c r="AN9" s="573" t="s">
        <v>715</v>
      </c>
      <c r="AO9" s="573" t="s">
        <v>764</v>
      </c>
      <c r="AP9" s="734" t="s">
        <v>742</v>
      </c>
      <c r="AQ9" s="734" t="s">
        <v>783</v>
      </c>
      <c r="AR9" s="604" t="s">
        <v>675</v>
      </c>
      <c r="AS9" s="429" t="s">
        <v>761</v>
      </c>
      <c r="AT9" s="771" t="s">
        <v>137</v>
      </c>
      <c r="AU9" s="736"/>
    </row>
    <row r="10" spans="1:47" s="591" customFormat="1">
      <c r="B10" s="594" t="s">
        <v>605</v>
      </c>
      <c r="E10" s="592">
        <v>1</v>
      </c>
      <c r="F10" s="592">
        <f>1+0.01</f>
        <v>1.01</v>
      </c>
      <c r="G10" s="592">
        <f>F10+0.01</f>
        <v>1.02</v>
      </c>
      <c r="H10" s="592">
        <f>G10+0.01</f>
        <v>1.03</v>
      </c>
      <c r="I10" s="592">
        <v>2.0099999999999998</v>
      </c>
      <c r="J10" s="593">
        <f>I10+0.01</f>
        <v>2.0199999999999996</v>
      </c>
      <c r="K10" s="592">
        <f t="shared" ref="K10:R10" si="0">J10+0.01</f>
        <v>2.0299999999999994</v>
      </c>
      <c r="L10" s="592">
        <f t="shared" si="0"/>
        <v>2.0399999999999991</v>
      </c>
      <c r="M10" s="592">
        <f t="shared" si="0"/>
        <v>2.0499999999999989</v>
      </c>
      <c r="N10" s="592">
        <f t="shared" si="0"/>
        <v>2.0599999999999987</v>
      </c>
      <c r="O10" s="592">
        <f t="shared" si="0"/>
        <v>2.0699999999999985</v>
      </c>
      <c r="P10" s="592">
        <f t="shared" si="0"/>
        <v>2.0799999999999983</v>
      </c>
      <c r="Q10" s="592">
        <f t="shared" si="0"/>
        <v>2.0899999999999981</v>
      </c>
      <c r="R10" s="593">
        <f t="shared" si="0"/>
        <v>2.0999999999999979</v>
      </c>
      <c r="S10" s="593">
        <f t="shared" ref="S10" si="1">R10+0.01</f>
        <v>2.1099999999999977</v>
      </c>
      <c r="T10" s="593">
        <f t="shared" ref="T10" si="2">S10+0.01</f>
        <v>2.1199999999999974</v>
      </c>
      <c r="U10" s="593">
        <f t="shared" ref="U10" si="3">T10+0.01</f>
        <v>2.1299999999999972</v>
      </c>
      <c r="V10" s="593">
        <f t="shared" ref="V10" si="4">U10+0.01</f>
        <v>2.139999999999997</v>
      </c>
      <c r="W10" s="593">
        <f t="shared" ref="W10" si="5">V10+0.01</f>
        <v>2.1499999999999968</v>
      </c>
      <c r="X10" s="593">
        <f t="shared" ref="X10" si="6">W10+0.01</f>
        <v>2.1599999999999966</v>
      </c>
      <c r="Y10" s="593">
        <f t="shared" ref="Y10" si="7">X10+0.01</f>
        <v>2.1699999999999964</v>
      </c>
      <c r="Z10" s="593">
        <f>Y10+0.01</f>
        <v>2.1799999999999962</v>
      </c>
      <c r="AA10" s="593">
        <f>Y10+0.01</f>
        <v>2.1799999999999962</v>
      </c>
      <c r="AB10" s="593">
        <f t="shared" ref="AB10" si="8">AA10+0.01</f>
        <v>2.1899999999999959</v>
      </c>
      <c r="AC10" s="593" t="s">
        <v>636</v>
      </c>
      <c r="AD10" s="593">
        <v>3.01</v>
      </c>
      <c r="AE10" s="405">
        <f t="shared" ref="AE10" si="9">AD10+0.01</f>
        <v>3.0199999999999996</v>
      </c>
      <c r="AF10" s="593">
        <f t="shared" ref="AF10:AM10" si="10">AE10+0.01</f>
        <v>3.0299999999999994</v>
      </c>
      <c r="AG10" s="593">
        <f t="shared" si="10"/>
        <v>3.0399999999999991</v>
      </c>
      <c r="AH10" s="593">
        <f t="shared" ref="AH10:AI10" si="11">AG10+0.01</f>
        <v>3.0499999999999989</v>
      </c>
      <c r="AI10" s="593">
        <f t="shared" si="11"/>
        <v>3.0599999999999987</v>
      </c>
      <c r="AJ10" s="593">
        <f t="shared" si="10"/>
        <v>3.0699999999999985</v>
      </c>
      <c r="AK10" s="593">
        <f t="shared" si="10"/>
        <v>3.0799999999999983</v>
      </c>
      <c r="AL10" s="593">
        <f t="shared" si="10"/>
        <v>3.0899999999999981</v>
      </c>
      <c r="AM10" s="593">
        <f t="shared" si="10"/>
        <v>3.0999999999999979</v>
      </c>
      <c r="AN10" s="593">
        <f t="shared" ref="AN10" si="12">AM10+0.01</f>
        <v>3.1099999999999977</v>
      </c>
      <c r="AO10" s="593">
        <f t="shared" ref="AO10" si="13">AN10+0.01</f>
        <v>3.1199999999999974</v>
      </c>
      <c r="AP10" s="593">
        <f>AO10+0.01</f>
        <v>3.1299999999999972</v>
      </c>
      <c r="AQ10" s="593">
        <f t="shared" ref="AQ10" si="14">AP10+0.01</f>
        <v>3.139999999999997</v>
      </c>
      <c r="AR10" s="605" t="s">
        <v>771</v>
      </c>
      <c r="AS10" s="593">
        <v>4</v>
      </c>
      <c r="AT10" s="772" t="s">
        <v>650</v>
      </c>
      <c r="AU10" s="638"/>
    </row>
    <row r="11" spans="1:47" s="591" customFormat="1">
      <c r="B11" s="594" t="s">
        <v>606</v>
      </c>
      <c r="E11" s="592" t="s">
        <v>607</v>
      </c>
      <c r="F11" s="592" t="s">
        <v>608</v>
      </c>
      <c r="G11" s="592" t="s">
        <v>609</v>
      </c>
      <c r="H11" s="592" t="s">
        <v>610</v>
      </c>
      <c r="I11" s="592" t="s">
        <v>611</v>
      </c>
      <c r="J11" s="593" t="s">
        <v>654</v>
      </c>
      <c r="K11" s="592" t="s">
        <v>612</v>
      </c>
      <c r="L11" s="592" t="s">
        <v>613</v>
      </c>
      <c r="M11" s="592" t="s">
        <v>614</v>
      </c>
      <c r="N11" s="592" t="s">
        <v>615</v>
      </c>
      <c r="O11" s="592" t="s">
        <v>652</v>
      </c>
      <c r="P11" s="592" t="s">
        <v>618</v>
      </c>
      <c r="Q11" s="592" t="s">
        <v>619</v>
      </c>
      <c r="R11" s="592" t="s">
        <v>694</v>
      </c>
      <c r="S11" s="593" t="s">
        <v>699</v>
      </c>
      <c r="T11" s="593" t="s">
        <v>620</v>
      </c>
      <c r="U11" s="592" t="s">
        <v>616</v>
      </c>
      <c r="V11" s="592" t="s">
        <v>617</v>
      </c>
      <c r="W11" s="405" t="s">
        <v>621</v>
      </c>
      <c r="X11" s="405" t="s">
        <v>707</v>
      </c>
      <c r="Y11" s="593" t="s">
        <v>622</v>
      </c>
      <c r="Z11" s="593" t="s">
        <v>747</v>
      </c>
      <c r="AA11" s="592" t="s">
        <v>651</v>
      </c>
      <c r="AB11" s="592" t="s">
        <v>651</v>
      </c>
      <c r="AC11" s="593"/>
      <c r="AD11" s="593" t="s">
        <v>624</v>
      </c>
      <c r="AE11" s="592" t="s">
        <v>625</v>
      </c>
      <c r="AF11" s="592" t="s">
        <v>626</v>
      </c>
      <c r="AG11" s="592" t="s">
        <v>627</v>
      </c>
      <c r="AH11" s="592" t="s">
        <v>790</v>
      </c>
      <c r="AI11" s="593" t="s">
        <v>653</v>
      </c>
      <c r="AJ11" s="592" t="s">
        <v>725</v>
      </c>
      <c r="AK11" s="593" t="s">
        <v>698</v>
      </c>
      <c r="AL11" s="593" t="s">
        <v>716</v>
      </c>
      <c r="AM11" s="405" t="s">
        <v>717</v>
      </c>
      <c r="AN11" s="405" t="s">
        <v>718</v>
      </c>
      <c r="AO11" s="405" t="s">
        <v>765</v>
      </c>
      <c r="AP11" s="405" t="s">
        <v>768</v>
      </c>
      <c r="AQ11" s="405" t="s">
        <v>784</v>
      </c>
      <c r="AR11" s="605"/>
      <c r="AS11" s="593" t="s">
        <v>623</v>
      </c>
      <c r="AT11" s="772"/>
      <c r="AU11" s="638"/>
    </row>
    <row r="12" spans="1:47" s="591" customFormat="1" ht="12.75" customHeight="1">
      <c r="B12" s="594"/>
      <c r="E12" s="592"/>
      <c r="F12" s="592"/>
      <c r="G12" s="592"/>
      <c r="H12" s="592"/>
      <c r="I12" s="592"/>
      <c r="J12" s="593"/>
      <c r="K12" s="592"/>
      <c r="L12" s="592"/>
      <c r="M12" s="592"/>
      <c r="N12" s="592"/>
      <c r="O12" s="592"/>
      <c r="P12" s="592"/>
      <c r="Q12" s="592"/>
      <c r="R12" s="592"/>
      <c r="S12" s="593"/>
      <c r="T12" s="593"/>
      <c r="U12" s="592"/>
      <c r="V12" s="592"/>
      <c r="W12" s="405"/>
      <c r="X12" s="405"/>
      <c r="Y12" s="592"/>
      <c r="Z12" s="593"/>
      <c r="AA12" s="592"/>
      <c r="AB12" s="592"/>
      <c r="AC12" s="593"/>
      <c r="AD12" s="593"/>
      <c r="AE12" s="592"/>
      <c r="AF12" s="592"/>
      <c r="AG12" s="592"/>
      <c r="AH12" s="592"/>
      <c r="AI12" s="593"/>
      <c r="AJ12" s="592"/>
      <c r="AK12" s="593"/>
      <c r="AL12" s="592"/>
      <c r="AM12" s="405"/>
      <c r="AN12" s="405"/>
      <c r="AO12" s="405"/>
      <c r="AP12" s="405"/>
      <c r="AQ12" s="405"/>
      <c r="AR12" s="605"/>
      <c r="AS12" s="593"/>
      <c r="AT12" s="772"/>
      <c r="AU12" s="638"/>
    </row>
    <row r="13" spans="1:47">
      <c r="B13" s="539" t="s">
        <v>191</v>
      </c>
      <c r="W13" s="575"/>
      <c r="X13" s="575"/>
      <c r="Y13" s="575"/>
      <c r="Z13" s="575"/>
      <c r="AE13" s="592"/>
      <c r="AM13" s="575"/>
      <c r="AN13" s="575"/>
      <c r="AO13" s="575"/>
      <c r="AP13" s="575"/>
      <c r="AQ13" s="575"/>
      <c r="AR13" s="606"/>
      <c r="AS13" s="575"/>
      <c r="AT13" s="712"/>
    </row>
    <row r="14" spans="1:47" s="553" customFormat="1">
      <c r="A14" s="552">
        <v>1</v>
      </c>
      <c r="B14" s="553" t="s">
        <v>192</v>
      </c>
      <c r="E14" s="582">
        <f>'ROO INPUT'!F14</f>
        <v>516333</v>
      </c>
      <c r="F14" s="590">
        <v>0</v>
      </c>
      <c r="G14" s="590">
        <v>0</v>
      </c>
      <c r="H14" s="590">
        <v>0</v>
      </c>
      <c r="I14" s="590">
        <v>-17807</v>
      </c>
      <c r="J14" s="590">
        <v>0</v>
      </c>
      <c r="K14" s="590">
        <v>0</v>
      </c>
      <c r="L14" s="590">
        <v>0</v>
      </c>
      <c r="M14" s="590">
        <v>0</v>
      </c>
      <c r="N14" s="590">
        <v>0</v>
      </c>
      <c r="O14" s="590">
        <v>0</v>
      </c>
      <c r="P14" s="590">
        <v>0</v>
      </c>
      <c r="Q14" s="590">
        <v>0</v>
      </c>
      <c r="R14" s="590">
        <v>7392</v>
      </c>
      <c r="S14" s="590">
        <v>-18203</v>
      </c>
      <c r="T14" s="590">
        <v>0</v>
      </c>
      <c r="U14" s="590">
        <v>4698</v>
      </c>
      <c r="V14" s="590">
        <v>0</v>
      </c>
      <c r="W14" s="590">
        <v>0</v>
      </c>
      <c r="X14" s="590">
        <v>0</v>
      </c>
      <c r="Y14" s="590">
        <v>0</v>
      </c>
      <c r="Z14" s="590">
        <v>0</v>
      </c>
      <c r="AA14" s="590">
        <v>0</v>
      </c>
      <c r="AB14" s="590">
        <v>0</v>
      </c>
      <c r="AC14" s="360">
        <f>SUM(E14:AB14)</f>
        <v>492413</v>
      </c>
      <c r="AD14" s="590">
        <v>0</v>
      </c>
      <c r="AE14" s="592"/>
      <c r="AF14" s="590">
        <v>0</v>
      </c>
      <c r="AG14" s="590">
        <v>0</v>
      </c>
      <c r="AH14" s="590">
        <v>0</v>
      </c>
      <c r="AI14" s="590">
        <v>0</v>
      </c>
      <c r="AJ14" s="590">
        <v>0</v>
      </c>
      <c r="AK14" s="590">
        <v>-1225</v>
      </c>
      <c r="AL14" s="590">
        <v>0</v>
      </c>
      <c r="AM14" s="590">
        <v>0</v>
      </c>
      <c r="AN14" s="590">
        <v>0</v>
      </c>
      <c r="AO14" s="590">
        <v>0</v>
      </c>
      <c r="AP14" s="590">
        <v>0</v>
      </c>
      <c r="AQ14" s="590">
        <v>0</v>
      </c>
      <c r="AR14" s="607">
        <f t="shared" ref="AR14:AR19" si="15">SUM(AC14:AQ14)</f>
        <v>491188</v>
      </c>
      <c r="AS14" s="590">
        <v>0</v>
      </c>
      <c r="AT14" s="763">
        <f>AR14+AS14</f>
        <v>491188</v>
      </c>
      <c r="AU14" s="639"/>
    </row>
    <row r="15" spans="1:47" s="554" customFormat="1">
      <c r="A15" s="552">
        <v>2</v>
      </c>
      <c r="B15" s="554" t="s">
        <v>193</v>
      </c>
      <c r="E15" s="557">
        <f>'ROO INPUT'!F15</f>
        <v>946</v>
      </c>
      <c r="F15" s="565">
        <v>0</v>
      </c>
      <c r="G15" s="565">
        <v>0</v>
      </c>
      <c r="H15" s="565">
        <v>0</v>
      </c>
      <c r="I15" s="565">
        <v>0</v>
      </c>
      <c r="J15" s="566">
        <v>0</v>
      </c>
      <c r="K15" s="565">
        <v>0</v>
      </c>
      <c r="L15" s="565">
        <v>0</v>
      </c>
      <c r="M15" s="565">
        <v>0</v>
      </c>
      <c r="N15" s="565">
        <v>0</v>
      </c>
      <c r="O15" s="565">
        <v>0</v>
      </c>
      <c r="P15" s="565">
        <v>0</v>
      </c>
      <c r="Q15" s="565">
        <v>0</v>
      </c>
      <c r="R15" s="565">
        <v>0</v>
      </c>
      <c r="S15" s="566">
        <v>0</v>
      </c>
      <c r="T15" s="566">
        <v>0</v>
      </c>
      <c r="U15" s="565" t="s">
        <v>640</v>
      </c>
      <c r="V15" s="565">
        <v>0</v>
      </c>
      <c r="W15" s="575">
        <v>0</v>
      </c>
      <c r="X15" s="575">
        <v>0</v>
      </c>
      <c r="Y15" s="566">
        <v>0</v>
      </c>
      <c r="Z15" s="566">
        <v>0</v>
      </c>
      <c r="AA15" s="566">
        <v>0</v>
      </c>
      <c r="AB15" s="565">
        <v>0</v>
      </c>
      <c r="AC15" s="564">
        <f>SUM(E15:AB15)</f>
        <v>946</v>
      </c>
      <c r="AD15" s="566">
        <v>0</v>
      </c>
      <c r="AE15" s="592"/>
      <c r="AF15" s="565">
        <v>0</v>
      </c>
      <c r="AG15" s="565">
        <v>0</v>
      </c>
      <c r="AH15" s="565">
        <v>0</v>
      </c>
      <c r="AI15" s="565">
        <v>0</v>
      </c>
      <c r="AJ15" s="565">
        <v>0</v>
      </c>
      <c r="AK15" s="566">
        <v>0</v>
      </c>
      <c r="AL15" s="565">
        <v>0</v>
      </c>
      <c r="AM15" s="575">
        <v>0</v>
      </c>
      <c r="AN15" s="575">
        <v>0</v>
      </c>
      <c r="AO15" s="575">
        <v>0</v>
      </c>
      <c r="AP15" s="575">
        <v>0</v>
      </c>
      <c r="AQ15" s="575">
        <v>0</v>
      </c>
      <c r="AR15" s="606">
        <f t="shared" si="15"/>
        <v>946</v>
      </c>
      <c r="AS15" s="566">
        <v>0</v>
      </c>
      <c r="AT15" s="712">
        <f>AR15+AS15</f>
        <v>946</v>
      </c>
      <c r="AU15" s="575"/>
    </row>
    <row r="16" spans="1:47" s="554" customFormat="1">
      <c r="A16" s="552">
        <v>3</v>
      </c>
      <c r="B16" s="554" t="s">
        <v>194</v>
      </c>
      <c r="E16" s="587">
        <f>'ROO INPUT'!F16</f>
        <v>78098</v>
      </c>
      <c r="F16" s="577">
        <v>0</v>
      </c>
      <c r="G16" s="577">
        <v>0</v>
      </c>
      <c r="H16" s="577">
        <v>0</v>
      </c>
      <c r="I16" s="577">
        <v>0</v>
      </c>
      <c r="J16" s="576">
        <v>0</v>
      </c>
      <c r="K16" s="577">
        <v>0</v>
      </c>
      <c r="L16" s="577">
        <v>0</v>
      </c>
      <c r="M16" s="577">
        <v>0</v>
      </c>
      <c r="N16" s="577">
        <v>0</v>
      </c>
      <c r="O16" s="577">
        <v>0</v>
      </c>
      <c r="P16" s="577">
        <v>0</v>
      </c>
      <c r="Q16" s="577">
        <v>0</v>
      </c>
      <c r="R16" s="577">
        <v>0</v>
      </c>
      <c r="S16" s="576">
        <v>0</v>
      </c>
      <c r="T16" s="576">
        <v>0</v>
      </c>
      <c r="U16" s="577">
        <v>0</v>
      </c>
      <c r="V16" s="577">
        <v>0</v>
      </c>
      <c r="W16" s="576">
        <v>0</v>
      </c>
      <c r="X16" s="576">
        <v>0</v>
      </c>
      <c r="Y16" s="576">
        <v>0</v>
      </c>
      <c r="Z16" s="576">
        <v>-20773</v>
      </c>
      <c r="AA16" s="576">
        <v>0</v>
      </c>
      <c r="AB16" s="577">
        <v>0</v>
      </c>
      <c r="AC16" s="286">
        <f>SUM(E16:AB16)</f>
        <v>57325</v>
      </c>
      <c r="AD16" s="576">
        <v>0</v>
      </c>
      <c r="AE16" s="592"/>
      <c r="AF16" s="577">
        <v>0</v>
      </c>
      <c r="AG16" s="577">
        <v>0</v>
      </c>
      <c r="AH16" s="577">
        <v>0</v>
      </c>
      <c r="AI16" s="577">
        <v>0</v>
      </c>
      <c r="AJ16" s="577">
        <v>0</v>
      </c>
      <c r="AK16" s="576">
        <v>0</v>
      </c>
      <c r="AL16" s="577">
        <v>0</v>
      </c>
      <c r="AM16" s="576">
        <v>0</v>
      </c>
      <c r="AN16" s="576">
        <v>0</v>
      </c>
      <c r="AO16" s="576">
        <v>0</v>
      </c>
      <c r="AP16" s="576">
        <v>0</v>
      </c>
      <c r="AQ16" s="576">
        <v>0</v>
      </c>
      <c r="AR16" s="608">
        <f t="shared" si="15"/>
        <v>57325</v>
      </c>
      <c r="AS16" s="576">
        <v>0</v>
      </c>
      <c r="AT16" s="713">
        <f>AR16+AS16</f>
        <v>57325</v>
      </c>
      <c r="AU16" s="575"/>
    </row>
    <row r="17" spans="1:47" s="554" customFormat="1">
      <c r="A17" s="552">
        <v>4</v>
      </c>
      <c r="B17" s="554" t="s">
        <v>195</v>
      </c>
      <c r="E17" s="557">
        <f t="shared" ref="E17:AF17" si="16">SUM(E14:E16)</f>
        <v>595377</v>
      </c>
      <c r="F17" s="565">
        <f t="shared" si="16"/>
        <v>0</v>
      </c>
      <c r="G17" s="565">
        <f t="shared" si="16"/>
        <v>0</v>
      </c>
      <c r="H17" s="565">
        <f t="shared" si="16"/>
        <v>0</v>
      </c>
      <c r="I17" s="565">
        <f t="shared" si="16"/>
        <v>-17807</v>
      </c>
      <c r="J17" s="566">
        <f t="shared" ref="J17" si="17">SUM(J14:J16)</f>
        <v>0</v>
      </c>
      <c r="K17" s="565">
        <f t="shared" si="16"/>
        <v>0</v>
      </c>
      <c r="L17" s="565">
        <f t="shared" si="16"/>
        <v>0</v>
      </c>
      <c r="M17" s="565">
        <f t="shared" si="16"/>
        <v>0</v>
      </c>
      <c r="N17" s="565">
        <f t="shared" si="16"/>
        <v>0</v>
      </c>
      <c r="O17" s="565">
        <f t="shared" si="16"/>
        <v>0</v>
      </c>
      <c r="P17" s="565">
        <f t="shared" si="16"/>
        <v>0</v>
      </c>
      <c r="Q17" s="565">
        <f t="shared" si="16"/>
        <v>0</v>
      </c>
      <c r="R17" s="565">
        <f t="shared" si="16"/>
        <v>7392</v>
      </c>
      <c r="S17" s="566">
        <f t="shared" ref="S17" si="18">SUM(S14:S16)</f>
        <v>-18203</v>
      </c>
      <c r="T17" s="566">
        <f>SUM(T14:T16)</f>
        <v>0</v>
      </c>
      <c r="U17" s="565">
        <f>SUM(U14:U16)</f>
        <v>4698</v>
      </c>
      <c r="V17" s="565">
        <f>SUM(V14:V16)</f>
        <v>0</v>
      </c>
      <c r="W17" s="575">
        <f t="shared" ref="W17" si="19">SUM(W14:W16)</f>
        <v>0</v>
      </c>
      <c r="X17" s="575">
        <f t="shared" ref="X17" si="20">SUM(X14:X16)</f>
        <v>0</v>
      </c>
      <c r="Y17" s="566">
        <f>SUM(Y14:Y16)</f>
        <v>0</v>
      </c>
      <c r="Z17" s="566">
        <f t="shared" ref="Z17" si="21">SUM(Z14:Z16)</f>
        <v>-20773</v>
      </c>
      <c r="AA17" s="566">
        <f>SUM(AA14:AA16)</f>
        <v>0</v>
      </c>
      <c r="AB17" s="565">
        <f>SUM(AB14:AB16)</f>
        <v>0</v>
      </c>
      <c r="AC17" s="564">
        <f t="shared" si="16"/>
        <v>550684</v>
      </c>
      <c r="AD17" s="566">
        <f>SUM(AD14:AD16)</f>
        <v>0</v>
      </c>
      <c r="AE17" s="565">
        <f>SUM(AE14:AE16)</f>
        <v>0</v>
      </c>
      <c r="AF17" s="565">
        <f t="shared" si="16"/>
        <v>0</v>
      </c>
      <c r="AG17" s="565">
        <f t="shared" ref="AG17" si="22">SUM(AG14:AG16)</f>
        <v>0</v>
      </c>
      <c r="AH17" s="565">
        <f>SUM(AH14:AH16)</f>
        <v>0</v>
      </c>
      <c r="AI17" s="565">
        <f>SUM(AI14:AI16)</f>
        <v>0</v>
      </c>
      <c r="AJ17" s="565">
        <f t="shared" ref="AJ17" si="23">SUM(AJ14:AJ16)</f>
        <v>0</v>
      </c>
      <c r="AK17" s="566">
        <f t="shared" ref="AK17:AO17" si="24">SUM(AK14:AK16)</f>
        <v>-1225</v>
      </c>
      <c r="AL17" s="565">
        <f t="shared" si="24"/>
        <v>0</v>
      </c>
      <c r="AM17" s="575">
        <f t="shared" si="24"/>
        <v>0</v>
      </c>
      <c r="AN17" s="575">
        <f t="shared" si="24"/>
        <v>0</v>
      </c>
      <c r="AO17" s="575">
        <f t="shared" si="24"/>
        <v>0</v>
      </c>
      <c r="AP17" s="575">
        <f>SUM(AP14:AP16)</f>
        <v>0</v>
      </c>
      <c r="AQ17" s="575">
        <f t="shared" ref="AQ17" si="25">SUM(AQ14:AQ16)</f>
        <v>0</v>
      </c>
      <c r="AR17" s="606">
        <f t="shared" si="15"/>
        <v>549459</v>
      </c>
      <c r="AS17" s="566">
        <f>SUM(AS14:AS16)</f>
        <v>0</v>
      </c>
      <c r="AT17" s="712">
        <f t="shared" ref="AT17:AT19" si="26">AR17+AS17</f>
        <v>549459</v>
      </c>
      <c r="AU17" s="575"/>
    </row>
    <row r="18" spans="1:47" s="554" customFormat="1">
      <c r="A18" s="552">
        <v>5</v>
      </c>
      <c r="B18" s="554" t="s">
        <v>196</v>
      </c>
      <c r="E18" s="587">
        <f>'ROO INPUT'!F18</f>
        <v>81735</v>
      </c>
      <c r="F18" s="577">
        <v>0</v>
      </c>
      <c r="G18" s="577">
        <v>0</v>
      </c>
      <c r="H18" s="577">
        <v>0</v>
      </c>
      <c r="I18" s="577">
        <v>-14</v>
      </c>
      <c r="J18" s="576">
        <v>0</v>
      </c>
      <c r="K18" s="577">
        <v>0</v>
      </c>
      <c r="L18" s="577">
        <v>0</v>
      </c>
      <c r="M18" s="577">
        <v>0</v>
      </c>
      <c r="N18" s="577">
        <v>0</v>
      </c>
      <c r="O18" s="577">
        <v>0</v>
      </c>
      <c r="P18" s="577">
        <v>0</v>
      </c>
      <c r="Q18" s="577">
        <v>0</v>
      </c>
      <c r="R18" s="577">
        <v>-5775</v>
      </c>
      <c r="S18" s="576">
        <v>684</v>
      </c>
      <c r="T18" s="576">
        <v>-2566</v>
      </c>
      <c r="U18" s="577">
        <v>0</v>
      </c>
      <c r="V18" s="577">
        <v>0</v>
      </c>
      <c r="W18" s="576">
        <v>0</v>
      </c>
      <c r="X18" s="576">
        <v>0</v>
      </c>
      <c r="Y18" s="576">
        <v>0</v>
      </c>
      <c r="Z18" s="576">
        <f>-77721-Z16</f>
        <v>-56948</v>
      </c>
      <c r="AA18" s="576">
        <v>0</v>
      </c>
      <c r="AB18" s="577">
        <v>0</v>
      </c>
      <c r="AC18" s="286">
        <f>SUM(E18:AB18)</f>
        <v>17116</v>
      </c>
      <c r="AD18" s="576">
        <v>71</v>
      </c>
      <c r="AE18" s="577">
        <v>0</v>
      </c>
      <c r="AF18" s="577">
        <v>0</v>
      </c>
      <c r="AG18" s="577">
        <v>0</v>
      </c>
      <c r="AH18" s="577">
        <v>0</v>
      </c>
      <c r="AI18" s="577">
        <v>0</v>
      </c>
      <c r="AJ18" s="577">
        <v>0</v>
      </c>
      <c r="AK18" s="576">
        <v>-3887</v>
      </c>
      <c r="AL18" s="577">
        <v>0</v>
      </c>
      <c r="AM18" s="576">
        <v>0</v>
      </c>
      <c r="AN18" s="576">
        <v>0</v>
      </c>
      <c r="AO18" s="576">
        <v>0</v>
      </c>
      <c r="AP18" s="576">
        <v>0</v>
      </c>
      <c r="AQ18" s="576">
        <v>0</v>
      </c>
      <c r="AR18" s="608">
        <f t="shared" si="15"/>
        <v>13300</v>
      </c>
      <c r="AS18" s="576">
        <v>0</v>
      </c>
      <c r="AT18" s="713">
        <f t="shared" si="26"/>
        <v>13300</v>
      </c>
      <c r="AU18" s="620"/>
    </row>
    <row r="19" spans="1:47" s="554" customFormat="1">
      <c r="A19" s="552">
        <v>6</v>
      </c>
      <c r="B19" s="554" t="s">
        <v>197</v>
      </c>
      <c r="E19" s="557">
        <f t="shared" ref="E19:AG19" si="27">SUM(E17:E18)</f>
        <v>677112</v>
      </c>
      <c r="F19" s="565">
        <f t="shared" si="27"/>
        <v>0</v>
      </c>
      <c r="G19" s="565">
        <f t="shared" si="27"/>
        <v>0</v>
      </c>
      <c r="H19" s="565">
        <f t="shared" si="27"/>
        <v>0</v>
      </c>
      <c r="I19" s="565">
        <f t="shared" si="27"/>
        <v>-17821</v>
      </c>
      <c r="J19" s="566">
        <f t="shared" ref="J19" si="28">SUM(J17:J18)</f>
        <v>0</v>
      </c>
      <c r="K19" s="565">
        <f t="shared" si="27"/>
        <v>0</v>
      </c>
      <c r="L19" s="565">
        <f t="shared" si="27"/>
        <v>0</v>
      </c>
      <c r="M19" s="565">
        <f t="shared" si="27"/>
        <v>0</v>
      </c>
      <c r="N19" s="565">
        <f t="shared" si="27"/>
        <v>0</v>
      </c>
      <c r="O19" s="565">
        <f t="shared" si="27"/>
        <v>0</v>
      </c>
      <c r="P19" s="565">
        <f t="shared" si="27"/>
        <v>0</v>
      </c>
      <c r="Q19" s="565">
        <f t="shared" si="27"/>
        <v>0</v>
      </c>
      <c r="R19" s="565">
        <f t="shared" si="27"/>
        <v>1617</v>
      </c>
      <c r="S19" s="566">
        <f t="shared" ref="S19" si="29">SUM(S17:S18)</f>
        <v>-17519</v>
      </c>
      <c r="T19" s="566">
        <f>SUM(T17:T18)</f>
        <v>-2566</v>
      </c>
      <c r="U19" s="565">
        <f>SUM(U17:U18)</f>
        <v>4698</v>
      </c>
      <c r="V19" s="565">
        <f>SUM(V17:V18)</f>
        <v>0</v>
      </c>
      <c r="W19" s="575">
        <f t="shared" ref="W19:X19" si="30">SUM(W17:W18)</f>
        <v>0</v>
      </c>
      <c r="X19" s="575">
        <f t="shared" si="30"/>
        <v>0</v>
      </c>
      <c r="Y19" s="566">
        <f>SUM(Y17:Y18)</f>
        <v>0</v>
      </c>
      <c r="Z19" s="566">
        <f t="shared" ref="Z19" si="31">SUM(Z17:Z18)</f>
        <v>-77721</v>
      </c>
      <c r="AA19" s="566">
        <f>SUM(AA17:AA18)</f>
        <v>0</v>
      </c>
      <c r="AB19" s="565">
        <f>SUM(AB17:AB18)</f>
        <v>0</v>
      </c>
      <c r="AC19" s="564">
        <f t="shared" si="27"/>
        <v>567800</v>
      </c>
      <c r="AD19" s="566">
        <f>SUM(AD17:AD18)</f>
        <v>71</v>
      </c>
      <c r="AE19" s="565">
        <f>SUM(AE17:AE18)</f>
        <v>0</v>
      </c>
      <c r="AF19" s="565">
        <f t="shared" si="27"/>
        <v>0</v>
      </c>
      <c r="AG19" s="566">
        <f t="shared" si="27"/>
        <v>0</v>
      </c>
      <c r="AH19" s="565">
        <f>SUM(AH17:AH18)</f>
        <v>0</v>
      </c>
      <c r="AI19" s="566">
        <f>SUM(AI17:AI18)</f>
        <v>0</v>
      </c>
      <c r="AJ19" s="565">
        <f t="shared" ref="AJ19" si="32">SUM(AJ17:AJ18)</f>
        <v>0</v>
      </c>
      <c r="AK19" s="566">
        <f>SUM(AK17:AK18)</f>
        <v>-5112</v>
      </c>
      <c r="AL19" s="566">
        <f>SUM(AL17:AL18)</f>
        <v>0</v>
      </c>
      <c r="AM19" s="575">
        <f>SUM(AM17:AM18)</f>
        <v>0</v>
      </c>
      <c r="AN19" s="575">
        <f>SUM(AN17:AN18)</f>
        <v>0</v>
      </c>
      <c r="AO19" s="575">
        <f t="shared" ref="AO19" si="33">SUM(AO17:AO18)</f>
        <v>0</v>
      </c>
      <c r="AP19" s="575">
        <f>SUM(AP17:AP18)</f>
        <v>0</v>
      </c>
      <c r="AQ19" s="575">
        <f t="shared" ref="AQ19" si="34">SUM(AQ17:AQ18)</f>
        <v>0</v>
      </c>
      <c r="AR19" s="606">
        <f t="shared" si="15"/>
        <v>562759</v>
      </c>
      <c r="AS19" s="566">
        <f>SUM(AS17:AS18)</f>
        <v>0</v>
      </c>
      <c r="AT19" s="712">
        <f t="shared" si="26"/>
        <v>562759</v>
      </c>
      <c r="AU19" s="636"/>
    </row>
    <row r="20" spans="1:47" s="554" customFormat="1">
      <c r="A20" s="552"/>
      <c r="E20" s="557"/>
      <c r="F20" s="565"/>
      <c r="G20" s="565"/>
      <c r="H20" s="565"/>
      <c r="I20" s="565"/>
      <c r="J20" s="566"/>
      <c r="K20" s="565"/>
      <c r="L20" s="565"/>
      <c r="M20" s="565"/>
      <c r="N20" s="565"/>
      <c r="O20" s="565"/>
      <c r="P20" s="565"/>
      <c r="Q20" s="565"/>
      <c r="R20" s="565"/>
      <c r="S20" s="566"/>
      <c r="T20" s="566"/>
      <c r="U20" s="565"/>
      <c r="V20" s="565"/>
      <c r="W20" s="575"/>
      <c r="X20" s="575"/>
      <c r="Y20" s="566"/>
      <c r="Z20" s="566"/>
      <c r="AA20" s="566"/>
      <c r="AB20" s="565"/>
      <c r="AC20" s="564"/>
      <c r="AD20" s="566"/>
      <c r="AE20" s="565"/>
      <c r="AF20" s="565"/>
      <c r="AG20" s="566"/>
      <c r="AH20" s="565"/>
      <c r="AI20" s="566"/>
      <c r="AJ20" s="565"/>
      <c r="AK20" s="566"/>
      <c r="AL20" s="566"/>
      <c r="AM20" s="575"/>
      <c r="AN20" s="575"/>
      <c r="AO20" s="575"/>
      <c r="AP20" s="575"/>
      <c r="AQ20" s="575"/>
      <c r="AR20" s="606"/>
      <c r="AS20" s="566"/>
      <c r="AT20" s="712"/>
      <c r="AU20" s="636"/>
    </row>
    <row r="21" spans="1:47" s="554" customFormat="1">
      <c r="A21" s="552"/>
      <c r="B21" s="554" t="s">
        <v>198</v>
      </c>
      <c r="E21" s="557"/>
      <c r="F21" s="565"/>
      <c r="G21" s="565"/>
      <c r="H21" s="565"/>
      <c r="I21" s="565"/>
      <c r="J21" s="566"/>
      <c r="K21" s="565"/>
      <c r="L21" s="565"/>
      <c r="M21" s="565"/>
      <c r="N21" s="565"/>
      <c r="O21" s="565"/>
      <c r="P21" s="565"/>
      <c r="Q21" s="565"/>
      <c r="R21" s="565"/>
      <c r="S21" s="566"/>
      <c r="T21" s="566"/>
      <c r="U21" s="565"/>
      <c r="V21" s="565"/>
      <c r="W21" s="575"/>
      <c r="X21" s="575"/>
      <c r="Y21" s="566"/>
      <c r="Z21" s="566"/>
      <c r="AA21" s="566"/>
      <c r="AB21" s="565"/>
      <c r="AC21" s="564"/>
      <c r="AD21" s="566"/>
      <c r="AE21" s="565"/>
      <c r="AF21" s="565"/>
      <c r="AG21" s="566"/>
      <c r="AH21" s="565"/>
      <c r="AI21" s="566"/>
      <c r="AJ21" s="565"/>
      <c r="AK21" s="566"/>
      <c r="AL21" s="566"/>
      <c r="AM21" s="575"/>
      <c r="AN21" s="575"/>
      <c r="AO21" s="575"/>
      <c r="AP21" s="575"/>
      <c r="AQ21" s="575"/>
      <c r="AR21" s="606"/>
      <c r="AS21" s="566"/>
      <c r="AT21" s="712"/>
      <c r="AU21" s="636"/>
    </row>
    <row r="22" spans="1:47" s="554" customFormat="1">
      <c r="A22" s="552"/>
      <c r="B22" s="554" t="s">
        <v>199</v>
      </c>
      <c r="E22" s="557"/>
      <c r="F22" s="565"/>
      <c r="G22" s="565"/>
      <c r="H22" s="565"/>
      <c r="I22" s="565"/>
      <c r="J22" s="566"/>
      <c r="K22" s="565"/>
      <c r="L22" s="565"/>
      <c r="M22" s="565"/>
      <c r="N22" s="565"/>
      <c r="O22" s="565"/>
      <c r="P22" s="565"/>
      <c r="Q22" s="565"/>
      <c r="R22" s="565"/>
      <c r="S22" s="566"/>
      <c r="T22" s="566"/>
      <c r="U22" s="565"/>
      <c r="V22" s="565"/>
      <c r="W22" s="575"/>
      <c r="X22" s="575"/>
      <c r="Y22" s="566"/>
      <c r="Z22" s="566"/>
      <c r="AA22" s="566"/>
      <c r="AB22" s="565"/>
      <c r="AC22" s="564"/>
      <c r="AD22" s="566"/>
      <c r="AE22" s="565"/>
      <c r="AF22" s="565"/>
      <c r="AG22" s="566"/>
      <c r="AH22" s="565"/>
      <c r="AI22" s="566"/>
      <c r="AJ22" s="565"/>
      <c r="AK22" s="566"/>
      <c r="AL22" s="566"/>
      <c r="AM22" s="575"/>
      <c r="AN22" s="575"/>
      <c r="AO22" s="575"/>
      <c r="AP22" s="575"/>
      <c r="AQ22" s="575"/>
      <c r="AR22" s="606">
        <f t="shared" ref="AR22:AR28" si="35">SUM(AC22:AQ22)</f>
        <v>0</v>
      </c>
      <c r="AS22" s="566"/>
      <c r="AT22" s="712">
        <f t="shared" ref="AT22:AT28" si="36">AR22+AS22</f>
        <v>0</v>
      </c>
      <c r="AU22" s="636"/>
    </row>
    <row r="23" spans="1:47" s="554" customFormat="1">
      <c r="A23" s="552">
        <v>7</v>
      </c>
      <c r="C23" s="554" t="s">
        <v>200</v>
      </c>
      <c r="E23" s="557">
        <f>'ROO INPUT'!F23</f>
        <v>184672</v>
      </c>
      <c r="F23" s="565">
        <v>0</v>
      </c>
      <c r="G23" s="565">
        <v>4</v>
      </c>
      <c r="H23" s="565">
        <v>0</v>
      </c>
      <c r="I23" s="565">
        <v>0</v>
      </c>
      <c r="J23" s="566">
        <v>0</v>
      </c>
      <c r="K23" s="565">
        <v>0</v>
      </c>
      <c r="L23" s="565">
        <v>0</v>
      </c>
      <c r="M23" s="565">
        <v>0</v>
      </c>
      <c r="N23" s="565">
        <v>0</v>
      </c>
      <c r="O23" s="565">
        <v>0</v>
      </c>
      <c r="P23" s="565">
        <v>0</v>
      </c>
      <c r="Q23" s="565">
        <v>0</v>
      </c>
      <c r="R23" s="565">
        <v>0</v>
      </c>
      <c r="S23" s="566">
        <v>-383</v>
      </c>
      <c r="T23" s="566">
        <v>-5</v>
      </c>
      <c r="U23" s="565">
        <v>-2270</v>
      </c>
      <c r="V23" s="565">
        <v>-4</v>
      </c>
      <c r="W23" s="575">
        <v>0</v>
      </c>
      <c r="X23" s="575">
        <v>-1174</v>
      </c>
      <c r="Y23" s="566">
        <v>0</v>
      </c>
      <c r="Z23" s="566">
        <f>-65881-Z24</f>
        <v>-46240</v>
      </c>
      <c r="AA23" s="566">
        <v>0</v>
      </c>
      <c r="AB23" s="565">
        <v>0</v>
      </c>
      <c r="AC23" s="564">
        <f>SUM(E23:AB23)</f>
        <v>134600</v>
      </c>
      <c r="AD23" s="566">
        <f>146+26</f>
        <v>172</v>
      </c>
      <c r="AE23" s="842">
        <f>+(SUM('[4]Washington Electric PF'!$I$53:$J$54,'[4]Washington Electric PF'!$I$69:$J$69))/1000</f>
        <v>538.34</v>
      </c>
      <c r="AF23" s="566">
        <v>0</v>
      </c>
      <c r="AG23" s="566">
        <v>-125</v>
      </c>
      <c r="AH23" s="565">
        <v>0</v>
      </c>
      <c r="AI23" s="566">
        <v>0</v>
      </c>
      <c r="AJ23" s="740">
        <v>0</v>
      </c>
      <c r="AK23" s="566">
        <v>0</v>
      </c>
      <c r="AL23" s="566">
        <f>-244-12+8</f>
        <v>-248</v>
      </c>
      <c r="AM23" s="575">
        <v>0</v>
      </c>
      <c r="AN23" s="575">
        <v>0</v>
      </c>
      <c r="AO23" s="575">
        <v>0</v>
      </c>
      <c r="AP23" s="575">
        <v>347</v>
      </c>
      <c r="AQ23" s="575">
        <v>0</v>
      </c>
      <c r="AR23" s="606">
        <f t="shared" si="35"/>
        <v>135284.34</v>
      </c>
      <c r="AS23" s="566">
        <v>0</v>
      </c>
      <c r="AT23" s="712">
        <f t="shared" si="36"/>
        <v>135284.34</v>
      </c>
      <c r="AU23" s="780"/>
    </row>
    <row r="24" spans="1:47" s="554" customFormat="1">
      <c r="A24" s="552">
        <v>8</v>
      </c>
      <c r="C24" s="554" t="s">
        <v>201</v>
      </c>
      <c r="E24" s="557">
        <f>'ROO INPUT'!F24</f>
        <v>96772</v>
      </c>
      <c r="F24" s="565">
        <v>0</v>
      </c>
      <c r="G24" s="565"/>
      <c r="H24" s="565">
        <v>0</v>
      </c>
      <c r="I24" s="565">
        <v>0</v>
      </c>
      <c r="J24" s="566">
        <v>0</v>
      </c>
      <c r="K24" s="565">
        <v>0</v>
      </c>
      <c r="L24" s="565">
        <v>0</v>
      </c>
      <c r="M24" s="565">
        <v>0</v>
      </c>
      <c r="N24" s="565">
        <v>0</v>
      </c>
      <c r="O24" s="565">
        <v>0</v>
      </c>
      <c r="P24" s="565">
        <v>0</v>
      </c>
      <c r="Q24" s="565">
        <v>0</v>
      </c>
      <c r="R24" s="565">
        <v>0</v>
      </c>
      <c r="S24" s="566">
        <v>0</v>
      </c>
      <c r="T24" s="566">
        <v>0</v>
      </c>
      <c r="U24" s="565">
        <v>0</v>
      </c>
      <c r="V24" s="565">
        <v>0</v>
      </c>
      <c r="W24" s="575">
        <v>0</v>
      </c>
      <c r="X24" s="575">
        <v>0</v>
      </c>
      <c r="Y24" s="566">
        <v>0</v>
      </c>
      <c r="Z24" s="566">
        <v>-19641</v>
      </c>
      <c r="AA24" s="566">
        <v>0</v>
      </c>
      <c r="AB24" s="565">
        <v>0</v>
      </c>
      <c r="AC24" s="564">
        <f>SUM(E24:AB24)</f>
        <v>77131</v>
      </c>
      <c r="AD24" s="566">
        <v>0</v>
      </c>
      <c r="AE24" s="565">
        <v>0</v>
      </c>
      <c r="AF24" s="565">
        <v>0</v>
      </c>
      <c r="AG24" s="566"/>
      <c r="AH24" s="565">
        <v>0</v>
      </c>
      <c r="AI24" s="566">
        <v>0</v>
      </c>
      <c r="AJ24" s="565">
        <v>0</v>
      </c>
      <c r="AK24" s="566">
        <v>0</v>
      </c>
      <c r="AL24" s="566">
        <v>0</v>
      </c>
      <c r="AM24" s="575">
        <v>0</v>
      </c>
      <c r="AN24" s="575">
        <v>0</v>
      </c>
      <c r="AO24" s="575">
        <v>0</v>
      </c>
      <c r="AP24" s="575">
        <v>0</v>
      </c>
      <c r="AQ24" s="575">
        <v>0</v>
      </c>
      <c r="AR24" s="606">
        <f t="shared" si="35"/>
        <v>77131</v>
      </c>
      <c r="AS24" s="566">
        <v>0</v>
      </c>
      <c r="AT24" s="712">
        <f t="shared" si="36"/>
        <v>77131</v>
      </c>
      <c r="AU24" s="628"/>
    </row>
    <row r="25" spans="1:47" s="554" customFormat="1">
      <c r="A25" s="552">
        <v>9</v>
      </c>
      <c r="C25" s="554" t="s">
        <v>590</v>
      </c>
      <c r="E25" s="557">
        <f>'ROO INPUT'!F25</f>
        <v>26677</v>
      </c>
      <c r="F25" s="565">
        <v>0</v>
      </c>
      <c r="G25" s="565">
        <v>0</v>
      </c>
      <c r="H25" s="565">
        <v>0</v>
      </c>
      <c r="I25" s="565">
        <v>0</v>
      </c>
      <c r="J25" s="566">
        <v>0</v>
      </c>
      <c r="K25" s="565">
        <v>0</v>
      </c>
      <c r="L25" s="557">
        <f>'ROO INPUT'!M25</f>
        <v>0</v>
      </c>
      <c r="M25" s="565">
        <v>0</v>
      </c>
      <c r="N25" s="565">
        <v>0</v>
      </c>
      <c r="O25" s="565">
        <v>0</v>
      </c>
      <c r="P25" s="565">
        <v>0</v>
      </c>
      <c r="Q25" s="565">
        <v>0</v>
      </c>
      <c r="R25" s="565">
        <v>0</v>
      </c>
      <c r="S25" s="566">
        <v>0</v>
      </c>
      <c r="T25" s="566">
        <v>0</v>
      </c>
      <c r="U25" s="565">
        <v>0</v>
      </c>
      <c r="V25" s="565">
        <v>0</v>
      </c>
      <c r="W25" s="575">
        <v>0</v>
      </c>
      <c r="X25" s="575">
        <v>0</v>
      </c>
      <c r="Y25" s="566">
        <v>0</v>
      </c>
      <c r="Z25" s="566">
        <v>0</v>
      </c>
      <c r="AA25" s="566">
        <v>0</v>
      </c>
      <c r="AB25" s="565">
        <v>0</v>
      </c>
      <c r="AC25" s="564">
        <f>SUM(E25:AB25)</f>
        <v>26677</v>
      </c>
      <c r="AD25" s="566">
        <v>0</v>
      </c>
      <c r="AE25" s="565">
        <v>0</v>
      </c>
      <c r="AF25" s="565">
        <v>0</v>
      </c>
      <c r="AG25" s="566">
        <v>0</v>
      </c>
      <c r="AH25" s="565">
        <v>0</v>
      </c>
      <c r="AI25" s="566">
        <v>0</v>
      </c>
      <c r="AJ25" s="565">
        <v>0</v>
      </c>
      <c r="AK25" s="566">
        <v>0</v>
      </c>
      <c r="AL25" s="566">
        <v>0</v>
      </c>
      <c r="AM25" s="575">
        <v>129</v>
      </c>
      <c r="AN25" s="575">
        <v>0</v>
      </c>
      <c r="AO25" s="575">
        <v>0</v>
      </c>
      <c r="AP25" s="575">
        <v>0</v>
      </c>
      <c r="AQ25" s="575">
        <v>0</v>
      </c>
      <c r="AR25" s="606">
        <f t="shared" si="35"/>
        <v>26806</v>
      </c>
      <c r="AS25" s="566">
        <v>0</v>
      </c>
      <c r="AT25" s="712">
        <f t="shared" si="36"/>
        <v>26806</v>
      </c>
      <c r="AU25" s="636"/>
    </row>
    <row r="26" spans="1:47" s="554" customFormat="1">
      <c r="A26" s="552">
        <v>10</v>
      </c>
      <c r="C26" s="557" t="s">
        <v>586</v>
      </c>
      <c r="D26" s="557"/>
      <c r="E26" s="557">
        <f>'ROO INPUT'!F26</f>
        <v>4310</v>
      </c>
      <c r="F26" s="566">
        <v>0</v>
      </c>
      <c r="G26" s="566">
        <v>0</v>
      </c>
      <c r="H26" s="566">
        <v>0</v>
      </c>
      <c r="I26" s="566">
        <v>0</v>
      </c>
      <c r="J26" s="566">
        <v>0</v>
      </c>
      <c r="K26" s="566">
        <v>0</v>
      </c>
      <c r="L26" s="566">
        <v>0</v>
      </c>
      <c r="M26" s="566">
        <v>0</v>
      </c>
      <c r="N26" s="566">
        <v>0</v>
      </c>
      <c r="O26" s="566">
        <v>0</v>
      </c>
      <c r="P26" s="566">
        <v>0</v>
      </c>
      <c r="Q26" s="566">
        <v>0</v>
      </c>
      <c r="R26" s="566">
        <v>0</v>
      </c>
      <c r="S26" s="566">
        <v>395</v>
      </c>
      <c r="T26" s="566">
        <v>0</v>
      </c>
      <c r="U26" s="566">
        <v>0</v>
      </c>
      <c r="V26" s="566">
        <v>0</v>
      </c>
      <c r="W26" s="575">
        <v>0</v>
      </c>
      <c r="X26" s="575">
        <v>0</v>
      </c>
      <c r="Y26" s="566">
        <v>0</v>
      </c>
      <c r="Z26" s="566"/>
      <c r="AA26" s="566">
        <v>0</v>
      </c>
      <c r="AB26" s="566">
        <v>0</v>
      </c>
      <c r="AC26" s="564">
        <f>SUM(E26:AB26)</f>
        <v>4705</v>
      </c>
      <c r="AD26" s="566"/>
      <c r="AE26" s="566"/>
      <c r="AF26" s="566"/>
      <c r="AG26" s="566"/>
      <c r="AH26" s="566">
        <v>0</v>
      </c>
      <c r="AI26" s="566">
        <v>0</v>
      </c>
      <c r="AJ26" s="566">
        <v>0</v>
      </c>
      <c r="AK26" s="566">
        <v>0</v>
      </c>
      <c r="AL26" s="566">
        <v>-1393</v>
      </c>
      <c r="AM26" s="575"/>
      <c r="AN26" s="575">
        <v>0</v>
      </c>
      <c r="AO26" s="575">
        <v>0</v>
      </c>
      <c r="AP26" s="575">
        <v>0</v>
      </c>
      <c r="AQ26" s="575">
        <v>0</v>
      </c>
      <c r="AR26" s="606">
        <f t="shared" si="35"/>
        <v>3312</v>
      </c>
      <c r="AS26" s="566"/>
      <c r="AT26" s="712">
        <f t="shared" si="36"/>
        <v>3312</v>
      </c>
      <c r="AU26" s="636"/>
    </row>
    <row r="27" spans="1:47" s="554" customFormat="1">
      <c r="A27" s="552">
        <v>11</v>
      </c>
      <c r="C27" s="554" t="s">
        <v>202</v>
      </c>
      <c r="E27" s="587">
        <f>'ROO INPUT'!F27</f>
        <v>14904</v>
      </c>
      <c r="F27" s="577">
        <v>0</v>
      </c>
      <c r="G27" s="577">
        <v>0</v>
      </c>
      <c r="H27" s="577">
        <v>0</v>
      </c>
      <c r="I27" s="577">
        <v>0</v>
      </c>
      <c r="J27" s="576">
        <v>86</v>
      </c>
      <c r="K27" s="577">
        <v>0</v>
      </c>
      <c r="L27" s="577">
        <v>0</v>
      </c>
      <c r="M27" s="577">
        <v>0</v>
      </c>
      <c r="N27" s="577">
        <v>0</v>
      </c>
      <c r="O27" s="577">
        <v>0</v>
      </c>
      <c r="P27" s="577">
        <v>0</v>
      </c>
      <c r="Q27" s="577">
        <v>0</v>
      </c>
      <c r="R27" s="577">
        <v>0</v>
      </c>
      <c r="S27" s="576">
        <v>0</v>
      </c>
      <c r="T27" s="576">
        <v>0</v>
      </c>
      <c r="U27" s="577">
        <v>0</v>
      </c>
      <c r="V27" s="577">
        <v>0</v>
      </c>
      <c r="W27" s="576">
        <v>0</v>
      </c>
      <c r="X27" s="576">
        <v>0</v>
      </c>
      <c r="Y27" s="576">
        <v>0</v>
      </c>
      <c r="Z27" s="576">
        <v>0</v>
      </c>
      <c r="AA27" s="576">
        <v>0</v>
      </c>
      <c r="AB27" s="577">
        <v>0</v>
      </c>
      <c r="AC27" s="286">
        <f>SUM(E27:AB27)</f>
        <v>14990</v>
      </c>
      <c r="AD27" s="576">
        <v>0</v>
      </c>
      <c r="AE27" s="577">
        <v>0</v>
      </c>
      <c r="AF27" s="577">
        <v>0</v>
      </c>
      <c r="AG27" s="576">
        <v>0</v>
      </c>
      <c r="AH27" s="577">
        <v>0</v>
      </c>
      <c r="AI27" s="576">
        <v>1578</v>
      </c>
      <c r="AJ27" s="577">
        <v>0</v>
      </c>
      <c r="AK27" s="576">
        <v>0</v>
      </c>
      <c r="AL27" s="576">
        <v>0</v>
      </c>
      <c r="AM27" s="576">
        <v>0</v>
      </c>
      <c r="AN27" s="576">
        <v>0</v>
      </c>
      <c r="AO27" s="576">
        <v>0</v>
      </c>
      <c r="AP27" s="576">
        <v>0</v>
      </c>
      <c r="AQ27" s="576">
        <v>0</v>
      </c>
      <c r="AR27" s="608">
        <f t="shared" si="35"/>
        <v>16568</v>
      </c>
      <c r="AS27" s="576">
        <v>0</v>
      </c>
      <c r="AT27" s="713">
        <f t="shared" si="36"/>
        <v>16568</v>
      </c>
      <c r="AU27" s="636"/>
    </row>
    <row r="28" spans="1:47" s="554" customFormat="1">
      <c r="A28" s="552">
        <v>12</v>
      </c>
      <c r="B28" s="554" t="s">
        <v>203</v>
      </c>
      <c r="E28" s="557">
        <f t="shared" ref="E28:AF28" si="37">SUM(E23:E27)</f>
        <v>327335</v>
      </c>
      <c r="F28" s="565">
        <f t="shared" si="37"/>
        <v>0</v>
      </c>
      <c r="G28" s="565">
        <f t="shared" si="37"/>
        <v>4</v>
      </c>
      <c r="H28" s="565">
        <f t="shared" si="37"/>
        <v>0</v>
      </c>
      <c r="I28" s="565">
        <f t="shared" si="37"/>
        <v>0</v>
      </c>
      <c r="J28" s="566">
        <f t="shared" ref="J28" si="38">SUM(J23:J27)</f>
        <v>86</v>
      </c>
      <c r="K28" s="565">
        <f t="shared" si="37"/>
        <v>0</v>
      </c>
      <c r="L28" s="565">
        <f t="shared" si="37"/>
        <v>0</v>
      </c>
      <c r="M28" s="565">
        <f t="shared" si="37"/>
        <v>0</v>
      </c>
      <c r="N28" s="565">
        <f t="shared" si="37"/>
        <v>0</v>
      </c>
      <c r="O28" s="565">
        <f t="shared" si="37"/>
        <v>0</v>
      </c>
      <c r="P28" s="565">
        <f t="shared" si="37"/>
        <v>0</v>
      </c>
      <c r="Q28" s="565">
        <f t="shared" si="37"/>
        <v>0</v>
      </c>
      <c r="R28" s="565">
        <f t="shared" si="37"/>
        <v>0</v>
      </c>
      <c r="S28" s="566">
        <f t="shared" ref="S28" si="39">SUM(S23:S27)</f>
        <v>12</v>
      </c>
      <c r="T28" s="566">
        <f>SUM(T23:T27)</f>
        <v>-5</v>
      </c>
      <c r="U28" s="565">
        <f>SUM(U23:U27)</f>
        <v>-2270</v>
      </c>
      <c r="V28" s="565">
        <f>SUM(V23:V27)</f>
        <v>-4</v>
      </c>
      <c r="W28" s="575">
        <f t="shared" ref="W28" si="40">SUM(W23:W27)</f>
        <v>0</v>
      </c>
      <c r="X28" s="575">
        <f t="shared" ref="X28" si="41">SUM(X23:X27)</f>
        <v>-1174</v>
      </c>
      <c r="Y28" s="566">
        <f>SUM(Y23:Y27)</f>
        <v>0</v>
      </c>
      <c r="Z28" s="566">
        <f t="shared" ref="Z28" si="42">SUM(Z23:Z27)</f>
        <v>-65881</v>
      </c>
      <c r="AA28" s="566">
        <f>SUM(AA23:AA27)</f>
        <v>0</v>
      </c>
      <c r="AB28" s="565">
        <f>SUM(AB23:AB27)</f>
        <v>0</v>
      </c>
      <c r="AC28" s="564">
        <f t="shared" si="37"/>
        <v>258103</v>
      </c>
      <c r="AD28" s="566">
        <f>SUM(AD23:AD27)</f>
        <v>172</v>
      </c>
      <c r="AE28" s="565">
        <f>SUM(AE23:AE27)</f>
        <v>538.34</v>
      </c>
      <c r="AF28" s="565">
        <f t="shared" si="37"/>
        <v>0</v>
      </c>
      <c r="AG28" s="566">
        <f t="shared" ref="AG28" si="43">SUM(AG23:AG27)</f>
        <v>-125</v>
      </c>
      <c r="AH28" s="565">
        <f>SUM(AH23:AH27)</f>
        <v>0</v>
      </c>
      <c r="AI28" s="566">
        <f>SUM(AI23:AI27)</f>
        <v>1578</v>
      </c>
      <c r="AJ28" s="565">
        <f t="shared" ref="AJ28" si="44">SUM(AJ23:AJ27)</f>
        <v>0</v>
      </c>
      <c r="AK28" s="566">
        <f t="shared" ref="AK28:AO28" si="45">SUM(AK23:AK27)</f>
        <v>0</v>
      </c>
      <c r="AL28" s="566">
        <f t="shared" si="45"/>
        <v>-1641</v>
      </c>
      <c r="AM28" s="575">
        <f t="shared" si="45"/>
        <v>129</v>
      </c>
      <c r="AN28" s="575">
        <f t="shared" si="45"/>
        <v>0</v>
      </c>
      <c r="AO28" s="575">
        <f t="shared" si="45"/>
        <v>0</v>
      </c>
      <c r="AP28" s="575">
        <f>SUM(AP23:AP27)</f>
        <v>347</v>
      </c>
      <c r="AQ28" s="575">
        <f t="shared" ref="AQ28" si="46">SUM(AQ23:AQ27)</f>
        <v>0</v>
      </c>
      <c r="AR28" s="606">
        <f t="shared" si="35"/>
        <v>259101.34</v>
      </c>
      <c r="AS28" s="566">
        <f>SUM(AS23:AS27)</f>
        <v>0</v>
      </c>
      <c r="AT28" s="712">
        <f t="shared" si="36"/>
        <v>259101.34</v>
      </c>
      <c r="AU28" s="636"/>
    </row>
    <row r="29" spans="1:47" s="554" customFormat="1">
      <c r="A29" s="552"/>
      <c r="E29" s="557"/>
      <c r="F29" s="565"/>
      <c r="G29" s="565"/>
      <c r="H29" s="565"/>
      <c r="I29" s="565"/>
      <c r="J29" s="566"/>
      <c r="K29" s="565"/>
      <c r="L29" s="565"/>
      <c r="M29" s="565"/>
      <c r="N29" s="565"/>
      <c r="O29" s="565"/>
      <c r="P29" s="565"/>
      <c r="Q29" s="565"/>
      <c r="R29" s="565"/>
      <c r="S29" s="566"/>
      <c r="T29" s="566"/>
      <c r="U29" s="565"/>
      <c r="V29" s="565"/>
      <c r="W29" s="575"/>
      <c r="X29" s="575"/>
      <c r="Y29" s="566"/>
      <c r="Z29" s="566"/>
      <c r="AA29" s="566"/>
      <c r="AB29" s="565"/>
      <c r="AC29" s="564"/>
      <c r="AD29" s="566"/>
      <c r="AE29" s="565"/>
      <c r="AF29" s="565"/>
      <c r="AG29" s="566"/>
      <c r="AH29" s="565"/>
      <c r="AI29" s="566"/>
      <c r="AJ29" s="565"/>
      <c r="AK29" s="566"/>
      <c r="AL29" s="566"/>
      <c r="AM29" s="575"/>
      <c r="AN29" s="575"/>
      <c r="AO29" s="575"/>
      <c r="AP29" s="575"/>
      <c r="AQ29" s="575"/>
      <c r="AR29" s="606"/>
      <c r="AS29" s="566"/>
      <c r="AT29" s="712"/>
      <c r="AU29" s="636"/>
    </row>
    <row r="30" spans="1:47" s="554" customFormat="1">
      <c r="A30" s="552"/>
      <c r="B30" s="554" t="s">
        <v>204</v>
      </c>
      <c r="E30" s="557"/>
      <c r="F30" s="565"/>
      <c r="G30" s="565"/>
      <c r="H30" s="565"/>
      <c r="I30" s="565"/>
      <c r="J30" s="566"/>
      <c r="K30" s="565"/>
      <c r="L30" s="565"/>
      <c r="M30" s="565"/>
      <c r="N30" s="565"/>
      <c r="O30" s="565"/>
      <c r="P30" s="565"/>
      <c r="Q30" s="565"/>
      <c r="R30" s="565"/>
      <c r="S30" s="566"/>
      <c r="T30" s="566"/>
      <c r="U30" s="565"/>
      <c r="V30" s="565"/>
      <c r="W30" s="575"/>
      <c r="X30" s="575"/>
      <c r="Y30" s="566"/>
      <c r="Z30" s="566"/>
      <c r="AA30" s="566"/>
      <c r="AB30" s="565"/>
      <c r="AC30" s="564"/>
      <c r="AD30" s="566"/>
      <c r="AE30" s="565"/>
      <c r="AF30" s="565"/>
      <c r="AG30" s="566"/>
      <c r="AH30" s="565"/>
      <c r="AI30" s="566"/>
      <c r="AJ30" s="565"/>
      <c r="AK30" s="566"/>
      <c r="AL30" s="566"/>
      <c r="AM30" s="575"/>
      <c r="AN30" s="575"/>
      <c r="AO30" s="575"/>
      <c r="AP30" s="575"/>
      <c r="AQ30" s="575"/>
      <c r="AR30" s="606">
        <f t="shared" ref="AR30:AR35" si="47">SUM(AC30:AQ30)</f>
        <v>0</v>
      </c>
      <c r="AS30" s="566"/>
      <c r="AT30" s="712"/>
      <c r="AU30" s="636"/>
    </row>
    <row r="31" spans="1:47" s="554" customFormat="1">
      <c r="A31" s="552">
        <v>13</v>
      </c>
      <c r="C31" s="554" t="s">
        <v>200</v>
      </c>
      <c r="E31" s="561">
        <f>'ROO INPUT'!F31</f>
        <v>21420</v>
      </c>
      <c r="F31" s="565">
        <v>0</v>
      </c>
      <c r="G31" s="565">
        <v>0</v>
      </c>
      <c r="H31" s="565">
        <v>0</v>
      </c>
      <c r="I31" s="565">
        <v>0</v>
      </c>
      <c r="J31" s="566">
        <v>0</v>
      </c>
      <c r="K31" s="565">
        <v>0</v>
      </c>
      <c r="L31" s="565">
        <v>0</v>
      </c>
      <c r="M31" s="565">
        <v>0</v>
      </c>
      <c r="N31" s="565">
        <v>0</v>
      </c>
      <c r="O31" s="565">
        <v>0</v>
      </c>
      <c r="P31" s="565">
        <v>0</v>
      </c>
      <c r="Q31" s="565">
        <v>0</v>
      </c>
      <c r="R31" s="565">
        <v>0</v>
      </c>
      <c r="S31" s="566">
        <v>0</v>
      </c>
      <c r="T31" s="566">
        <v>-2</v>
      </c>
      <c r="U31" s="565">
        <v>0</v>
      </c>
      <c r="V31" s="565">
        <v>0</v>
      </c>
      <c r="W31" s="575"/>
      <c r="X31" s="575">
        <v>0</v>
      </c>
      <c r="Y31" s="566">
        <v>0</v>
      </c>
      <c r="Z31" s="566">
        <v>0</v>
      </c>
      <c r="AA31" s="566">
        <v>0</v>
      </c>
      <c r="AB31" s="565">
        <v>0</v>
      </c>
      <c r="AC31" s="564">
        <f>SUM(E31:AB31)</f>
        <v>21418</v>
      </c>
      <c r="AD31" s="566">
        <v>0</v>
      </c>
      <c r="AE31" s="842">
        <f>+SUM('[4]Washington Electric PF'!$I$91:$J$91)/1000</f>
        <v>327.46899999999999</v>
      </c>
      <c r="AF31" s="565"/>
      <c r="AG31" s="566">
        <v>-77</v>
      </c>
      <c r="AH31" s="565"/>
      <c r="AI31" s="566">
        <v>0</v>
      </c>
      <c r="AJ31" s="565">
        <v>0</v>
      </c>
      <c r="AK31" s="566">
        <v>0</v>
      </c>
      <c r="AL31" s="566">
        <v>0</v>
      </c>
      <c r="AM31" s="575">
        <v>0</v>
      </c>
      <c r="AN31" s="575">
        <v>0</v>
      </c>
      <c r="AO31" s="575">
        <v>0</v>
      </c>
      <c r="AP31" s="575">
        <v>0</v>
      </c>
      <c r="AQ31" s="575">
        <v>532</v>
      </c>
      <c r="AR31" s="606">
        <f t="shared" si="47"/>
        <v>22200.469000000001</v>
      </c>
      <c r="AS31" s="566">
        <v>0</v>
      </c>
      <c r="AT31" s="712">
        <f t="shared" ref="AT31:AT35" si="48">AR31+AS31</f>
        <v>22200.469000000001</v>
      </c>
      <c r="AU31" s="636"/>
    </row>
    <row r="32" spans="1:47" s="554" customFormat="1">
      <c r="A32" s="552">
        <v>14</v>
      </c>
      <c r="C32" s="554" t="s">
        <v>589</v>
      </c>
      <c r="E32" s="561">
        <f>'ROO INPUT'!F32</f>
        <v>27913</v>
      </c>
      <c r="F32" s="565">
        <v>0</v>
      </c>
      <c r="G32" s="565">
        <v>0</v>
      </c>
      <c r="H32" s="565">
        <v>0</v>
      </c>
      <c r="I32" s="565">
        <v>0</v>
      </c>
      <c r="J32" s="566">
        <v>0</v>
      </c>
      <c r="K32" s="565">
        <v>0</v>
      </c>
      <c r="L32" s="565">
        <v>0</v>
      </c>
      <c r="M32" s="565">
        <v>0</v>
      </c>
      <c r="N32" s="565">
        <v>0</v>
      </c>
      <c r="O32" s="565">
        <v>0</v>
      </c>
      <c r="P32" s="565">
        <v>0</v>
      </c>
      <c r="Q32" s="565">
        <v>-94</v>
      </c>
      <c r="R32" s="565">
        <v>0</v>
      </c>
      <c r="S32" s="566">
        <v>0</v>
      </c>
      <c r="T32" s="566">
        <v>0</v>
      </c>
      <c r="U32" s="565">
        <v>0</v>
      </c>
      <c r="V32" s="565">
        <v>0</v>
      </c>
      <c r="W32" s="575">
        <v>0</v>
      </c>
      <c r="X32" s="575">
        <v>0</v>
      </c>
      <c r="Y32" s="566">
        <v>0</v>
      </c>
      <c r="Z32" s="566">
        <v>0</v>
      </c>
      <c r="AA32" s="566">
        <v>0</v>
      </c>
      <c r="AB32" s="565">
        <v>0</v>
      </c>
      <c r="AC32" s="564">
        <f>SUM(E32:AB32)</f>
        <v>27819</v>
      </c>
      <c r="AD32" s="566">
        <v>0</v>
      </c>
      <c r="AE32" s="565">
        <v>0</v>
      </c>
      <c r="AF32" s="565">
        <v>0</v>
      </c>
      <c r="AG32" s="566">
        <v>0</v>
      </c>
      <c r="AH32" s="565">
        <v>0</v>
      </c>
      <c r="AI32" s="566">
        <v>0</v>
      </c>
      <c r="AJ32" s="565">
        <v>0</v>
      </c>
      <c r="AK32" s="566">
        <v>0</v>
      </c>
      <c r="AL32" s="566">
        <v>0</v>
      </c>
      <c r="AM32" s="575"/>
      <c r="AN32" s="575">
        <v>-875</v>
      </c>
      <c r="AO32" s="575">
        <v>0</v>
      </c>
      <c r="AP32" s="575">
        <v>0</v>
      </c>
      <c r="AQ32" s="575">
        <v>0</v>
      </c>
      <c r="AR32" s="606">
        <f t="shared" si="47"/>
        <v>26944</v>
      </c>
      <c r="AS32" s="566">
        <v>0</v>
      </c>
      <c r="AT32" s="712">
        <f t="shared" si="48"/>
        <v>26944</v>
      </c>
      <c r="AU32" s="636"/>
    </row>
    <row r="33" spans="1:47" s="554" customFormat="1">
      <c r="A33" s="552">
        <v>15</v>
      </c>
      <c r="C33" s="554" t="s">
        <v>586</v>
      </c>
      <c r="E33" s="561">
        <v>0</v>
      </c>
      <c r="F33" s="565">
        <v>0</v>
      </c>
      <c r="G33" s="565">
        <v>0</v>
      </c>
      <c r="H33" s="565">
        <v>0</v>
      </c>
      <c r="I33" s="565">
        <v>0</v>
      </c>
      <c r="J33" s="566">
        <v>0</v>
      </c>
      <c r="K33" s="565">
        <v>0</v>
      </c>
      <c r="L33" s="565">
        <v>0</v>
      </c>
      <c r="M33" s="565">
        <v>0</v>
      </c>
      <c r="N33" s="565">
        <v>0</v>
      </c>
      <c r="O33" s="565">
        <v>0</v>
      </c>
      <c r="P33" s="565">
        <v>0</v>
      </c>
      <c r="Q33" s="565">
        <v>0</v>
      </c>
      <c r="R33" s="565">
        <v>0</v>
      </c>
      <c r="S33" s="566">
        <v>0</v>
      </c>
      <c r="T33" s="566">
        <v>0</v>
      </c>
      <c r="U33" s="565">
        <v>0</v>
      </c>
      <c r="V33" s="565">
        <v>0</v>
      </c>
      <c r="W33" s="575">
        <v>0</v>
      </c>
      <c r="X33" s="575">
        <v>0</v>
      </c>
      <c r="Y33" s="566">
        <v>0</v>
      </c>
      <c r="Z33" s="566">
        <v>0</v>
      </c>
      <c r="AA33" s="566">
        <v>0</v>
      </c>
      <c r="AB33" s="565">
        <v>0</v>
      </c>
      <c r="AC33" s="564">
        <f>SUM(E33:AB33)</f>
        <v>0</v>
      </c>
      <c r="AD33" s="566">
        <v>0</v>
      </c>
      <c r="AE33" s="565">
        <v>0</v>
      </c>
      <c r="AF33" s="565">
        <v>0</v>
      </c>
      <c r="AG33" s="566">
        <v>0</v>
      </c>
      <c r="AH33" s="565">
        <v>0</v>
      </c>
      <c r="AI33" s="566">
        <v>0</v>
      </c>
      <c r="AJ33" s="565">
        <v>0</v>
      </c>
      <c r="AK33" s="566">
        <v>0</v>
      </c>
      <c r="AL33" s="566">
        <v>0</v>
      </c>
      <c r="AM33" s="575">
        <v>0</v>
      </c>
      <c r="AN33" s="575">
        <v>0</v>
      </c>
      <c r="AO33" s="575">
        <v>0</v>
      </c>
      <c r="AP33" s="575">
        <v>0</v>
      </c>
      <c r="AQ33" s="575">
        <v>0</v>
      </c>
      <c r="AR33" s="606">
        <f t="shared" si="47"/>
        <v>0</v>
      </c>
      <c r="AS33" s="566">
        <v>0</v>
      </c>
      <c r="AT33" s="712">
        <f t="shared" si="48"/>
        <v>0</v>
      </c>
      <c r="AU33" s="636"/>
    </row>
    <row r="34" spans="1:47" s="554" customFormat="1">
      <c r="A34" s="552">
        <v>16</v>
      </c>
      <c r="C34" s="554" t="s">
        <v>202</v>
      </c>
      <c r="E34" s="587">
        <f>'ROO INPUT'!F34</f>
        <v>45258</v>
      </c>
      <c r="F34" s="577">
        <v>0</v>
      </c>
      <c r="G34" s="577">
        <v>0</v>
      </c>
      <c r="H34" s="577">
        <v>0</v>
      </c>
      <c r="I34" s="577">
        <v>-17674</v>
      </c>
      <c r="J34" s="576">
        <v>-336</v>
      </c>
      <c r="K34" s="577">
        <v>0</v>
      </c>
      <c r="L34" s="577">
        <v>0</v>
      </c>
      <c r="M34" s="577">
        <v>0</v>
      </c>
      <c r="N34" s="577">
        <v>0</v>
      </c>
      <c r="O34" s="577">
        <v>0</v>
      </c>
      <c r="P34" s="577">
        <v>-62</v>
      </c>
      <c r="Q34" s="577">
        <v>0</v>
      </c>
      <c r="R34" s="577">
        <v>284</v>
      </c>
      <c r="S34" s="577">
        <f>ROUND(S$14*'Exh. No. BGM-3 3'!$E$16,0)</f>
        <v>-700</v>
      </c>
      <c r="T34" s="577">
        <v>0</v>
      </c>
      <c r="U34" s="577">
        <f>ROUND(U$14*'Exh. No. BGM-3 3'!$E$16,0)</f>
        <v>181</v>
      </c>
      <c r="V34" s="577">
        <v>0</v>
      </c>
      <c r="W34" s="576">
        <v>0</v>
      </c>
      <c r="X34" s="576">
        <v>0</v>
      </c>
      <c r="Y34" s="576">
        <v>0</v>
      </c>
      <c r="Z34" s="576">
        <v>0</v>
      </c>
      <c r="AA34" s="576">
        <v>0</v>
      </c>
      <c r="AB34" s="577">
        <v>0</v>
      </c>
      <c r="AC34" s="286">
        <f>SUM(E34:AB34)</f>
        <v>26951</v>
      </c>
      <c r="AD34" s="576">
        <v>0</v>
      </c>
      <c r="AE34" s="577">
        <v>0</v>
      </c>
      <c r="AF34" s="577">
        <v>0</v>
      </c>
      <c r="AG34" s="576">
        <v>0</v>
      </c>
      <c r="AH34" s="577">
        <v>0</v>
      </c>
      <c r="AI34" s="576">
        <v>880</v>
      </c>
      <c r="AJ34" s="577">
        <v>0</v>
      </c>
      <c r="AK34" s="577">
        <f>ROUND(AK$14*'Exh. No. BGM-3 3'!$E$16,0)</f>
        <v>-47</v>
      </c>
      <c r="AL34" s="576">
        <v>0</v>
      </c>
      <c r="AM34" s="576">
        <v>0</v>
      </c>
      <c r="AN34" s="576">
        <v>0</v>
      </c>
      <c r="AO34" s="576">
        <v>0</v>
      </c>
      <c r="AP34" s="576">
        <v>0</v>
      </c>
      <c r="AQ34" s="576">
        <v>0</v>
      </c>
      <c r="AR34" s="608">
        <f t="shared" si="47"/>
        <v>27784</v>
      </c>
      <c r="AS34" s="576">
        <v>0</v>
      </c>
      <c r="AT34" s="713">
        <f t="shared" si="48"/>
        <v>27784</v>
      </c>
      <c r="AU34" s="636"/>
    </row>
    <row r="35" spans="1:47" s="554" customFormat="1">
      <c r="A35" s="552">
        <v>17</v>
      </c>
      <c r="B35" s="554" t="s">
        <v>205</v>
      </c>
      <c r="E35" s="557">
        <f t="shared" ref="E35:AF35" si="49">SUM(E31:E34)</f>
        <v>94591</v>
      </c>
      <c r="F35" s="565">
        <f t="shared" si="49"/>
        <v>0</v>
      </c>
      <c r="G35" s="565">
        <f t="shared" si="49"/>
        <v>0</v>
      </c>
      <c r="H35" s="565">
        <f t="shared" si="49"/>
        <v>0</v>
      </c>
      <c r="I35" s="565">
        <f t="shared" si="49"/>
        <v>-17674</v>
      </c>
      <c r="J35" s="566">
        <f t="shared" ref="J35" si="50">SUM(J31:J34)</f>
        <v>-336</v>
      </c>
      <c r="K35" s="565">
        <f t="shared" si="49"/>
        <v>0</v>
      </c>
      <c r="L35" s="565">
        <f t="shared" si="49"/>
        <v>0</v>
      </c>
      <c r="M35" s="565">
        <f t="shared" si="49"/>
        <v>0</v>
      </c>
      <c r="N35" s="565">
        <f t="shared" si="49"/>
        <v>0</v>
      </c>
      <c r="O35" s="565">
        <f t="shared" si="49"/>
        <v>0</v>
      </c>
      <c r="P35" s="565">
        <f t="shared" si="49"/>
        <v>-62</v>
      </c>
      <c r="Q35" s="565">
        <f t="shared" si="49"/>
        <v>-94</v>
      </c>
      <c r="R35" s="565">
        <f t="shared" si="49"/>
        <v>284</v>
      </c>
      <c r="S35" s="566">
        <f t="shared" ref="S35" si="51">SUM(S31:S34)</f>
        <v>-700</v>
      </c>
      <c r="T35" s="566">
        <f>SUM(T31:T34)</f>
        <v>-2</v>
      </c>
      <c r="U35" s="565">
        <f>SUM(U31:U34)</f>
        <v>181</v>
      </c>
      <c r="V35" s="565">
        <f>SUM(V31:V34)</f>
        <v>0</v>
      </c>
      <c r="W35" s="575">
        <f t="shared" ref="W35" si="52">SUM(W31:W34)</f>
        <v>0</v>
      </c>
      <c r="X35" s="575">
        <f t="shared" ref="X35" si="53">SUM(X31:X34)</f>
        <v>0</v>
      </c>
      <c r="Y35" s="566">
        <f>SUM(Y31:Y34)</f>
        <v>0</v>
      </c>
      <c r="Z35" s="566">
        <f t="shared" ref="Z35" si="54">SUM(Z31:Z34)</f>
        <v>0</v>
      </c>
      <c r="AA35" s="566">
        <f>SUM(AA31:AA34)</f>
        <v>0</v>
      </c>
      <c r="AB35" s="565">
        <f>SUM(AB31:AB34)</f>
        <v>0</v>
      </c>
      <c r="AC35" s="564">
        <f t="shared" si="49"/>
        <v>76188</v>
      </c>
      <c r="AD35" s="566">
        <f>SUM(AD31:AD34)</f>
        <v>0</v>
      </c>
      <c r="AE35" s="565">
        <f>SUM(AE31:AE34)</f>
        <v>327.46899999999999</v>
      </c>
      <c r="AF35" s="565">
        <f t="shared" si="49"/>
        <v>0</v>
      </c>
      <c r="AG35" s="566">
        <f t="shared" ref="AG35" si="55">SUM(AG31:AG34)</f>
        <v>-77</v>
      </c>
      <c r="AH35" s="565">
        <f>SUM(AH31:AH34)</f>
        <v>0</v>
      </c>
      <c r="AI35" s="566">
        <f>SUM(AI31:AI34)</f>
        <v>880</v>
      </c>
      <c r="AJ35" s="565">
        <f t="shared" ref="AJ35" si="56">SUM(AJ31:AJ34)</f>
        <v>0</v>
      </c>
      <c r="AK35" s="566">
        <f t="shared" ref="AK35:AO35" si="57">SUM(AK31:AK34)</f>
        <v>-47</v>
      </c>
      <c r="AL35" s="566">
        <f t="shared" si="57"/>
        <v>0</v>
      </c>
      <c r="AM35" s="575">
        <f t="shared" si="57"/>
        <v>0</v>
      </c>
      <c r="AN35" s="575">
        <f t="shared" si="57"/>
        <v>-875</v>
      </c>
      <c r="AO35" s="575">
        <f t="shared" si="57"/>
        <v>0</v>
      </c>
      <c r="AP35" s="575">
        <f>SUM(AP31:AP34)</f>
        <v>0</v>
      </c>
      <c r="AQ35" s="575">
        <f t="shared" ref="AQ35" si="58">SUM(AQ31:AQ34)</f>
        <v>532</v>
      </c>
      <c r="AR35" s="606">
        <f t="shared" si="47"/>
        <v>76928.468999999997</v>
      </c>
      <c r="AS35" s="566">
        <f>SUM(AS31:AS34)</f>
        <v>0</v>
      </c>
      <c r="AT35" s="712">
        <f t="shared" si="48"/>
        <v>76928.468999999997</v>
      </c>
      <c r="AU35" s="636"/>
    </row>
    <row r="36" spans="1:47" s="554" customFormat="1">
      <c r="E36" s="557"/>
      <c r="F36" s="565"/>
      <c r="G36" s="565"/>
      <c r="H36" s="565"/>
      <c r="I36" s="565"/>
      <c r="J36" s="566"/>
      <c r="K36" s="565"/>
      <c r="L36" s="565"/>
      <c r="M36" s="565"/>
      <c r="N36" s="565"/>
      <c r="O36" s="565"/>
      <c r="P36" s="565"/>
      <c r="Q36" s="565"/>
      <c r="R36" s="565"/>
      <c r="S36" s="566"/>
      <c r="T36" s="566"/>
      <c r="U36" s="565"/>
      <c r="V36" s="565"/>
      <c r="W36" s="575"/>
      <c r="X36" s="575"/>
      <c r="Y36" s="566"/>
      <c r="Z36" s="566"/>
      <c r="AA36" s="566"/>
      <c r="AB36" s="565"/>
      <c r="AC36" s="564"/>
      <c r="AD36" s="566"/>
      <c r="AE36" s="565"/>
      <c r="AF36" s="565"/>
      <c r="AG36" s="566"/>
      <c r="AH36" s="565"/>
      <c r="AI36" s="566"/>
      <c r="AJ36" s="565"/>
      <c r="AK36" s="566"/>
      <c r="AL36" s="566"/>
      <c r="AM36" s="575"/>
      <c r="AN36" s="575"/>
      <c r="AO36" s="575"/>
      <c r="AP36" s="575"/>
      <c r="AQ36" s="575"/>
      <c r="AR36" s="606"/>
      <c r="AS36" s="566"/>
      <c r="AT36" s="712"/>
      <c r="AU36" s="636"/>
    </row>
    <row r="37" spans="1:47" s="554" customFormat="1">
      <c r="A37" s="552">
        <v>18</v>
      </c>
      <c r="B37" s="554" t="s">
        <v>206</v>
      </c>
      <c r="E37" s="561">
        <f>'ROO INPUT'!F37</f>
        <v>11733</v>
      </c>
      <c r="F37" s="565">
        <v>0</v>
      </c>
      <c r="G37" s="565">
        <v>8</v>
      </c>
      <c r="H37" s="565">
        <v>0</v>
      </c>
      <c r="I37" s="565">
        <v>0</v>
      </c>
      <c r="J37" s="566">
        <v>0</v>
      </c>
      <c r="K37" s="565">
        <v>1321</v>
      </c>
      <c r="L37" s="565">
        <v>0</v>
      </c>
      <c r="M37" s="565">
        <v>0</v>
      </c>
      <c r="N37" s="565">
        <v>0</v>
      </c>
      <c r="O37" s="565">
        <v>0</v>
      </c>
      <c r="P37" s="565">
        <v>0</v>
      </c>
      <c r="Q37" s="565">
        <v>0</v>
      </c>
      <c r="R37" s="565">
        <f>ROUND(R$14*'Exh. No. BGM-3 3'!$E$12,0)</f>
        <v>49</v>
      </c>
      <c r="S37" s="565">
        <f>ROUND(S$14*'Exh. No. BGM-3 3'!$E$12,0)</f>
        <v>-120</v>
      </c>
      <c r="T37" s="565">
        <v>0</v>
      </c>
      <c r="U37" s="565">
        <f>ROUND(U$14*'Exh. No. BGM-3 3'!$E$12,0)-1</f>
        <v>30</v>
      </c>
      <c r="V37" s="565">
        <v>0</v>
      </c>
      <c r="W37" s="575">
        <v>0</v>
      </c>
      <c r="X37" s="575">
        <v>0</v>
      </c>
      <c r="Y37" s="566">
        <v>0</v>
      </c>
      <c r="Z37" s="566">
        <v>0</v>
      </c>
      <c r="AA37" s="566">
        <v>0</v>
      </c>
      <c r="AB37" s="565"/>
      <c r="AC37" s="564">
        <f>SUM(E37:AB37)</f>
        <v>13021</v>
      </c>
      <c r="AD37" s="566">
        <v>0</v>
      </c>
      <c r="AE37" s="842">
        <f>+SUM('[4]Washington Electric PF'!$I$98:$J$98)/1000</f>
        <v>170.88800000000001</v>
      </c>
      <c r="AF37" s="565"/>
      <c r="AG37" s="566">
        <v>-41</v>
      </c>
      <c r="AH37" s="565">
        <v>0</v>
      </c>
      <c r="AI37" s="566">
        <v>0</v>
      </c>
      <c r="AJ37" s="565">
        <v>0</v>
      </c>
      <c r="AK37" s="565">
        <f>ROUND(AK$14*'Exh. No. BGM-3 3'!$E$12,0)</f>
        <v>-8</v>
      </c>
      <c r="AL37" s="566">
        <v>0</v>
      </c>
      <c r="AM37" s="575">
        <v>0</v>
      </c>
      <c r="AN37" s="575">
        <v>0</v>
      </c>
      <c r="AO37" s="575">
        <v>0</v>
      </c>
      <c r="AP37" s="575">
        <v>0</v>
      </c>
      <c r="AQ37" s="575">
        <v>0</v>
      </c>
      <c r="AR37" s="606">
        <f>SUM(AC37:AQ37)</f>
        <v>13142.888000000001</v>
      </c>
      <c r="AS37" s="566">
        <v>0</v>
      </c>
      <c r="AT37" s="712">
        <f t="shared" ref="AT37:AT39" si="59">AR37+AS37</f>
        <v>13142.888000000001</v>
      </c>
      <c r="AU37" s="636"/>
    </row>
    <row r="38" spans="1:47" s="554" customFormat="1">
      <c r="A38" s="552">
        <v>19</v>
      </c>
      <c r="B38" s="554" t="s">
        <v>207</v>
      </c>
      <c r="E38" s="561">
        <f>'ROO INPUT'!F38</f>
        <v>18081</v>
      </c>
      <c r="F38" s="565">
        <v>0</v>
      </c>
      <c r="G38" s="565">
        <v>0</v>
      </c>
      <c r="H38" s="565">
        <v>0</v>
      </c>
      <c r="I38" s="565">
        <v>0</v>
      </c>
      <c r="J38" s="566">
        <v>0</v>
      </c>
      <c r="K38" s="565">
        <v>0</v>
      </c>
      <c r="L38" s="565">
        <v>0</v>
      </c>
      <c r="M38" s="565">
        <v>0</v>
      </c>
      <c r="N38" s="565">
        <v>0</v>
      </c>
      <c r="O38" s="565">
        <v>0</v>
      </c>
      <c r="P38" s="565">
        <v>0</v>
      </c>
      <c r="Q38" s="565">
        <v>0</v>
      </c>
      <c r="R38" s="565">
        <v>0</v>
      </c>
      <c r="S38" s="566">
        <v>-16675</v>
      </c>
      <c r="T38" s="566">
        <v>0</v>
      </c>
      <c r="U38" s="565">
        <v>0</v>
      </c>
      <c r="V38" s="565">
        <v>0</v>
      </c>
      <c r="W38" s="575">
        <v>0</v>
      </c>
      <c r="X38" s="575">
        <v>0</v>
      </c>
      <c r="Y38" s="566">
        <v>0</v>
      </c>
      <c r="Z38" s="566">
        <v>0</v>
      </c>
      <c r="AA38" s="566">
        <v>0</v>
      </c>
      <c r="AB38" s="565">
        <v>0</v>
      </c>
      <c r="AC38" s="564">
        <f>SUM(E38:AB38)</f>
        <v>1406</v>
      </c>
      <c r="AD38" s="566">
        <v>0</v>
      </c>
      <c r="AE38" s="842">
        <f>+SUM('[4]Washington Electric PF'!$I$104:$J$104)/1000</f>
        <v>14.016999999999999</v>
      </c>
      <c r="AF38" s="565"/>
      <c r="AG38" s="566">
        <v>-3</v>
      </c>
      <c r="AH38" s="565">
        <v>0</v>
      </c>
      <c r="AI38" s="566">
        <v>0</v>
      </c>
      <c r="AJ38" s="565">
        <v>0</v>
      </c>
      <c r="AK38" s="566">
        <v>0</v>
      </c>
      <c r="AL38" s="566">
        <v>0</v>
      </c>
      <c r="AM38" s="575">
        <v>0</v>
      </c>
      <c r="AN38" s="575">
        <v>0</v>
      </c>
      <c r="AO38" s="575">
        <v>0</v>
      </c>
      <c r="AP38" s="575">
        <v>0</v>
      </c>
      <c r="AQ38" s="575">
        <v>0</v>
      </c>
      <c r="AR38" s="606">
        <f>SUM(AC38:AQ38)</f>
        <v>1417.0170000000001</v>
      </c>
      <c r="AS38" s="566">
        <v>0</v>
      </c>
      <c r="AT38" s="712">
        <f t="shared" si="59"/>
        <v>1417.0170000000001</v>
      </c>
      <c r="AU38" s="636"/>
    </row>
    <row r="39" spans="1:47" s="554" customFormat="1">
      <c r="A39" s="552">
        <v>20</v>
      </c>
      <c r="B39" s="554" t="s">
        <v>208</v>
      </c>
      <c r="E39" s="561">
        <f>'ROO INPUT'!F39</f>
        <v>0</v>
      </c>
      <c r="F39" s="565">
        <v>0</v>
      </c>
      <c r="G39" s="565">
        <v>0</v>
      </c>
      <c r="H39" s="565">
        <v>0</v>
      </c>
      <c r="I39" s="565">
        <v>0</v>
      </c>
      <c r="J39" s="566">
        <v>0</v>
      </c>
      <c r="K39" s="565">
        <v>0</v>
      </c>
      <c r="L39" s="565">
        <v>0</v>
      </c>
      <c r="M39" s="565">
        <v>0</v>
      </c>
      <c r="N39" s="565">
        <v>0</v>
      </c>
      <c r="O39" s="565">
        <v>0</v>
      </c>
      <c r="P39" s="565">
        <v>0</v>
      </c>
      <c r="Q39" s="565">
        <v>0</v>
      </c>
      <c r="R39" s="565">
        <v>0</v>
      </c>
      <c r="S39" s="566">
        <v>0</v>
      </c>
      <c r="T39" s="566">
        <v>0</v>
      </c>
      <c r="U39" s="565">
        <v>0</v>
      </c>
      <c r="V39" s="565">
        <v>0</v>
      </c>
      <c r="W39" s="575">
        <v>0</v>
      </c>
      <c r="X39" s="575">
        <v>0</v>
      </c>
      <c r="Y39" s="566">
        <v>0</v>
      </c>
      <c r="Z39" s="566">
        <v>0</v>
      </c>
      <c r="AA39" s="566">
        <v>0</v>
      </c>
      <c r="AB39" s="565">
        <v>0</v>
      </c>
      <c r="AC39" s="564">
        <f>SUM(E39:AB39)</f>
        <v>0</v>
      </c>
      <c r="AD39" s="566">
        <v>0</v>
      </c>
      <c r="AE39" s="565"/>
      <c r="AF39" s="565"/>
      <c r="AG39" s="566"/>
      <c r="AH39" s="565">
        <v>0</v>
      </c>
      <c r="AI39" s="566">
        <v>0</v>
      </c>
      <c r="AJ39" s="565">
        <v>0</v>
      </c>
      <c r="AK39" s="566">
        <v>0</v>
      </c>
      <c r="AL39" s="566">
        <v>0</v>
      </c>
      <c r="AM39" s="575">
        <v>0</v>
      </c>
      <c r="AN39" s="575">
        <v>0</v>
      </c>
      <c r="AO39" s="575">
        <v>0</v>
      </c>
      <c r="AP39" s="575">
        <v>0</v>
      </c>
      <c r="AQ39" s="575">
        <v>0</v>
      </c>
      <c r="AR39" s="606">
        <f>SUM(AC39:AQ39)</f>
        <v>0</v>
      </c>
      <c r="AS39" s="566">
        <v>0</v>
      </c>
      <c r="AT39" s="712">
        <f t="shared" si="59"/>
        <v>0</v>
      </c>
      <c r="AU39" s="636"/>
    </row>
    <row r="40" spans="1:47" s="554" customFormat="1">
      <c r="A40" s="552"/>
      <c r="E40" s="557"/>
      <c r="F40" s="565"/>
      <c r="G40" s="565"/>
      <c r="H40" s="565"/>
      <c r="I40" s="565"/>
      <c r="J40" s="566"/>
      <c r="K40" s="565"/>
      <c r="L40" s="565"/>
      <c r="M40" s="565"/>
      <c r="N40" s="565"/>
      <c r="O40" s="565"/>
      <c r="P40" s="565"/>
      <c r="Q40" s="565"/>
      <c r="R40" s="565"/>
      <c r="S40" s="566"/>
      <c r="T40" s="566"/>
      <c r="U40" s="565"/>
      <c r="V40" s="565"/>
      <c r="W40" s="575"/>
      <c r="X40" s="575"/>
      <c r="Y40" s="566"/>
      <c r="Z40" s="566"/>
      <c r="AA40" s="566"/>
      <c r="AB40" s="565"/>
      <c r="AC40" s="564"/>
      <c r="AD40" s="566"/>
      <c r="AE40" s="565"/>
      <c r="AF40" s="565"/>
      <c r="AG40" s="566"/>
      <c r="AH40" s="565"/>
      <c r="AI40" s="566"/>
      <c r="AJ40" s="565"/>
      <c r="AK40" s="566"/>
      <c r="AL40" s="566"/>
      <c r="AM40" s="575"/>
      <c r="AN40" s="575"/>
      <c r="AO40" s="575"/>
      <c r="AP40" s="575"/>
      <c r="AQ40" s="575"/>
      <c r="AR40" s="606"/>
      <c r="AS40" s="566"/>
      <c r="AT40" s="712"/>
      <c r="AU40" s="636"/>
    </row>
    <row r="41" spans="1:47" s="554" customFormat="1">
      <c r="B41" s="554" t="s">
        <v>209</v>
      </c>
      <c r="E41" s="557"/>
      <c r="F41" s="565"/>
      <c r="G41" s="565"/>
      <c r="H41" s="565"/>
      <c r="I41" s="565"/>
      <c r="J41" s="566"/>
      <c r="K41" s="565"/>
      <c r="L41" s="565"/>
      <c r="M41" s="565"/>
      <c r="N41" s="565"/>
      <c r="O41" s="565"/>
      <c r="P41" s="565"/>
      <c r="Q41" s="565"/>
      <c r="R41" s="565"/>
      <c r="S41" s="566"/>
      <c r="T41" s="566"/>
      <c r="U41" s="565"/>
      <c r="V41" s="565"/>
      <c r="W41" s="575"/>
      <c r="X41" s="575"/>
      <c r="Y41" s="566"/>
      <c r="Z41" s="566"/>
      <c r="AA41" s="566"/>
      <c r="AB41" s="565"/>
      <c r="AC41" s="564"/>
      <c r="AD41" s="566"/>
      <c r="AE41" s="565"/>
      <c r="AF41" s="565"/>
      <c r="AG41" s="566"/>
      <c r="AH41" s="565"/>
      <c r="AI41" s="566"/>
      <c r="AJ41" s="565"/>
      <c r="AK41" s="566"/>
      <c r="AL41" s="566"/>
      <c r="AM41" s="575"/>
      <c r="AN41" s="575"/>
      <c r="AO41" s="575"/>
      <c r="AP41" s="575"/>
      <c r="AQ41" s="575"/>
      <c r="AR41" s="606"/>
      <c r="AS41" s="566"/>
      <c r="AT41" s="712"/>
      <c r="AU41" s="636"/>
    </row>
    <row r="42" spans="1:47" s="554" customFormat="1">
      <c r="A42" s="552">
        <v>21</v>
      </c>
      <c r="C42" s="554" t="s">
        <v>200</v>
      </c>
      <c r="E42" s="561">
        <f>'ROO INPUT'!F42</f>
        <v>50568</v>
      </c>
      <c r="F42" s="565">
        <v>0</v>
      </c>
      <c r="G42" s="565">
        <v>0</v>
      </c>
      <c r="H42" s="565">
        <v>0</v>
      </c>
      <c r="I42" s="565">
        <v>0</v>
      </c>
      <c r="J42" s="565">
        <v>0</v>
      </c>
      <c r="K42" s="565">
        <v>0</v>
      </c>
      <c r="L42" s="565">
        <v>7</v>
      </c>
      <c r="M42" s="565">
        <v>151</v>
      </c>
      <c r="N42" s="565">
        <v>0</v>
      </c>
      <c r="O42" s="565">
        <v>-31</v>
      </c>
      <c r="P42" s="565">
        <v>0</v>
      </c>
      <c r="Q42" s="565">
        <v>0</v>
      </c>
      <c r="R42" s="565">
        <f>ROUND(R$14*'Exh. No. BGM-3 3'!$E$14,0)</f>
        <v>15</v>
      </c>
      <c r="S42" s="565">
        <f>ROUND(S$14*'Exh. No. BGM-3 3'!$E$14,0)</f>
        <v>-36</v>
      </c>
      <c r="T42" s="565">
        <v>-1068</v>
      </c>
      <c r="U42" s="565">
        <f>ROUND(U$14*'Exh. No. BGM-3 3'!$E$14,0)</f>
        <v>9</v>
      </c>
      <c r="V42" s="565">
        <v>0</v>
      </c>
      <c r="W42" s="575">
        <v>-626</v>
      </c>
      <c r="X42" s="575">
        <v>0</v>
      </c>
      <c r="Y42" s="566">
        <v>0</v>
      </c>
      <c r="Z42" s="566">
        <v>0</v>
      </c>
      <c r="AA42" s="566">
        <v>0</v>
      </c>
      <c r="AB42" s="565">
        <v>0</v>
      </c>
      <c r="AC42" s="564">
        <f>SUM(E42:AB42)</f>
        <v>48989</v>
      </c>
      <c r="AD42" s="566">
        <v>0</v>
      </c>
      <c r="AE42" s="842">
        <f>+SUM('[4]Washington Electric PF'!$I$123:$J$123)/1000</f>
        <v>483.43</v>
      </c>
      <c r="AF42" s="565">
        <v>-33</v>
      </c>
      <c r="AG42" s="566">
        <v>-114</v>
      </c>
      <c r="AH42" s="565">
        <v>119</v>
      </c>
      <c r="AI42" s="566">
        <v>0</v>
      </c>
      <c r="AJ42" s="566">
        <v>694</v>
      </c>
      <c r="AK42" s="565">
        <f>ROUND(AK$14*'Exh. No. BGM-3 3'!$E$14,0)</f>
        <v>-2</v>
      </c>
      <c r="AL42" s="566">
        <v>0</v>
      </c>
      <c r="AM42" s="575">
        <v>0</v>
      </c>
      <c r="AN42" s="575">
        <v>-112</v>
      </c>
      <c r="AO42" s="575">
        <v>0</v>
      </c>
      <c r="AP42" s="575">
        <v>0</v>
      </c>
      <c r="AQ42" s="575">
        <v>0</v>
      </c>
      <c r="AR42" s="606">
        <f>SUM(AC42:AQ42)</f>
        <v>50024.43</v>
      </c>
      <c r="AS42" s="566">
        <v>0</v>
      </c>
      <c r="AT42" s="712">
        <f t="shared" ref="AT42:AT46" si="60">AR42+AS42</f>
        <v>50024.43</v>
      </c>
      <c r="AU42" s="636"/>
    </row>
    <row r="43" spans="1:47" s="554" customFormat="1">
      <c r="A43" s="552">
        <v>22</v>
      </c>
      <c r="C43" s="554" t="s">
        <v>589</v>
      </c>
      <c r="E43" s="561">
        <f>'ROO INPUT'!F43</f>
        <v>23877</v>
      </c>
      <c r="F43" s="565">
        <v>0</v>
      </c>
      <c r="G43" s="565">
        <v>0</v>
      </c>
      <c r="H43" s="565">
        <v>0</v>
      </c>
      <c r="I43" s="565">
        <v>0</v>
      </c>
      <c r="J43" s="565">
        <v>0</v>
      </c>
      <c r="K43" s="565">
        <v>0</v>
      </c>
      <c r="L43" s="565">
        <v>0</v>
      </c>
      <c r="M43" s="565">
        <v>0</v>
      </c>
      <c r="N43" s="565">
        <v>0</v>
      </c>
      <c r="O43" s="565">
        <v>0</v>
      </c>
      <c r="P43" s="565">
        <v>0</v>
      </c>
      <c r="Q43" s="565">
        <v>0</v>
      </c>
      <c r="R43" s="565">
        <v>0</v>
      </c>
      <c r="S43" s="566">
        <v>0</v>
      </c>
      <c r="T43" s="566">
        <v>0</v>
      </c>
      <c r="U43" s="565">
        <v>0</v>
      </c>
      <c r="V43" s="565">
        <v>0</v>
      </c>
      <c r="W43" s="575">
        <v>0</v>
      </c>
      <c r="X43" s="575">
        <v>0</v>
      </c>
      <c r="Y43" s="566">
        <v>0</v>
      </c>
      <c r="Z43" s="566">
        <v>0</v>
      </c>
      <c r="AA43" s="566">
        <v>0</v>
      </c>
      <c r="AB43" s="565">
        <v>0</v>
      </c>
      <c r="AC43" s="564">
        <f>SUM(E43:AB43)</f>
        <v>23877</v>
      </c>
      <c r="AD43" s="566">
        <v>0</v>
      </c>
      <c r="AE43" s="565">
        <v>0</v>
      </c>
      <c r="AF43" s="565">
        <v>0</v>
      </c>
      <c r="AG43" s="566">
        <v>0</v>
      </c>
      <c r="AH43" s="565">
        <v>0</v>
      </c>
      <c r="AI43" s="566">
        <v>0</v>
      </c>
      <c r="AJ43" s="565">
        <v>0</v>
      </c>
      <c r="AK43" s="566">
        <v>0</v>
      </c>
      <c r="AL43" s="566">
        <v>0</v>
      </c>
      <c r="AM43" s="575"/>
      <c r="AN43" s="575">
        <v>0</v>
      </c>
      <c r="AO43" s="575">
        <v>0</v>
      </c>
      <c r="AP43" s="575">
        <v>0</v>
      </c>
      <c r="AQ43" s="575">
        <v>0</v>
      </c>
      <c r="AR43" s="606">
        <f>SUM(AC43:AQ43)</f>
        <v>23877</v>
      </c>
      <c r="AS43" s="566">
        <v>0</v>
      </c>
      <c r="AT43" s="712">
        <f t="shared" si="60"/>
        <v>23877</v>
      </c>
      <c r="AU43" s="636"/>
    </row>
    <row r="44" spans="1:47" s="554" customFormat="1">
      <c r="A44" s="581">
        <v>23</v>
      </c>
      <c r="C44" s="554" t="s">
        <v>202</v>
      </c>
      <c r="E44" s="587">
        <f>'ROO INPUT'!F44</f>
        <v>0</v>
      </c>
      <c r="F44" s="577">
        <v>0</v>
      </c>
      <c r="G44" s="577">
        <v>0</v>
      </c>
      <c r="H44" s="577">
        <v>0</v>
      </c>
      <c r="I44" s="577">
        <v>0</v>
      </c>
      <c r="J44" s="577">
        <v>0</v>
      </c>
      <c r="K44" s="577">
        <v>0</v>
      </c>
      <c r="L44" s="577">
        <v>0</v>
      </c>
      <c r="M44" s="577">
        <v>0</v>
      </c>
      <c r="N44" s="577">
        <v>0</v>
      </c>
      <c r="O44" s="577">
        <v>0</v>
      </c>
      <c r="P44" s="577">
        <v>0</v>
      </c>
      <c r="Q44" s="577">
        <v>0</v>
      </c>
      <c r="R44" s="577">
        <v>0</v>
      </c>
      <c r="S44" s="576">
        <v>0</v>
      </c>
      <c r="T44" s="576">
        <v>0</v>
      </c>
      <c r="U44" s="577">
        <v>0</v>
      </c>
      <c r="V44" s="577">
        <v>0</v>
      </c>
      <c r="W44" s="576">
        <v>0</v>
      </c>
      <c r="X44" s="576">
        <v>0</v>
      </c>
      <c r="Y44" s="576">
        <v>0</v>
      </c>
      <c r="Z44" s="576">
        <v>0</v>
      </c>
      <c r="AA44" s="576">
        <v>0</v>
      </c>
      <c r="AB44" s="577">
        <v>0</v>
      </c>
      <c r="AC44" s="286">
        <f>SUM(E44:AB44)</f>
        <v>0</v>
      </c>
      <c r="AD44" s="576">
        <v>0</v>
      </c>
      <c r="AE44" s="577">
        <v>0</v>
      </c>
      <c r="AF44" s="577">
        <v>0</v>
      </c>
      <c r="AG44" s="577">
        <v>0</v>
      </c>
      <c r="AH44" s="577">
        <v>0</v>
      </c>
      <c r="AI44" s="577">
        <v>0</v>
      </c>
      <c r="AJ44" s="577">
        <v>0</v>
      </c>
      <c r="AK44" s="576">
        <v>0</v>
      </c>
      <c r="AL44" s="577">
        <v>0</v>
      </c>
      <c r="AM44" s="576">
        <v>0</v>
      </c>
      <c r="AN44" s="576">
        <v>0</v>
      </c>
      <c r="AO44" s="576">
        <v>0</v>
      </c>
      <c r="AP44" s="576">
        <v>0</v>
      </c>
      <c r="AQ44" s="576">
        <v>0</v>
      </c>
      <c r="AR44" s="608">
        <f>SUM(AC44:AQ44)</f>
        <v>0</v>
      </c>
      <c r="AS44" s="576">
        <v>0</v>
      </c>
      <c r="AT44" s="713">
        <f t="shared" si="60"/>
        <v>0</v>
      </c>
      <c r="AU44" s="636"/>
    </row>
    <row r="45" spans="1:47" s="554" customFormat="1">
      <c r="A45" s="552">
        <v>24</v>
      </c>
      <c r="B45" s="554" t="s">
        <v>210</v>
      </c>
      <c r="E45" s="587">
        <f t="shared" ref="E45:AG45" si="61">SUM(E42:E44)</f>
        <v>74445</v>
      </c>
      <c r="F45" s="577">
        <f t="shared" si="61"/>
        <v>0</v>
      </c>
      <c r="G45" s="577">
        <f t="shared" si="61"/>
        <v>0</v>
      </c>
      <c r="H45" s="577">
        <f t="shared" si="61"/>
        <v>0</v>
      </c>
      <c r="I45" s="577">
        <f t="shared" si="61"/>
        <v>0</v>
      </c>
      <c r="J45" s="577">
        <f t="shared" ref="J45" si="62">SUM(J42:J44)</f>
        <v>0</v>
      </c>
      <c r="K45" s="577">
        <f t="shared" si="61"/>
        <v>0</v>
      </c>
      <c r="L45" s="577">
        <f t="shared" si="61"/>
        <v>7</v>
      </c>
      <c r="M45" s="577">
        <f t="shared" si="61"/>
        <v>151</v>
      </c>
      <c r="N45" s="577">
        <f t="shared" si="61"/>
        <v>0</v>
      </c>
      <c r="O45" s="577">
        <f t="shared" si="61"/>
        <v>-31</v>
      </c>
      <c r="P45" s="577">
        <f t="shared" si="61"/>
        <v>0</v>
      </c>
      <c r="Q45" s="577">
        <f t="shared" si="61"/>
        <v>0</v>
      </c>
      <c r="R45" s="577">
        <f t="shared" si="61"/>
        <v>15</v>
      </c>
      <c r="S45" s="576">
        <f t="shared" ref="S45" si="63">SUM(S42:S44)</f>
        <v>-36</v>
      </c>
      <c r="T45" s="576">
        <f>SUM(T42:T44)</f>
        <v>-1068</v>
      </c>
      <c r="U45" s="577">
        <f>SUM(U42:U44)</f>
        <v>9</v>
      </c>
      <c r="V45" s="577">
        <f>SUM(V42:V44)</f>
        <v>0</v>
      </c>
      <c r="W45" s="576">
        <f t="shared" ref="W45" si="64">SUM(W42:W44)</f>
        <v>-626</v>
      </c>
      <c r="X45" s="576">
        <f t="shared" ref="X45" si="65">SUM(X42:X44)</f>
        <v>0</v>
      </c>
      <c r="Y45" s="576">
        <f>SUM(Y42:Y44)</f>
        <v>0</v>
      </c>
      <c r="Z45" s="576">
        <f t="shared" ref="Z45" si="66">SUM(Z42:Z44)</f>
        <v>0</v>
      </c>
      <c r="AA45" s="576">
        <f>SUM(AA42:AA44)</f>
        <v>0</v>
      </c>
      <c r="AB45" s="577">
        <f>SUM(AB42:AB44)</f>
        <v>0</v>
      </c>
      <c r="AC45" s="286">
        <f t="shared" si="61"/>
        <v>72866</v>
      </c>
      <c r="AD45" s="576">
        <f>SUM(AD42:AD44)</f>
        <v>0</v>
      </c>
      <c r="AE45" s="577">
        <f>SUM(AE42:AE44)</f>
        <v>483.43</v>
      </c>
      <c r="AF45" s="577">
        <f t="shared" si="61"/>
        <v>-33</v>
      </c>
      <c r="AG45" s="577">
        <f t="shared" si="61"/>
        <v>-114</v>
      </c>
      <c r="AH45" s="577">
        <f>SUM(AH42:AH44)</f>
        <v>119</v>
      </c>
      <c r="AI45" s="577">
        <f>SUM(AI42:AI44)</f>
        <v>0</v>
      </c>
      <c r="AJ45" s="577">
        <f t="shared" ref="AJ45" si="67">SUM(AJ42:AJ44)</f>
        <v>694</v>
      </c>
      <c r="AK45" s="576">
        <f t="shared" ref="AK45:AO45" si="68">SUM(AK42:AK44)</f>
        <v>-2</v>
      </c>
      <c r="AL45" s="577">
        <f t="shared" si="68"/>
        <v>0</v>
      </c>
      <c r="AM45" s="576">
        <f t="shared" si="68"/>
        <v>0</v>
      </c>
      <c r="AN45" s="576">
        <f t="shared" si="68"/>
        <v>-112</v>
      </c>
      <c r="AO45" s="576">
        <f t="shared" si="68"/>
        <v>0</v>
      </c>
      <c r="AP45" s="576">
        <f>SUM(AP42:AP44)</f>
        <v>0</v>
      </c>
      <c r="AQ45" s="576">
        <f t="shared" ref="AQ45" si="69">SUM(AQ42:AQ44)</f>
        <v>0</v>
      </c>
      <c r="AR45" s="608">
        <f>SUM(AC45:AQ45)</f>
        <v>73901.429999999993</v>
      </c>
      <c r="AS45" s="576">
        <f>SUM(AS42:AS44)</f>
        <v>0</v>
      </c>
      <c r="AT45" s="713">
        <f t="shared" si="60"/>
        <v>73901.429999999993</v>
      </c>
      <c r="AU45" s="636"/>
    </row>
    <row r="46" spans="1:47" s="554" customFormat="1" ht="18" customHeight="1">
      <c r="A46" s="552">
        <v>25</v>
      </c>
      <c r="B46" s="554" t="s">
        <v>211</v>
      </c>
      <c r="E46" s="587">
        <f t="shared" ref="E46:AG46" si="70">E45+E39+E38+E37+E35+E28</f>
        <v>526185</v>
      </c>
      <c r="F46" s="577">
        <f t="shared" si="70"/>
        <v>0</v>
      </c>
      <c r="G46" s="577">
        <f t="shared" si="70"/>
        <v>12</v>
      </c>
      <c r="H46" s="577">
        <f t="shared" si="70"/>
        <v>0</v>
      </c>
      <c r="I46" s="577">
        <f t="shared" si="70"/>
        <v>-17674</v>
      </c>
      <c r="J46" s="577">
        <f t="shared" ref="J46" si="71">J45+J39+J38+J37+J35+J28</f>
        <v>-250</v>
      </c>
      <c r="K46" s="577">
        <f t="shared" si="70"/>
        <v>1321</v>
      </c>
      <c r="L46" s="577">
        <f t="shared" si="70"/>
        <v>7</v>
      </c>
      <c r="M46" s="577">
        <f t="shared" si="70"/>
        <v>151</v>
      </c>
      <c r="N46" s="577">
        <f t="shared" si="70"/>
        <v>0</v>
      </c>
      <c r="O46" s="577">
        <f t="shared" si="70"/>
        <v>-31</v>
      </c>
      <c r="P46" s="577">
        <f t="shared" si="70"/>
        <v>-62</v>
      </c>
      <c r="Q46" s="577">
        <f t="shared" si="70"/>
        <v>-94</v>
      </c>
      <c r="R46" s="577">
        <f t="shared" si="70"/>
        <v>348</v>
      </c>
      <c r="S46" s="576">
        <f t="shared" ref="S46" si="72">S45+S39+S38+S37+S35+S28</f>
        <v>-17519</v>
      </c>
      <c r="T46" s="576">
        <f>T45+T39+T38+T37+T35+T28</f>
        <v>-1075</v>
      </c>
      <c r="U46" s="577">
        <f>U45+U39+U38+U37+U35+U28</f>
        <v>-2050</v>
      </c>
      <c r="V46" s="577">
        <f>V45+V39+V38+V37+V35+V28</f>
        <v>-4</v>
      </c>
      <c r="W46" s="576">
        <f t="shared" ref="W46" si="73">W45+W39+W38+W37+W35+W28</f>
        <v>-626</v>
      </c>
      <c r="X46" s="576">
        <f t="shared" ref="X46" si="74">X45+X39+X38+X37+X35+X28</f>
        <v>-1174</v>
      </c>
      <c r="Y46" s="576">
        <f>Y45+Y39+Y38+Y37+Y35+Y28</f>
        <v>0</v>
      </c>
      <c r="Z46" s="576">
        <f t="shared" ref="Z46" si="75">Z45+Z39+Z38+Z37+Z35+Z28</f>
        <v>-65881</v>
      </c>
      <c r="AA46" s="576">
        <f>AA45+AA39+AA38+AA37+AA35+AA28</f>
        <v>0</v>
      </c>
      <c r="AB46" s="577">
        <f>AB45+AB39+AB38+AB37+AB35+AB28</f>
        <v>0</v>
      </c>
      <c r="AC46" s="286">
        <f t="shared" si="70"/>
        <v>421584</v>
      </c>
      <c r="AD46" s="576">
        <f>AD45+AD39+AD38+AD37+AD35+AD28</f>
        <v>172</v>
      </c>
      <c r="AE46" s="577">
        <f>AE45+AE39+AE38+AE37+AE35+AE28</f>
        <v>1534.1440000000002</v>
      </c>
      <c r="AF46" s="577">
        <f t="shared" si="70"/>
        <v>-33</v>
      </c>
      <c r="AG46" s="577">
        <f t="shared" si="70"/>
        <v>-360</v>
      </c>
      <c r="AH46" s="577">
        <f>AH45+AH39+AH38+AH37+AH35+AH28</f>
        <v>119</v>
      </c>
      <c r="AI46" s="577">
        <f>AI45+AI39+AI38+AI37+AI35+AI28</f>
        <v>2458</v>
      </c>
      <c r="AJ46" s="577">
        <f t="shared" ref="AJ46" si="76">AJ45+AJ39+AJ38+AJ37+AJ35+AJ28</f>
        <v>694</v>
      </c>
      <c r="AK46" s="576">
        <f t="shared" ref="AK46:AO46" si="77">AK45+AK39+AK38+AK37+AK35+AK28</f>
        <v>-57</v>
      </c>
      <c r="AL46" s="577">
        <f t="shared" si="77"/>
        <v>-1641</v>
      </c>
      <c r="AM46" s="576">
        <f t="shared" si="77"/>
        <v>129</v>
      </c>
      <c r="AN46" s="576">
        <f t="shared" si="77"/>
        <v>-987</v>
      </c>
      <c r="AO46" s="576">
        <f t="shared" si="77"/>
        <v>0</v>
      </c>
      <c r="AP46" s="576">
        <f>AP45+AP39+AP38+AP37+AP35+AP28</f>
        <v>347</v>
      </c>
      <c r="AQ46" s="576">
        <f t="shared" ref="AQ46" si="78">AQ45+AQ39+AQ38+AQ37+AQ35+AQ28</f>
        <v>532</v>
      </c>
      <c r="AR46" s="608">
        <f>SUM(AC46:AQ46)</f>
        <v>424491.14399999997</v>
      </c>
      <c r="AS46" s="576">
        <f>AS45+AS39+AS38+AS37+AS35+AS28</f>
        <v>0</v>
      </c>
      <c r="AT46" s="713">
        <f t="shared" si="60"/>
        <v>424491.14399999997</v>
      </c>
      <c r="AU46" s="636"/>
    </row>
    <row r="47" spans="1:47" s="554" customFormat="1">
      <c r="E47" s="557"/>
      <c r="F47" s="565"/>
      <c r="G47" s="565"/>
      <c r="H47" s="565"/>
      <c r="I47" s="565"/>
      <c r="J47" s="565"/>
      <c r="K47" s="565"/>
      <c r="L47" s="565"/>
      <c r="M47" s="565"/>
      <c r="N47" s="565"/>
      <c r="O47" s="565"/>
      <c r="P47" s="565"/>
      <c r="Q47" s="565"/>
      <c r="R47" s="565"/>
      <c r="S47" s="566"/>
      <c r="T47" s="566"/>
      <c r="U47" s="565"/>
      <c r="V47" s="565"/>
      <c r="W47" s="575"/>
      <c r="X47" s="575"/>
      <c r="Y47" s="566"/>
      <c r="Z47" s="566"/>
      <c r="AA47" s="566"/>
      <c r="AB47" s="565"/>
      <c r="AC47" s="564"/>
      <c r="AD47" s="566"/>
      <c r="AE47" s="565"/>
      <c r="AF47" s="565"/>
      <c r="AG47" s="565"/>
      <c r="AH47" s="565"/>
      <c r="AI47" s="565"/>
      <c r="AJ47" s="565"/>
      <c r="AK47" s="566"/>
      <c r="AL47" s="565"/>
      <c r="AM47" s="575"/>
      <c r="AN47" s="575"/>
      <c r="AO47" s="575"/>
      <c r="AP47" s="575"/>
      <c r="AQ47" s="575"/>
      <c r="AR47" s="606"/>
      <c r="AS47" s="566"/>
      <c r="AT47" s="712"/>
      <c r="AU47" s="636"/>
    </row>
    <row r="48" spans="1:47" s="554" customFormat="1">
      <c r="A48" s="552">
        <v>26</v>
      </c>
      <c r="B48" s="554" t="s">
        <v>212</v>
      </c>
      <c r="E48" s="557">
        <f t="shared" ref="E48:AG48" si="79">E19-E46</f>
        <v>150927</v>
      </c>
      <c r="F48" s="565">
        <f t="shared" si="79"/>
        <v>0</v>
      </c>
      <c r="G48" s="565">
        <f t="shared" si="79"/>
        <v>-12</v>
      </c>
      <c r="H48" s="565">
        <f t="shared" si="79"/>
        <v>0</v>
      </c>
      <c r="I48" s="565">
        <f t="shared" si="79"/>
        <v>-147</v>
      </c>
      <c r="J48" s="565">
        <f t="shared" ref="J48" si="80">J19-J46</f>
        <v>250</v>
      </c>
      <c r="K48" s="565">
        <f t="shared" si="79"/>
        <v>-1321</v>
      </c>
      <c r="L48" s="565">
        <f t="shared" si="79"/>
        <v>-7</v>
      </c>
      <c r="M48" s="565">
        <f t="shared" si="79"/>
        <v>-151</v>
      </c>
      <c r="N48" s="565">
        <f t="shared" si="79"/>
        <v>0</v>
      </c>
      <c r="O48" s="565">
        <f t="shared" si="79"/>
        <v>31</v>
      </c>
      <c r="P48" s="565">
        <f t="shared" si="79"/>
        <v>62</v>
      </c>
      <c r="Q48" s="565">
        <f t="shared" si="79"/>
        <v>94</v>
      </c>
      <c r="R48" s="565">
        <f t="shared" si="79"/>
        <v>1269</v>
      </c>
      <c r="S48" s="566">
        <f t="shared" ref="S48" si="81">S19-S46</f>
        <v>0</v>
      </c>
      <c r="T48" s="566">
        <f>T19-T46</f>
        <v>-1491</v>
      </c>
      <c r="U48" s="565">
        <f>U19-U46</f>
        <v>6748</v>
      </c>
      <c r="V48" s="565">
        <f>V19-V46</f>
        <v>4</v>
      </c>
      <c r="W48" s="575">
        <f t="shared" ref="W48" si="82">W19-W46</f>
        <v>626</v>
      </c>
      <c r="X48" s="575">
        <f t="shared" ref="X48" si="83">X19-X46</f>
        <v>1174</v>
      </c>
      <c r="Y48" s="566">
        <f>Y19-Y46</f>
        <v>0</v>
      </c>
      <c r="Z48" s="566">
        <f t="shared" ref="Z48" si="84">Z19-Z46</f>
        <v>-11840</v>
      </c>
      <c r="AA48" s="566">
        <f>AA19-AA46</f>
        <v>0</v>
      </c>
      <c r="AB48" s="565">
        <f>AB19-AB46</f>
        <v>0</v>
      </c>
      <c r="AC48" s="564">
        <f t="shared" si="79"/>
        <v>146216</v>
      </c>
      <c r="AD48" s="566">
        <f>AD19-AD46</f>
        <v>-101</v>
      </c>
      <c r="AE48" s="565">
        <f>AE19-AE46</f>
        <v>-1534.1440000000002</v>
      </c>
      <c r="AF48" s="565">
        <f t="shared" si="79"/>
        <v>33</v>
      </c>
      <c r="AG48" s="565">
        <f t="shared" si="79"/>
        <v>360</v>
      </c>
      <c r="AH48" s="565">
        <f>AH19-AH46</f>
        <v>-119</v>
      </c>
      <c r="AI48" s="565">
        <f>AI19-AI46</f>
        <v>-2458</v>
      </c>
      <c r="AJ48" s="565">
        <f t="shared" ref="AJ48" si="85">AJ19-AJ46</f>
        <v>-694</v>
      </c>
      <c r="AK48" s="566">
        <f t="shared" ref="AK48:AO48" si="86">AK19-AK46</f>
        <v>-5055</v>
      </c>
      <c r="AL48" s="565">
        <f t="shared" si="86"/>
        <v>1641</v>
      </c>
      <c r="AM48" s="575">
        <f t="shared" si="86"/>
        <v>-129</v>
      </c>
      <c r="AN48" s="575">
        <f t="shared" si="86"/>
        <v>987</v>
      </c>
      <c r="AO48" s="575">
        <f t="shared" si="86"/>
        <v>0</v>
      </c>
      <c r="AP48" s="575">
        <f>AP19-AP46</f>
        <v>-347</v>
      </c>
      <c r="AQ48" s="575">
        <f t="shared" ref="AQ48" si="87">AQ19-AQ46</f>
        <v>-532</v>
      </c>
      <c r="AR48" s="606">
        <f>SUM(AC48:AQ48)</f>
        <v>138267.856</v>
      </c>
      <c r="AS48" s="566">
        <f>AS19-AS46</f>
        <v>0</v>
      </c>
      <c r="AT48" s="712">
        <f t="shared" ref="AT48" si="88">AR48+AS48</f>
        <v>138267.856</v>
      </c>
      <c r="AU48" s="636"/>
    </row>
    <row r="49" spans="1:47" s="554" customFormat="1">
      <c r="A49" s="552"/>
      <c r="E49" s="557"/>
      <c r="F49" s="565"/>
      <c r="G49" s="565"/>
      <c r="H49" s="565"/>
      <c r="I49" s="565"/>
      <c r="J49" s="565"/>
      <c r="K49" s="565"/>
      <c r="L49" s="565"/>
      <c r="M49" s="565"/>
      <c r="N49" s="565"/>
      <c r="O49" s="565"/>
      <c r="P49" s="565"/>
      <c r="Q49" s="565"/>
      <c r="R49" s="565"/>
      <c r="S49" s="566"/>
      <c r="T49" s="566"/>
      <c r="U49" s="565"/>
      <c r="V49" s="565"/>
      <c r="W49" s="575"/>
      <c r="X49" s="575"/>
      <c r="Y49" s="566"/>
      <c r="Z49" s="566"/>
      <c r="AA49" s="566"/>
      <c r="AB49" s="565"/>
      <c r="AC49" s="564"/>
      <c r="AD49" s="566"/>
      <c r="AE49" s="565"/>
      <c r="AF49" s="565"/>
      <c r="AG49" s="565"/>
      <c r="AH49" s="565"/>
      <c r="AI49" s="565"/>
      <c r="AJ49" s="565"/>
      <c r="AK49" s="566"/>
      <c r="AL49" s="565"/>
      <c r="AM49" s="575"/>
      <c r="AN49" s="575"/>
      <c r="AO49" s="575"/>
      <c r="AP49" s="575"/>
      <c r="AQ49" s="575"/>
      <c r="AR49" s="606"/>
      <c r="AS49" s="566"/>
      <c r="AT49" s="712"/>
      <c r="AU49" s="636"/>
    </row>
    <row r="50" spans="1:47" s="554" customFormat="1">
      <c r="A50" s="556"/>
      <c r="B50" s="554" t="s">
        <v>213</v>
      </c>
      <c r="E50" s="557"/>
      <c r="F50" s="565"/>
      <c r="G50" s="565"/>
      <c r="H50" s="565"/>
      <c r="I50" s="565"/>
      <c r="J50" s="565"/>
      <c r="K50" s="565"/>
      <c r="L50" s="565"/>
      <c r="M50" s="565"/>
      <c r="N50" s="565"/>
      <c r="O50" s="565"/>
      <c r="P50" s="565"/>
      <c r="Q50" s="565"/>
      <c r="R50" s="565"/>
      <c r="S50" s="566"/>
      <c r="T50" s="566"/>
      <c r="U50" s="565"/>
      <c r="V50" s="565"/>
      <c r="W50" s="575"/>
      <c r="X50" s="575"/>
      <c r="Y50" s="566"/>
      <c r="Z50" s="566"/>
      <c r="AA50" s="566"/>
      <c r="AB50" s="565"/>
      <c r="AC50" s="564"/>
      <c r="AD50" s="566"/>
      <c r="AE50" s="565"/>
      <c r="AF50" s="565"/>
      <c r="AG50" s="565"/>
      <c r="AH50" s="565"/>
      <c r="AI50" s="565"/>
      <c r="AJ50" s="565"/>
      <c r="AK50" s="566"/>
      <c r="AL50" s="565"/>
      <c r="AM50" s="575"/>
      <c r="AN50" s="575"/>
      <c r="AO50" s="575"/>
      <c r="AP50" s="575"/>
      <c r="AQ50" s="575"/>
      <c r="AR50" s="606"/>
      <c r="AS50" s="566"/>
      <c r="AT50" s="712"/>
      <c r="AU50" s="636"/>
    </row>
    <row r="51" spans="1:47" s="554" customFormat="1">
      <c r="A51" s="581">
        <v>27</v>
      </c>
      <c r="B51" s="554" t="s">
        <v>628</v>
      </c>
      <c r="D51" s="598"/>
      <c r="E51" s="561">
        <f>'ROO INPUT'!F51</f>
        <v>-25741</v>
      </c>
      <c r="F51" s="565">
        <f>F48*0.35</f>
        <v>0</v>
      </c>
      <c r="G51" s="565">
        <f>G48*0.35</f>
        <v>-4.1999999999999993</v>
      </c>
      <c r="H51" s="565">
        <f>H48*0.35</f>
        <v>0</v>
      </c>
      <c r="I51" s="565">
        <f>I48*0.35</f>
        <v>-51.449999999999996</v>
      </c>
      <c r="J51" s="565">
        <f t="shared" ref="J51" si="89">J48*0.35</f>
        <v>87.5</v>
      </c>
      <c r="K51" s="565">
        <f>K48*0.35</f>
        <v>-462.34999999999997</v>
      </c>
      <c r="L51" s="565">
        <f>L48*0.35</f>
        <v>-2.4499999999999997</v>
      </c>
      <c r="M51" s="565">
        <f>M48*0.35</f>
        <v>-52.849999999999994</v>
      </c>
      <c r="N51" s="565">
        <v>110</v>
      </c>
      <c r="O51" s="565">
        <f t="shared" ref="O51:R51" si="90">O48*0.35</f>
        <v>10.85</v>
      </c>
      <c r="P51" s="565">
        <f t="shared" si="90"/>
        <v>21.7</v>
      </c>
      <c r="Q51" s="565">
        <f t="shared" si="90"/>
        <v>32.9</v>
      </c>
      <c r="R51" s="565">
        <f t="shared" si="90"/>
        <v>444.15</v>
      </c>
      <c r="S51" s="566">
        <f t="shared" ref="S51" si="91">S48*0.35</f>
        <v>0</v>
      </c>
      <c r="T51" s="566">
        <f>T48*0.35</f>
        <v>-521.85</v>
      </c>
      <c r="U51" s="566">
        <v>1567</v>
      </c>
      <c r="V51" s="566">
        <f>V48*0.35</f>
        <v>1.4</v>
      </c>
      <c r="W51" s="579">
        <f t="shared" ref="W51" si="92">W48*0.35</f>
        <v>219.1</v>
      </c>
      <c r="X51" s="579">
        <f t="shared" ref="X51" si="93">X48*0.35</f>
        <v>410.9</v>
      </c>
      <c r="Y51" s="566">
        <f>'DEBT CALC'!E60</f>
        <v>202</v>
      </c>
      <c r="Z51" s="565">
        <f t="shared" ref="Z51" si="94">Z48*0.35</f>
        <v>-4144</v>
      </c>
      <c r="AA51" s="565">
        <f>AA48*0.35</f>
        <v>0</v>
      </c>
      <c r="AB51" s="565">
        <f>AB48*0.35</f>
        <v>0</v>
      </c>
      <c r="AC51" s="564">
        <f>SUM(E51:AB51)</f>
        <v>-27872.649999999994</v>
      </c>
      <c r="AD51" s="566">
        <f>AD48*0.35</f>
        <v>-35.349999999999994</v>
      </c>
      <c r="AE51" s="566">
        <f>AE48*0.35</f>
        <v>-536.95040000000006</v>
      </c>
      <c r="AF51" s="566">
        <f t="shared" ref="AF51:AG51" si="95">AF48*0.35</f>
        <v>11.549999999999999</v>
      </c>
      <c r="AG51" s="566">
        <f t="shared" si="95"/>
        <v>125.99999999999999</v>
      </c>
      <c r="AH51" s="566">
        <f>AH48*0.35</f>
        <v>-41.65</v>
      </c>
      <c r="AI51" s="566">
        <f>AI48*0.35</f>
        <v>-860.3</v>
      </c>
      <c r="AJ51" s="566">
        <f t="shared" ref="AJ51" si="96">AJ48*0.35</f>
        <v>-242.89999999999998</v>
      </c>
      <c r="AK51" s="565">
        <f t="shared" ref="AK51:AO51" si="97">AK48*0.35</f>
        <v>-1769.25</v>
      </c>
      <c r="AL51" s="566">
        <f t="shared" si="97"/>
        <v>574.34999999999991</v>
      </c>
      <c r="AM51" s="579">
        <f t="shared" si="97"/>
        <v>-45.15</v>
      </c>
      <c r="AN51" s="579">
        <f t="shared" si="97"/>
        <v>345.45</v>
      </c>
      <c r="AO51" s="579">
        <f t="shared" si="97"/>
        <v>0</v>
      </c>
      <c r="AP51" s="579">
        <f>AP48*0.35</f>
        <v>-121.44999999999999</v>
      </c>
      <c r="AQ51" s="579">
        <f t="shared" ref="AQ51" si="98">AQ48*0.35</f>
        <v>-186.2</v>
      </c>
      <c r="AR51" s="606">
        <f>SUM(AC51:AQ51)</f>
        <v>-30654.500400000001</v>
      </c>
      <c r="AS51" s="565">
        <f>AS48*0.35</f>
        <v>0</v>
      </c>
      <c r="AT51" s="712">
        <f t="shared" ref="AT51:AT54" si="99">AR51+AS51</f>
        <v>-30654.500400000001</v>
      </c>
      <c r="AU51" s="636"/>
    </row>
    <row r="52" spans="1:47" s="557" customFormat="1">
      <c r="A52" s="552">
        <v>28</v>
      </c>
      <c r="B52" s="557" t="s">
        <v>300</v>
      </c>
      <c r="E52" s="561">
        <f>'ROO INPUT'!F52</f>
        <v>0</v>
      </c>
      <c r="F52" s="566">
        <f>(F80*'Exh. No. BGM-3 2'!$O$13)*-0.35</f>
        <v>-7.5602799999999997</v>
      </c>
      <c r="G52" s="566">
        <f>(G80*'Exh. No. BGM-3 2'!$O$13)*-0.35</f>
        <v>0</v>
      </c>
      <c r="H52" s="566">
        <f>(H80*'Exh. No. BGM-3 2'!$O$13)*-0.35</f>
        <v>28.196279999999998</v>
      </c>
      <c r="I52" s="566">
        <f>(I80*'Exh. No. BGM-3 2'!$O$13)*-0.35</f>
        <v>0</v>
      </c>
      <c r="J52" s="566">
        <f>(J80*'Exh. No. BGM-3 2'!$O$13)*-0.35</f>
        <v>0</v>
      </c>
      <c r="K52" s="566">
        <f>(K80*'Exh. No. BGM-3 2'!$O$13)*-0.35</f>
        <v>0</v>
      </c>
      <c r="L52" s="566">
        <f>(L80*'Exh. No. BGM-3 2'!$O$13)*-0.35</f>
        <v>0</v>
      </c>
      <c r="M52" s="566">
        <f>(M80*'Exh. No. BGM-3 2'!$O$13)*-0.35</f>
        <v>0</v>
      </c>
      <c r="N52" s="566">
        <f>(N80*'Exh. No. BGM-3 2'!$O$13)*-0.35</f>
        <v>0</v>
      </c>
      <c r="O52" s="566">
        <f>(O80*'Exh. No. BGM-3 2'!$O$13)*-0.35</f>
        <v>0</v>
      </c>
      <c r="P52" s="566">
        <f>(P80*'Exh. No. BGM-3 2'!$O$13)*-0.35</f>
        <v>0</v>
      </c>
      <c r="Q52" s="566">
        <f>(Q80*'Exh. No. BGM-3 2'!$O$13)*-0.35</f>
        <v>0</v>
      </c>
      <c r="R52" s="566">
        <f>(R80*'Exh. No. BGM-3 2'!$O$13)*-0.35</f>
        <v>0</v>
      </c>
      <c r="S52" s="566">
        <f>(S80*'Exh. No. BGM-3 2'!$O$13)*-0.35</f>
        <v>0</v>
      </c>
      <c r="T52" s="566">
        <f>(T80*'Exh. No. BGM-3 2'!$O$13)*-0.35</f>
        <v>0</v>
      </c>
      <c r="U52" s="566">
        <f>(U80*'Exh. No. BGM-3 2'!$O$13)*-0.35</f>
        <v>0</v>
      </c>
      <c r="V52" s="566">
        <f>(V80*'Exh. No. BGM-3 2'!$O$13)*-0.35</f>
        <v>0</v>
      </c>
      <c r="W52" s="575">
        <f>(W80*'Exh. No. BGM-3 2'!$O$13)*-0.35</f>
        <v>0</v>
      </c>
      <c r="X52" s="575">
        <f>(X80*'Exh. No. BGM-3 2'!$O$13)*-0.35</f>
        <v>0</v>
      </c>
      <c r="Y52" s="566"/>
      <c r="Z52" s="566">
        <f>(Z80*'Exh. No. BGM-3 2'!$O$13)*-0.35</f>
        <v>0</v>
      </c>
      <c r="AA52" s="566">
        <f>(AA80*'Exh. No. BGM-3 2'!$O$13)*-0.35</f>
        <v>0</v>
      </c>
      <c r="AB52" s="566">
        <f>(AB80*'Exh. No. BGM-3 2'!$O$13)*-0.35</f>
        <v>0</v>
      </c>
      <c r="AC52" s="564">
        <f>SUM(E52:AB52)</f>
        <v>20.635999999999999</v>
      </c>
      <c r="AD52" s="566">
        <f>(AD80*'Exh. No. BGM-3 2'!$O$13)*-0.35</f>
        <v>0</v>
      </c>
      <c r="AE52" s="566">
        <f>(AE80*'[6]RR SUMMARY'!$Q$13)*-0.35</f>
        <v>0</v>
      </c>
      <c r="AF52" s="566">
        <f>(AF80*'Exh. No. BGM-3 2'!$O$13)*-0.35</f>
        <v>0</v>
      </c>
      <c r="AG52" s="566">
        <f>(AG80*'[6]RR SUMMARY'!$Q$13)*-0.35</f>
        <v>0</v>
      </c>
      <c r="AH52" s="566">
        <f>(AH80*'Exh. No. BGM-3 2'!$O$13)*-0.35</f>
        <v>0</v>
      </c>
      <c r="AI52" s="566">
        <f>(AI80*'[6]RR SUMMARY'!$Q$13)*-0.35</f>
        <v>0</v>
      </c>
      <c r="AJ52" s="566">
        <f>(AJ80*'Exh. No. BGM-3 2'!$O$13)*-0.35</f>
        <v>0</v>
      </c>
      <c r="AK52" s="566">
        <f>(AK80*'Exh. No. BGM-3 2'!$O$13)*-0.35</f>
        <v>0</v>
      </c>
      <c r="AL52" s="566">
        <f>(AL80*'Exh. No. BGM-3 2'!$O$13)*-0.35</f>
        <v>50.145480000000006</v>
      </c>
      <c r="AM52" s="575">
        <f>(AM80*'Exh. No. BGM-3 2'!$O$13)*-0.35</f>
        <v>-52.199699999999993</v>
      </c>
      <c r="AN52" s="575">
        <f>(AN80*'Exh. No. BGM-3 2'!$O$13)*-0.35</f>
        <v>0</v>
      </c>
      <c r="AO52" s="575">
        <f>(AO80*'Exh. No. BGM-3 2'!$O$13)*-0.35</f>
        <v>0</v>
      </c>
      <c r="AP52" s="575">
        <f>(AP80*'Exh. No. BGM-3 2'!$O$13)*-0.35</f>
        <v>0</v>
      </c>
      <c r="AQ52" s="575">
        <f>(AQ80*'Exh. No. BGM-3 2'!$O$13)*-0.35</f>
        <v>0</v>
      </c>
      <c r="AR52" s="606">
        <f>SUM(AC52:AQ52)</f>
        <v>18.581780000000009</v>
      </c>
      <c r="AS52" s="566">
        <f>(AS80*'Exh. No. BGM-3 2'!$O$13)*-0.35</f>
        <v>0</v>
      </c>
      <c r="AT52" s="712">
        <f t="shared" si="99"/>
        <v>18.581780000000009</v>
      </c>
      <c r="AU52" s="636"/>
    </row>
    <row r="53" spans="1:47" s="554" customFormat="1">
      <c r="A53" s="552">
        <v>29</v>
      </c>
      <c r="B53" s="554" t="s">
        <v>214</v>
      </c>
      <c r="E53" s="561">
        <f>'ROO INPUT'!F53</f>
        <v>66436</v>
      </c>
      <c r="F53" s="565">
        <v>0</v>
      </c>
      <c r="G53" s="565">
        <v>0</v>
      </c>
      <c r="H53" s="565">
        <v>0</v>
      </c>
      <c r="I53" s="565">
        <v>0</v>
      </c>
      <c r="J53" s="565">
        <v>0</v>
      </c>
      <c r="K53" s="565">
        <v>0</v>
      </c>
      <c r="L53" s="565">
        <v>0</v>
      </c>
      <c r="M53" s="565">
        <v>0</v>
      </c>
      <c r="N53" s="565">
        <v>-40</v>
      </c>
      <c r="O53" s="565">
        <v>0</v>
      </c>
      <c r="P53" s="565">
        <v>0</v>
      </c>
      <c r="Q53" s="565">
        <v>0</v>
      </c>
      <c r="R53" s="565">
        <v>0</v>
      </c>
      <c r="S53" s="566">
        <v>0</v>
      </c>
      <c r="T53" s="566">
        <v>0</v>
      </c>
      <c r="U53" s="566">
        <v>795</v>
      </c>
      <c r="V53" s="566">
        <v>0</v>
      </c>
      <c r="W53" s="575">
        <v>0</v>
      </c>
      <c r="X53" s="575">
        <v>0</v>
      </c>
      <c r="Y53" s="566">
        <v>0</v>
      </c>
      <c r="Z53" s="566">
        <v>0</v>
      </c>
      <c r="AA53" s="566">
        <v>0</v>
      </c>
      <c r="AB53" s="565">
        <v>0</v>
      </c>
      <c r="AC53" s="564">
        <f>SUM(E53:AB53)</f>
        <v>67191</v>
      </c>
      <c r="AD53" s="566">
        <v>0</v>
      </c>
      <c r="AE53" s="566">
        <v>0</v>
      </c>
      <c r="AF53" s="566">
        <v>0</v>
      </c>
      <c r="AG53" s="566">
        <v>0</v>
      </c>
      <c r="AH53" s="566">
        <v>0</v>
      </c>
      <c r="AI53" s="566">
        <v>0</v>
      </c>
      <c r="AJ53" s="566">
        <v>0</v>
      </c>
      <c r="AK53" s="566">
        <v>0</v>
      </c>
      <c r="AL53" s="566">
        <v>0</v>
      </c>
      <c r="AM53" s="575">
        <v>0</v>
      </c>
      <c r="AN53" s="575">
        <v>0</v>
      </c>
      <c r="AO53" s="575">
        <v>0</v>
      </c>
      <c r="AP53" s="575">
        <v>0</v>
      </c>
      <c r="AQ53" s="575">
        <v>0</v>
      </c>
      <c r="AR53" s="606">
        <f>SUM(AC53:AQ53)</f>
        <v>67191</v>
      </c>
      <c r="AS53" s="566">
        <v>0</v>
      </c>
      <c r="AT53" s="712">
        <f t="shared" si="99"/>
        <v>67191</v>
      </c>
      <c r="AU53" s="636"/>
    </row>
    <row r="54" spans="1:47" s="554" customFormat="1">
      <c r="A54" s="556">
        <v>30</v>
      </c>
      <c r="B54" s="554" t="s">
        <v>285</v>
      </c>
      <c r="E54" s="587">
        <f>'ROO INPUT'!F54</f>
        <v>-325</v>
      </c>
      <c r="F54" s="577">
        <v>0</v>
      </c>
      <c r="G54" s="577">
        <v>0</v>
      </c>
      <c r="H54" s="577">
        <v>0</v>
      </c>
      <c r="I54" s="577">
        <v>0</v>
      </c>
      <c r="J54" s="577">
        <v>0</v>
      </c>
      <c r="K54" s="577">
        <v>0</v>
      </c>
      <c r="L54" s="577">
        <v>0</v>
      </c>
      <c r="M54" s="577">
        <v>0</v>
      </c>
      <c r="N54" s="577">
        <v>-1</v>
      </c>
      <c r="O54" s="577">
        <v>0</v>
      </c>
      <c r="P54" s="577">
        <v>0</v>
      </c>
      <c r="Q54" s="577">
        <v>0</v>
      </c>
      <c r="R54" s="577">
        <v>0</v>
      </c>
      <c r="S54" s="576">
        <v>0</v>
      </c>
      <c r="T54" s="576">
        <v>0</v>
      </c>
      <c r="U54" s="577">
        <v>0</v>
      </c>
      <c r="V54" s="577">
        <v>0</v>
      </c>
      <c r="W54" s="576">
        <v>0</v>
      </c>
      <c r="X54" s="576">
        <v>0</v>
      </c>
      <c r="Y54" s="576">
        <v>0</v>
      </c>
      <c r="Z54" s="576">
        <v>0</v>
      </c>
      <c r="AA54" s="576">
        <v>0</v>
      </c>
      <c r="AB54" s="577">
        <v>0</v>
      </c>
      <c r="AC54" s="286">
        <f>SUM(E54:AB54)</f>
        <v>-326</v>
      </c>
      <c r="AD54" s="576">
        <v>0</v>
      </c>
      <c r="AE54" s="577">
        <v>0</v>
      </c>
      <c r="AF54" s="577">
        <v>0</v>
      </c>
      <c r="AG54" s="577">
        <v>0</v>
      </c>
      <c r="AH54" s="577">
        <v>0</v>
      </c>
      <c r="AI54" s="577">
        <v>0</v>
      </c>
      <c r="AJ54" s="577">
        <v>0</v>
      </c>
      <c r="AK54" s="576">
        <v>0</v>
      </c>
      <c r="AL54" s="577">
        <v>0</v>
      </c>
      <c r="AM54" s="576">
        <v>0</v>
      </c>
      <c r="AN54" s="576">
        <v>0</v>
      </c>
      <c r="AO54" s="576">
        <v>0</v>
      </c>
      <c r="AP54" s="576">
        <v>0</v>
      </c>
      <c r="AQ54" s="576">
        <v>0</v>
      </c>
      <c r="AR54" s="608">
        <f>SUM(AC54:AQ54)</f>
        <v>-326</v>
      </c>
      <c r="AS54" s="576">
        <v>0</v>
      </c>
      <c r="AT54" s="713">
        <f t="shared" si="99"/>
        <v>-326</v>
      </c>
      <c r="AU54" s="636"/>
    </row>
    <row r="55" spans="1:47">
      <c r="W55" s="575"/>
      <c r="X55" s="575"/>
      <c r="AM55" s="575"/>
      <c r="AN55" s="575"/>
      <c r="AO55" s="575"/>
      <c r="AP55" s="575"/>
      <c r="AQ55" s="575"/>
      <c r="AR55" s="606"/>
      <c r="AT55" s="712"/>
    </row>
    <row r="56" spans="1:47" s="553" customFormat="1" ht="12.75" thickBot="1">
      <c r="A56" s="555">
        <v>31</v>
      </c>
      <c r="B56" s="553" t="s">
        <v>215</v>
      </c>
      <c r="E56" s="588">
        <f t="shared" ref="E56:AG56" si="100">E48-SUM(E51:E54)</f>
        <v>110557</v>
      </c>
      <c r="F56" s="589">
        <f t="shared" si="100"/>
        <v>7.5602799999999997</v>
      </c>
      <c r="G56" s="589">
        <f t="shared" si="100"/>
        <v>-7.8000000000000007</v>
      </c>
      <c r="H56" s="589">
        <f t="shared" si="100"/>
        <v>-28.196279999999998</v>
      </c>
      <c r="I56" s="589">
        <f t="shared" si="100"/>
        <v>-95.550000000000011</v>
      </c>
      <c r="J56" s="589">
        <f t="shared" ref="J56" si="101">J48-SUM(J51:J54)</f>
        <v>162.5</v>
      </c>
      <c r="K56" s="589">
        <f t="shared" si="100"/>
        <v>-858.65000000000009</v>
      </c>
      <c r="L56" s="589">
        <f t="shared" si="100"/>
        <v>-4.5500000000000007</v>
      </c>
      <c r="M56" s="589">
        <f t="shared" si="100"/>
        <v>-98.15</v>
      </c>
      <c r="N56" s="589">
        <f t="shared" si="100"/>
        <v>-69</v>
      </c>
      <c r="O56" s="589">
        <f t="shared" si="100"/>
        <v>20.149999999999999</v>
      </c>
      <c r="P56" s="589">
        <f t="shared" si="100"/>
        <v>40.299999999999997</v>
      </c>
      <c r="Q56" s="589">
        <f t="shared" si="100"/>
        <v>61.1</v>
      </c>
      <c r="R56" s="589">
        <f t="shared" si="100"/>
        <v>824.85</v>
      </c>
      <c r="S56" s="588">
        <f t="shared" ref="S56" si="102">S48-SUM(S51:S54)</f>
        <v>0</v>
      </c>
      <c r="T56" s="588">
        <f t="shared" ref="T56:Z56" si="103">T48-SUM(T51:T54)</f>
        <v>-969.15</v>
      </c>
      <c r="U56" s="589">
        <f t="shared" si="103"/>
        <v>4386</v>
      </c>
      <c r="V56" s="589">
        <f t="shared" si="103"/>
        <v>2.6</v>
      </c>
      <c r="W56" s="617">
        <f t="shared" ref="W56" si="104">W48-SUM(W51:W54)</f>
        <v>406.9</v>
      </c>
      <c r="X56" s="617">
        <f t="shared" si="103"/>
        <v>763.1</v>
      </c>
      <c r="Y56" s="617">
        <f t="shared" si="103"/>
        <v>-202</v>
      </c>
      <c r="Z56" s="588">
        <f t="shared" si="103"/>
        <v>-7696</v>
      </c>
      <c r="AA56" s="588">
        <f>AA48-SUM(AA51:AA54)</f>
        <v>0</v>
      </c>
      <c r="AB56" s="589">
        <f>AB48-SUM(AB51:AB54)</f>
        <v>0</v>
      </c>
      <c r="AC56" s="439">
        <f t="shared" si="100"/>
        <v>107203.014</v>
      </c>
      <c r="AD56" s="588">
        <f>AD48-SUM(AD51:AD54)</f>
        <v>-65.650000000000006</v>
      </c>
      <c r="AE56" s="589">
        <f>AE48-SUM(AE51:AE54)</f>
        <v>-997.19360000000017</v>
      </c>
      <c r="AF56" s="589">
        <f t="shared" si="100"/>
        <v>21.450000000000003</v>
      </c>
      <c r="AG56" s="589">
        <f t="shared" si="100"/>
        <v>234</v>
      </c>
      <c r="AH56" s="589">
        <f>AH48-SUM(AH51:AH54)</f>
        <v>-77.349999999999994</v>
      </c>
      <c r="AI56" s="589">
        <f>AI48-SUM(AI51:AI54)</f>
        <v>-1597.7</v>
      </c>
      <c r="AJ56" s="589">
        <f t="shared" ref="AJ56" si="105">AJ48-SUM(AJ51:AJ54)</f>
        <v>-451.1</v>
      </c>
      <c r="AK56" s="617">
        <f t="shared" ref="AK56" si="106">AK48-SUM(AK51:AK54)</f>
        <v>-3285.75</v>
      </c>
      <c r="AL56" s="589">
        <f t="shared" ref="AL56" si="107">AL48-SUM(AL51:AL54)</f>
        <v>1016.5045200000001</v>
      </c>
      <c r="AM56" s="588">
        <f>AM48-SUM(AM51:AM54)</f>
        <v>-31.650300000000016</v>
      </c>
      <c r="AN56" s="617">
        <f>AN48-SUM(AN51:AN54)</f>
        <v>641.54999999999995</v>
      </c>
      <c r="AO56" s="617">
        <f t="shared" ref="AO56" si="108">AO48-SUM(AO51:AO54)</f>
        <v>0</v>
      </c>
      <c r="AP56" s="617">
        <f>AP48-SUM(AP51:AP54)</f>
        <v>-225.55</v>
      </c>
      <c r="AQ56" s="617">
        <f t="shared" ref="AQ56" si="109">AQ48-SUM(AQ51:AQ54)</f>
        <v>-345.8</v>
      </c>
      <c r="AR56" s="610">
        <f>SUM(AC56:AQ56)</f>
        <v>102038.77462</v>
      </c>
      <c r="AS56" s="588">
        <f>AS48-SUM(AS51:AS54)</f>
        <v>0</v>
      </c>
      <c r="AT56" s="764">
        <f t="shared" ref="AT56" si="110">AR56+AS56</f>
        <v>102038.77462</v>
      </c>
      <c r="AU56" s="636"/>
    </row>
    <row r="57" spans="1:47" ht="6" customHeight="1" thickTop="1">
      <c r="A57" s="555"/>
      <c r="W57" s="575"/>
      <c r="X57" s="575"/>
      <c r="AM57" s="575"/>
      <c r="AN57" s="575"/>
      <c r="AO57" s="575"/>
      <c r="AP57" s="575"/>
      <c r="AQ57" s="575"/>
      <c r="AR57" s="606"/>
      <c r="AT57" s="712"/>
    </row>
    <row r="58" spans="1:47">
      <c r="A58" s="555"/>
      <c r="B58" s="539" t="s">
        <v>216</v>
      </c>
      <c r="W58" s="575"/>
      <c r="X58" s="575"/>
      <c r="AM58" s="575"/>
      <c r="AN58" s="575"/>
      <c r="AO58" s="575"/>
      <c r="AP58" s="575"/>
      <c r="AQ58" s="575"/>
      <c r="AR58" s="606"/>
      <c r="AT58" s="712"/>
    </row>
    <row r="59" spans="1:47">
      <c r="B59" s="539" t="s">
        <v>217</v>
      </c>
      <c r="W59" s="575"/>
      <c r="X59" s="575"/>
      <c r="AM59" s="575"/>
      <c r="AN59" s="575"/>
      <c r="AO59" s="575"/>
      <c r="AP59" s="575"/>
      <c r="AQ59" s="575"/>
      <c r="AR59" s="606"/>
      <c r="AT59" s="712"/>
    </row>
    <row r="60" spans="1:47" s="553" customFormat="1">
      <c r="A60" s="585">
        <v>32</v>
      </c>
      <c r="C60" s="553" t="s">
        <v>218</v>
      </c>
      <c r="E60" s="562">
        <f>'ROO INPUT'!F60</f>
        <v>156057</v>
      </c>
      <c r="F60" s="553">
        <v>0</v>
      </c>
      <c r="G60" s="553">
        <v>0</v>
      </c>
      <c r="H60" s="553">
        <v>0</v>
      </c>
      <c r="I60" s="553">
        <v>0</v>
      </c>
      <c r="J60" s="553">
        <v>0</v>
      </c>
      <c r="K60" s="553">
        <v>0</v>
      </c>
      <c r="L60" s="553">
        <v>0</v>
      </c>
      <c r="M60" s="553">
        <v>0</v>
      </c>
      <c r="N60" s="553">
        <v>0</v>
      </c>
      <c r="O60" s="553">
        <v>0</v>
      </c>
      <c r="P60" s="553">
        <v>0</v>
      </c>
      <c r="Q60" s="553">
        <v>0</v>
      </c>
      <c r="R60" s="553">
        <v>0</v>
      </c>
      <c r="S60" s="582">
        <v>0</v>
      </c>
      <c r="T60" s="582">
        <v>0</v>
      </c>
      <c r="U60" s="553">
        <v>0</v>
      </c>
      <c r="V60" s="553">
        <v>0</v>
      </c>
      <c r="W60" s="562">
        <v>0</v>
      </c>
      <c r="X60" s="562">
        <v>0</v>
      </c>
      <c r="Y60" s="582">
        <v>0</v>
      </c>
      <c r="Z60" s="582">
        <v>0</v>
      </c>
      <c r="AA60" s="582">
        <v>0</v>
      </c>
      <c r="AB60" s="553">
        <v>0</v>
      </c>
      <c r="AC60" s="360">
        <f>SUM(E60:AB60)</f>
        <v>156057</v>
      </c>
      <c r="AD60" s="582">
        <v>0</v>
      </c>
      <c r="AE60" s="553">
        <v>0</v>
      </c>
      <c r="AF60" s="553">
        <v>0</v>
      </c>
      <c r="AG60" s="553">
        <v>0</v>
      </c>
      <c r="AH60" s="553">
        <v>0</v>
      </c>
      <c r="AI60" s="553">
        <v>0</v>
      </c>
      <c r="AJ60" s="553">
        <v>0</v>
      </c>
      <c r="AK60" s="582">
        <v>0</v>
      </c>
      <c r="AL60" s="553">
        <v>0</v>
      </c>
      <c r="AN60" s="562">
        <v>0</v>
      </c>
      <c r="AO60" s="562">
        <v>0</v>
      </c>
      <c r="AP60" s="562">
        <v>0</v>
      </c>
      <c r="AQ60" s="562">
        <v>0</v>
      </c>
      <c r="AR60" s="607">
        <f t="shared" ref="AR60:AR65" si="111">SUM(AC60:AQ60)</f>
        <v>156057</v>
      </c>
      <c r="AS60" s="582">
        <v>0</v>
      </c>
      <c r="AT60" s="763">
        <f t="shared" ref="AT60:AT72" si="112">AR60+AS60</f>
        <v>156057</v>
      </c>
      <c r="AU60" s="639"/>
    </row>
    <row r="61" spans="1:47" s="554" customFormat="1">
      <c r="A61" s="555">
        <v>33</v>
      </c>
      <c r="C61" s="554" t="s">
        <v>219</v>
      </c>
      <c r="E61" s="561">
        <f>'ROO INPUT'!F61</f>
        <v>832833</v>
      </c>
      <c r="F61" s="565">
        <v>0</v>
      </c>
      <c r="G61" s="565">
        <v>0</v>
      </c>
      <c r="H61" s="565">
        <v>0</v>
      </c>
      <c r="I61" s="565">
        <v>0</v>
      </c>
      <c r="J61" s="565">
        <v>0</v>
      </c>
      <c r="K61" s="565">
        <v>0</v>
      </c>
      <c r="L61" s="565">
        <v>0</v>
      </c>
      <c r="M61" s="565">
        <v>0</v>
      </c>
      <c r="N61" s="565">
        <v>0</v>
      </c>
      <c r="O61" s="565">
        <v>0</v>
      </c>
      <c r="P61" s="565">
        <v>0</v>
      </c>
      <c r="Q61" s="565">
        <v>0</v>
      </c>
      <c r="R61" s="565">
        <v>0</v>
      </c>
      <c r="S61" s="566">
        <v>0</v>
      </c>
      <c r="T61" s="566">
        <v>0</v>
      </c>
      <c r="U61" s="565">
        <v>0</v>
      </c>
      <c r="V61" s="565">
        <v>0</v>
      </c>
      <c r="W61" s="575">
        <v>0</v>
      </c>
      <c r="X61" s="575">
        <v>0</v>
      </c>
      <c r="Y61" s="566">
        <v>0</v>
      </c>
      <c r="Z61" s="566">
        <v>0</v>
      </c>
      <c r="AA61" s="566">
        <v>0</v>
      </c>
      <c r="AB61" s="565">
        <v>0</v>
      </c>
      <c r="AC61" s="387">
        <f>SUM(E61:AB61)</f>
        <v>832833</v>
      </c>
      <c r="AD61" s="566">
        <v>0</v>
      </c>
      <c r="AE61" s="565">
        <v>0</v>
      </c>
      <c r="AF61" s="565">
        <v>0</v>
      </c>
      <c r="AG61" s="565">
        <v>0</v>
      </c>
      <c r="AH61" s="565">
        <v>0</v>
      </c>
      <c r="AI61" s="565">
        <v>0</v>
      </c>
      <c r="AJ61" s="565">
        <v>0</v>
      </c>
      <c r="AK61" s="566">
        <v>0</v>
      </c>
      <c r="AL61" s="565">
        <v>0</v>
      </c>
      <c r="AM61" s="575">
        <v>6889</v>
      </c>
      <c r="AN61" s="575">
        <v>0</v>
      </c>
      <c r="AO61" s="575">
        <v>0</v>
      </c>
      <c r="AP61" s="575">
        <v>0</v>
      </c>
      <c r="AQ61" s="575">
        <v>0</v>
      </c>
      <c r="AR61" s="606">
        <f t="shared" si="111"/>
        <v>839722</v>
      </c>
      <c r="AS61" s="566">
        <v>0</v>
      </c>
      <c r="AT61" s="712">
        <f t="shared" si="112"/>
        <v>839722</v>
      </c>
      <c r="AU61" s="636"/>
    </row>
    <row r="62" spans="1:47" s="554" customFormat="1" ht="12.75" customHeight="1">
      <c r="A62" s="555">
        <v>34</v>
      </c>
      <c r="C62" s="554" t="s">
        <v>220</v>
      </c>
      <c r="E62" s="561">
        <f>'ROO INPUT'!F62</f>
        <v>430613</v>
      </c>
      <c r="F62" s="565">
        <v>0</v>
      </c>
      <c r="G62" s="565">
        <v>0</v>
      </c>
      <c r="H62" s="565">
        <v>0</v>
      </c>
      <c r="I62" s="565">
        <v>0</v>
      </c>
      <c r="J62" s="565">
        <v>0</v>
      </c>
      <c r="K62" s="565">
        <v>0</v>
      </c>
      <c r="L62" s="565">
        <v>0</v>
      </c>
      <c r="M62" s="565">
        <v>0</v>
      </c>
      <c r="N62" s="565">
        <v>0</v>
      </c>
      <c r="O62" s="565">
        <v>0</v>
      </c>
      <c r="P62" s="565">
        <v>0</v>
      </c>
      <c r="Q62" s="565">
        <v>0</v>
      </c>
      <c r="R62" s="565">
        <v>0</v>
      </c>
      <c r="S62" s="566">
        <v>0</v>
      </c>
      <c r="T62" s="566">
        <v>0</v>
      </c>
      <c r="U62" s="565">
        <v>0</v>
      </c>
      <c r="V62" s="565">
        <v>0</v>
      </c>
      <c r="W62" s="575">
        <v>0</v>
      </c>
      <c r="X62" s="575">
        <v>0</v>
      </c>
      <c r="Y62" s="566">
        <v>0</v>
      </c>
      <c r="Z62" s="566">
        <v>0</v>
      </c>
      <c r="AA62" s="566">
        <v>0</v>
      </c>
      <c r="AB62" s="565">
        <v>0</v>
      </c>
      <c r="AC62" s="387">
        <f>SUM(E62:AB62)</f>
        <v>430613</v>
      </c>
      <c r="AD62" s="566">
        <v>0</v>
      </c>
      <c r="AE62" s="565">
        <v>0</v>
      </c>
      <c r="AF62" s="565">
        <v>0</v>
      </c>
      <c r="AG62" s="565">
        <v>0</v>
      </c>
      <c r="AH62" s="565">
        <v>0</v>
      </c>
      <c r="AI62" s="565">
        <v>0</v>
      </c>
      <c r="AJ62" s="565">
        <v>0</v>
      </c>
      <c r="AK62" s="566">
        <v>0</v>
      </c>
      <c r="AL62" s="565">
        <v>0</v>
      </c>
      <c r="AM62" s="575">
        <v>0</v>
      </c>
      <c r="AN62" s="575">
        <v>0</v>
      </c>
      <c r="AO62" s="575">
        <v>0</v>
      </c>
      <c r="AP62" s="575">
        <v>0</v>
      </c>
      <c r="AQ62" s="575">
        <v>0</v>
      </c>
      <c r="AR62" s="606">
        <f t="shared" si="111"/>
        <v>430613</v>
      </c>
      <c r="AS62" s="566">
        <v>0</v>
      </c>
      <c r="AT62" s="712">
        <f t="shared" si="112"/>
        <v>430613</v>
      </c>
      <c r="AU62" s="636"/>
    </row>
    <row r="63" spans="1:47" s="554" customFormat="1" ht="12" customHeight="1">
      <c r="A63" s="555">
        <v>35</v>
      </c>
      <c r="C63" s="554" t="s">
        <v>204</v>
      </c>
      <c r="E63" s="561">
        <f>'ROO INPUT'!F63</f>
        <v>970455</v>
      </c>
      <c r="F63" s="565">
        <v>0</v>
      </c>
      <c r="G63" s="565">
        <v>0</v>
      </c>
      <c r="H63" s="565">
        <v>0</v>
      </c>
      <c r="I63" s="565">
        <v>0</v>
      </c>
      <c r="J63" s="565">
        <v>0</v>
      </c>
      <c r="K63" s="565">
        <v>0</v>
      </c>
      <c r="L63" s="565">
        <v>0</v>
      </c>
      <c r="M63" s="565">
        <v>0</v>
      </c>
      <c r="N63" s="565">
        <v>0</v>
      </c>
      <c r="O63" s="565">
        <v>0</v>
      </c>
      <c r="P63" s="565">
        <v>0</v>
      </c>
      <c r="Q63" s="565">
        <v>0</v>
      </c>
      <c r="R63" s="565">
        <v>0</v>
      </c>
      <c r="S63" s="566">
        <v>0</v>
      </c>
      <c r="T63" s="566">
        <v>0</v>
      </c>
      <c r="U63" s="565">
        <v>0</v>
      </c>
      <c r="V63" s="565">
        <v>0</v>
      </c>
      <c r="W63" s="575">
        <v>0</v>
      </c>
      <c r="X63" s="575">
        <v>0</v>
      </c>
      <c r="Y63" s="566">
        <v>0</v>
      </c>
      <c r="Z63" s="566">
        <v>0</v>
      </c>
      <c r="AA63" s="566">
        <v>0</v>
      </c>
      <c r="AB63" s="565">
        <v>0</v>
      </c>
      <c r="AC63" s="387">
        <f>SUM(E63:AB63)</f>
        <v>970455</v>
      </c>
      <c r="AD63" s="566">
        <v>0</v>
      </c>
      <c r="AE63" s="565">
        <v>0</v>
      </c>
      <c r="AF63" s="565">
        <v>0</v>
      </c>
      <c r="AG63" s="565">
        <v>0</v>
      </c>
      <c r="AH63" s="565">
        <v>0</v>
      </c>
      <c r="AI63" s="565">
        <v>0</v>
      </c>
      <c r="AJ63" s="565">
        <v>0</v>
      </c>
      <c r="AK63" s="566">
        <v>0</v>
      </c>
      <c r="AL63" s="565">
        <v>0</v>
      </c>
      <c r="AM63" s="575"/>
      <c r="AN63" s="575">
        <v>0</v>
      </c>
      <c r="AO63" s="575">
        <v>0</v>
      </c>
      <c r="AP63" s="575">
        <v>0</v>
      </c>
      <c r="AQ63" s="575">
        <v>0</v>
      </c>
      <c r="AR63" s="606">
        <f t="shared" si="111"/>
        <v>970455</v>
      </c>
      <c r="AS63" s="566">
        <v>0</v>
      </c>
      <c r="AT63" s="712">
        <f t="shared" si="112"/>
        <v>970455</v>
      </c>
      <c r="AU63" s="636"/>
    </row>
    <row r="64" spans="1:47" s="554" customFormat="1">
      <c r="A64" s="555">
        <v>36</v>
      </c>
      <c r="C64" s="554" t="s">
        <v>221</v>
      </c>
      <c r="E64" s="587">
        <f>'ROO INPUT'!F64-1</f>
        <v>233266</v>
      </c>
      <c r="F64" s="577">
        <v>0</v>
      </c>
      <c r="G64" s="577">
        <v>0</v>
      </c>
      <c r="H64" s="577">
        <v>0</v>
      </c>
      <c r="I64" s="577">
        <v>0</v>
      </c>
      <c r="J64" s="577">
        <v>0</v>
      </c>
      <c r="K64" s="577">
        <v>0</v>
      </c>
      <c r="L64" s="577">
        <v>0</v>
      </c>
      <c r="M64" s="577">
        <v>0</v>
      </c>
      <c r="N64" s="577">
        <v>0</v>
      </c>
      <c r="O64" s="577">
        <v>0</v>
      </c>
      <c r="P64" s="577">
        <v>0</v>
      </c>
      <c r="Q64" s="577">
        <v>0</v>
      </c>
      <c r="R64" s="577">
        <v>0</v>
      </c>
      <c r="S64" s="576">
        <v>0</v>
      </c>
      <c r="T64" s="576">
        <v>0</v>
      </c>
      <c r="U64" s="577">
        <v>0</v>
      </c>
      <c r="V64" s="577">
        <v>0</v>
      </c>
      <c r="W64" s="576">
        <v>0</v>
      </c>
      <c r="X64" s="576">
        <v>0</v>
      </c>
      <c r="Y64" s="576">
        <v>0</v>
      </c>
      <c r="Z64" s="576">
        <v>0</v>
      </c>
      <c r="AA64" s="576">
        <v>0</v>
      </c>
      <c r="AB64" s="577">
        <v>0</v>
      </c>
      <c r="AC64" s="388">
        <f>SUM(E64:AB64)</f>
        <v>233266</v>
      </c>
      <c r="AD64" s="576">
        <v>0</v>
      </c>
      <c r="AE64" s="577">
        <v>0</v>
      </c>
      <c r="AF64" s="577">
        <v>0</v>
      </c>
      <c r="AG64" s="577">
        <v>0</v>
      </c>
      <c r="AH64" s="577">
        <v>0</v>
      </c>
      <c r="AI64" s="577">
        <v>0</v>
      </c>
      <c r="AJ64" s="577">
        <v>0</v>
      </c>
      <c r="AK64" s="576">
        <v>0</v>
      </c>
      <c r="AL64" s="577">
        <v>0</v>
      </c>
      <c r="AM64" s="576">
        <v>0</v>
      </c>
      <c r="AN64" s="576">
        <v>0</v>
      </c>
      <c r="AO64" s="576">
        <v>0</v>
      </c>
      <c r="AP64" s="576">
        <v>0</v>
      </c>
      <c r="AQ64" s="576">
        <v>0</v>
      </c>
      <c r="AR64" s="608">
        <f t="shared" si="111"/>
        <v>233266</v>
      </c>
      <c r="AS64" s="576">
        <v>0</v>
      </c>
      <c r="AT64" s="713">
        <f t="shared" si="112"/>
        <v>233266</v>
      </c>
      <c r="AU64" s="636"/>
    </row>
    <row r="65" spans="1:47" s="554" customFormat="1">
      <c r="A65" s="555">
        <v>37</v>
      </c>
      <c r="B65" s="554" t="s">
        <v>222</v>
      </c>
      <c r="E65" s="566">
        <f t="shared" ref="E65:AG65" si="113">SUM(E60:E64)</f>
        <v>2623224</v>
      </c>
      <c r="F65" s="565">
        <f t="shared" si="113"/>
        <v>0</v>
      </c>
      <c r="G65" s="565">
        <f t="shared" si="113"/>
        <v>0</v>
      </c>
      <c r="H65" s="565">
        <f t="shared" si="113"/>
        <v>0</v>
      </c>
      <c r="I65" s="565">
        <f t="shared" si="113"/>
        <v>0</v>
      </c>
      <c r="J65" s="565">
        <f t="shared" ref="J65" si="114">SUM(J60:J64)</f>
        <v>0</v>
      </c>
      <c r="K65" s="565">
        <f t="shared" si="113"/>
        <v>0</v>
      </c>
      <c r="L65" s="565">
        <f t="shared" si="113"/>
        <v>0</v>
      </c>
      <c r="M65" s="565">
        <f t="shared" si="113"/>
        <v>0</v>
      </c>
      <c r="N65" s="565">
        <f t="shared" si="113"/>
        <v>0</v>
      </c>
      <c r="O65" s="565">
        <f t="shared" si="113"/>
        <v>0</v>
      </c>
      <c r="P65" s="565">
        <f t="shared" si="113"/>
        <v>0</v>
      </c>
      <c r="Q65" s="565">
        <f t="shared" si="113"/>
        <v>0</v>
      </c>
      <c r="R65" s="565">
        <f t="shared" si="113"/>
        <v>0</v>
      </c>
      <c r="S65" s="566">
        <f t="shared" ref="S65" si="115">SUM(S60:S64)</f>
        <v>0</v>
      </c>
      <c r="T65" s="566">
        <f>SUM(T60:T64)</f>
        <v>0</v>
      </c>
      <c r="U65" s="565">
        <f>SUM(U60:U64)</f>
        <v>0</v>
      </c>
      <c r="V65" s="565">
        <f>SUM(V60:V64)</f>
        <v>0</v>
      </c>
      <c r="W65" s="575">
        <f t="shared" ref="W65" si="116">SUM(W60:W64)</f>
        <v>0</v>
      </c>
      <c r="X65" s="575">
        <f t="shared" ref="X65" si="117">SUM(X60:X64)</f>
        <v>0</v>
      </c>
      <c r="Y65" s="566">
        <f>SUM(Y60:Y64)</f>
        <v>0</v>
      </c>
      <c r="Z65" s="566">
        <f t="shared" ref="Z65" si="118">SUM(Z60:Z64)</f>
        <v>0</v>
      </c>
      <c r="AA65" s="566">
        <f>SUM(AA60:AA64)</f>
        <v>0</v>
      </c>
      <c r="AB65" s="565">
        <f>SUM(AB60:AB64)</f>
        <v>0</v>
      </c>
      <c r="AC65" s="387">
        <f t="shared" si="113"/>
        <v>2623224</v>
      </c>
      <c r="AD65" s="566">
        <f>SUM(AD60:AD64)</f>
        <v>0</v>
      </c>
      <c r="AE65" s="565">
        <f>SUM(AE60:AE64)</f>
        <v>0</v>
      </c>
      <c r="AF65" s="565">
        <f t="shared" si="113"/>
        <v>0</v>
      </c>
      <c r="AG65" s="565">
        <f t="shared" si="113"/>
        <v>0</v>
      </c>
      <c r="AH65" s="565">
        <f>SUM(AH60:AH64)</f>
        <v>0</v>
      </c>
      <c r="AI65" s="565">
        <f>SUM(AI60:AI64)</f>
        <v>0</v>
      </c>
      <c r="AJ65" s="565">
        <f t="shared" ref="AJ65" si="119">SUM(AJ60:AJ64)</f>
        <v>0</v>
      </c>
      <c r="AK65" s="566">
        <f t="shared" ref="AK65:AO65" si="120">SUM(AK60:AK64)</f>
        <v>0</v>
      </c>
      <c r="AL65" s="565">
        <f t="shared" si="120"/>
        <v>0</v>
      </c>
      <c r="AM65" s="575">
        <f t="shared" si="120"/>
        <v>6889</v>
      </c>
      <c r="AN65" s="575">
        <f t="shared" si="120"/>
        <v>0</v>
      </c>
      <c r="AO65" s="575">
        <f t="shared" si="120"/>
        <v>0</v>
      </c>
      <c r="AP65" s="575">
        <f>SUM(AP60:AP64)</f>
        <v>0</v>
      </c>
      <c r="AQ65" s="575">
        <f t="shared" ref="AQ65" si="121">SUM(AQ60:AQ64)</f>
        <v>0</v>
      </c>
      <c r="AR65" s="606">
        <f t="shared" si="111"/>
        <v>2630113</v>
      </c>
      <c r="AS65" s="566">
        <f>SUM(AS60:AS64)</f>
        <v>0</v>
      </c>
      <c r="AT65" s="712">
        <f t="shared" si="112"/>
        <v>2630113</v>
      </c>
      <c r="AU65" s="636"/>
    </row>
    <row r="66" spans="1:47" s="554" customFormat="1" ht="14.25" customHeight="1">
      <c r="A66" s="555"/>
      <c r="B66" s="554" t="s">
        <v>595</v>
      </c>
      <c r="E66" s="566"/>
      <c r="F66" s="565"/>
      <c r="G66" s="565"/>
      <c r="H66" s="565"/>
      <c r="I66" s="565"/>
      <c r="J66" s="565"/>
      <c r="K66" s="565"/>
      <c r="L66" s="565"/>
      <c r="M66" s="565"/>
      <c r="N66" s="565"/>
      <c r="O66" s="565"/>
      <c r="P66" s="565"/>
      <c r="Q66" s="565"/>
      <c r="R66" s="565"/>
      <c r="S66" s="566"/>
      <c r="T66" s="566"/>
      <c r="U66" s="565"/>
      <c r="V66" s="565"/>
      <c r="W66" s="575"/>
      <c r="X66" s="575"/>
      <c r="Y66" s="566"/>
      <c r="Z66" s="566">
        <v>0</v>
      </c>
      <c r="AA66" s="566"/>
      <c r="AB66" s="565"/>
      <c r="AC66" s="387"/>
      <c r="AD66" s="566">
        <v>0</v>
      </c>
      <c r="AE66" s="565">
        <v>0</v>
      </c>
      <c r="AF66" s="565">
        <v>0</v>
      </c>
      <c r="AG66" s="565">
        <v>0</v>
      </c>
      <c r="AH66" s="565"/>
      <c r="AI66" s="565"/>
      <c r="AJ66" s="565"/>
      <c r="AK66" s="566"/>
      <c r="AL66" s="565"/>
      <c r="AM66" s="575"/>
      <c r="AN66" s="575"/>
      <c r="AO66" s="575"/>
      <c r="AP66" s="575"/>
      <c r="AQ66" s="575"/>
      <c r="AR66" s="606"/>
      <c r="AS66" s="566"/>
      <c r="AT66" s="712"/>
      <c r="AU66" s="636"/>
    </row>
    <row r="67" spans="1:47" s="554" customFormat="1">
      <c r="A67" s="555">
        <v>38</v>
      </c>
      <c r="C67" s="553" t="s">
        <v>218</v>
      </c>
      <c r="E67" s="561">
        <f>'ROO INPUT'!F67</f>
        <v>-30914</v>
      </c>
      <c r="F67" s="565">
        <v>0</v>
      </c>
      <c r="G67" s="565">
        <v>0</v>
      </c>
      <c r="H67" s="565">
        <v>0</v>
      </c>
      <c r="I67" s="565">
        <v>0</v>
      </c>
      <c r="J67" s="565">
        <v>0</v>
      </c>
      <c r="K67" s="565">
        <v>0</v>
      </c>
      <c r="L67" s="565">
        <v>0</v>
      </c>
      <c r="M67" s="565">
        <v>0</v>
      </c>
      <c r="N67" s="565">
        <v>0</v>
      </c>
      <c r="O67" s="565">
        <v>0</v>
      </c>
      <c r="P67" s="565">
        <v>0</v>
      </c>
      <c r="Q67" s="565">
        <v>0</v>
      </c>
      <c r="R67" s="565">
        <v>0</v>
      </c>
      <c r="S67" s="566">
        <v>0</v>
      </c>
      <c r="T67" s="566">
        <v>0</v>
      </c>
      <c r="U67" s="565">
        <v>0</v>
      </c>
      <c r="V67" s="565">
        <v>0</v>
      </c>
      <c r="W67" s="579">
        <v>0</v>
      </c>
      <c r="X67" s="579">
        <v>0</v>
      </c>
      <c r="Y67" s="565">
        <v>0</v>
      </c>
      <c r="Z67" s="565">
        <v>0</v>
      </c>
      <c r="AA67" s="565">
        <v>0</v>
      </c>
      <c r="AB67" s="565">
        <v>0</v>
      </c>
      <c r="AC67" s="387">
        <f>SUM(E67:AB67)</f>
        <v>-30914</v>
      </c>
      <c r="AD67" s="566">
        <v>0</v>
      </c>
      <c r="AE67" s="565">
        <v>0</v>
      </c>
      <c r="AF67" s="565">
        <v>0</v>
      </c>
      <c r="AG67" s="565">
        <v>0</v>
      </c>
      <c r="AH67" s="565">
        <v>0</v>
      </c>
      <c r="AI67" s="565">
        <v>0</v>
      </c>
      <c r="AJ67" s="565">
        <v>0</v>
      </c>
      <c r="AK67" s="565">
        <v>0</v>
      </c>
      <c r="AL67" s="565">
        <v>0</v>
      </c>
      <c r="AM67" s="575"/>
      <c r="AN67" s="579">
        <v>0</v>
      </c>
      <c r="AO67" s="579">
        <v>0</v>
      </c>
      <c r="AP67" s="579">
        <v>0</v>
      </c>
      <c r="AQ67" s="579">
        <v>0</v>
      </c>
      <c r="AR67" s="606">
        <f t="shared" ref="AR67:AR72" si="122">SUM(AC67:AQ67)</f>
        <v>-30914</v>
      </c>
      <c r="AS67" s="565">
        <v>0</v>
      </c>
      <c r="AT67" s="712">
        <f t="shared" si="112"/>
        <v>-30914</v>
      </c>
      <c r="AU67" s="636"/>
    </row>
    <row r="68" spans="1:47" s="554" customFormat="1">
      <c r="A68" s="555">
        <v>39</v>
      </c>
      <c r="C68" s="554" t="s">
        <v>219</v>
      </c>
      <c r="E68" s="561">
        <f>'ROO INPUT'!F68</f>
        <v>-351625</v>
      </c>
      <c r="F68" s="565">
        <v>0</v>
      </c>
      <c r="G68" s="565">
        <v>0</v>
      </c>
      <c r="H68" s="565">
        <v>0</v>
      </c>
      <c r="I68" s="565">
        <v>0</v>
      </c>
      <c r="J68" s="565">
        <v>0</v>
      </c>
      <c r="K68" s="565">
        <v>0</v>
      </c>
      <c r="L68" s="565">
        <v>0</v>
      </c>
      <c r="M68" s="565">
        <v>0</v>
      </c>
      <c r="N68" s="565">
        <v>0</v>
      </c>
      <c r="O68" s="565">
        <v>0</v>
      </c>
      <c r="P68" s="565">
        <v>0</v>
      </c>
      <c r="Q68" s="565">
        <v>0</v>
      </c>
      <c r="R68" s="565">
        <v>0</v>
      </c>
      <c r="S68" s="566">
        <v>0</v>
      </c>
      <c r="T68" s="566">
        <v>0</v>
      </c>
      <c r="U68" s="565">
        <v>0</v>
      </c>
      <c r="V68" s="565">
        <v>0</v>
      </c>
      <c r="W68" s="579">
        <v>0</v>
      </c>
      <c r="X68" s="579">
        <v>0</v>
      </c>
      <c r="Y68" s="565">
        <v>0</v>
      </c>
      <c r="Z68" s="565">
        <v>0</v>
      </c>
      <c r="AA68" s="565">
        <v>0</v>
      </c>
      <c r="AB68" s="565">
        <v>0</v>
      </c>
      <c r="AC68" s="387">
        <f>SUM(E68:AB68)</f>
        <v>-351625</v>
      </c>
      <c r="AD68" s="566">
        <v>0</v>
      </c>
      <c r="AE68" s="565">
        <v>0</v>
      </c>
      <c r="AF68" s="565">
        <v>0</v>
      </c>
      <c r="AG68" s="565">
        <v>0</v>
      </c>
      <c r="AH68" s="565">
        <v>0</v>
      </c>
      <c r="AI68" s="565">
        <v>0</v>
      </c>
      <c r="AJ68" s="565">
        <v>0</v>
      </c>
      <c r="AK68" s="565">
        <v>0</v>
      </c>
      <c r="AL68" s="565">
        <v>0</v>
      </c>
      <c r="AM68" s="575">
        <v>-95</v>
      </c>
      <c r="AN68" s="579">
        <v>0</v>
      </c>
      <c r="AO68" s="579">
        <v>0</v>
      </c>
      <c r="AP68" s="579">
        <v>0</v>
      </c>
      <c r="AQ68" s="579">
        <v>0</v>
      </c>
      <c r="AR68" s="607">
        <f t="shared" si="122"/>
        <v>-351720</v>
      </c>
      <c r="AS68" s="565">
        <v>0</v>
      </c>
      <c r="AT68" s="763">
        <f t="shared" si="112"/>
        <v>-351720</v>
      </c>
      <c r="AU68" s="639"/>
    </row>
    <row r="69" spans="1:47" s="554" customFormat="1">
      <c r="A69" s="555">
        <v>40</v>
      </c>
      <c r="C69" s="554" t="s">
        <v>220</v>
      </c>
      <c r="E69" s="561">
        <f>'ROO INPUT'!F69</f>
        <v>-135624</v>
      </c>
      <c r="F69" s="565">
        <v>0</v>
      </c>
      <c r="G69" s="565">
        <v>0</v>
      </c>
      <c r="H69" s="565">
        <v>0</v>
      </c>
      <c r="I69" s="565">
        <v>0</v>
      </c>
      <c r="J69" s="565">
        <v>0</v>
      </c>
      <c r="K69" s="565">
        <v>0</v>
      </c>
      <c r="L69" s="565">
        <v>0</v>
      </c>
      <c r="M69" s="565">
        <v>0</v>
      </c>
      <c r="N69" s="565">
        <v>0</v>
      </c>
      <c r="O69" s="565">
        <v>0</v>
      </c>
      <c r="P69" s="565">
        <v>0</v>
      </c>
      <c r="Q69" s="565">
        <v>0</v>
      </c>
      <c r="R69" s="565">
        <v>0</v>
      </c>
      <c r="S69" s="566">
        <v>0</v>
      </c>
      <c r="T69" s="566">
        <v>0</v>
      </c>
      <c r="U69" s="565">
        <v>0</v>
      </c>
      <c r="V69" s="565">
        <v>0</v>
      </c>
      <c r="W69" s="579">
        <v>0</v>
      </c>
      <c r="X69" s="579">
        <v>0</v>
      </c>
      <c r="Y69" s="565">
        <v>0</v>
      </c>
      <c r="Z69" s="565">
        <v>0</v>
      </c>
      <c r="AA69" s="565">
        <v>0</v>
      </c>
      <c r="AB69" s="565">
        <v>0</v>
      </c>
      <c r="AC69" s="387">
        <f>SUM(E69:AB69)</f>
        <v>-135624</v>
      </c>
      <c r="AD69" s="566">
        <v>0</v>
      </c>
      <c r="AE69" s="565">
        <v>0</v>
      </c>
      <c r="AF69" s="565">
        <v>0</v>
      </c>
      <c r="AG69" s="565">
        <v>0</v>
      </c>
      <c r="AH69" s="565">
        <v>0</v>
      </c>
      <c r="AI69" s="565">
        <v>0</v>
      </c>
      <c r="AJ69" s="565">
        <v>0</v>
      </c>
      <c r="AK69" s="565">
        <v>0</v>
      </c>
      <c r="AL69" s="565">
        <v>0</v>
      </c>
      <c r="AM69" s="575">
        <v>0</v>
      </c>
      <c r="AN69" s="579">
        <v>0</v>
      </c>
      <c r="AO69" s="579">
        <v>0</v>
      </c>
      <c r="AP69" s="579">
        <v>0</v>
      </c>
      <c r="AQ69" s="579">
        <v>0</v>
      </c>
      <c r="AR69" s="606">
        <f t="shared" si="122"/>
        <v>-135624</v>
      </c>
      <c r="AS69" s="565">
        <v>0</v>
      </c>
      <c r="AT69" s="712">
        <f t="shared" si="112"/>
        <v>-135624</v>
      </c>
      <c r="AU69" s="636"/>
    </row>
    <row r="70" spans="1:47" s="554" customFormat="1">
      <c r="A70" s="555">
        <v>41</v>
      </c>
      <c r="C70" s="554" t="s">
        <v>204</v>
      </c>
      <c r="E70" s="561">
        <f>'ROO INPUT'!F70</f>
        <v>-295383</v>
      </c>
      <c r="F70" s="565">
        <v>0</v>
      </c>
      <c r="G70" s="565">
        <v>0</v>
      </c>
      <c r="H70" s="565">
        <v>0</v>
      </c>
      <c r="I70" s="565">
        <v>0</v>
      </c>
      <c r="J70" s="565">
        <v>0</v>
      </c>
      <c r="K70" s="565">
        <v>0</v>
      </c>
      <c r="L70" s="565">
        <v>0</v>
      </c>
      <c r="M70" s="565">
        <v>0</v>
      </c>
      <c r="N70" s="565">
        <v>0</v>
      </c>
      <c r="O70" s="565">
        <v>0</v>
      </c>
      <c r="P70" s="565">
        <v>0</v>
      </c>
      <c r="Q70" s="565">
        <v>0</v>
      </c>
      <c r="R70" s="565">
        <v>0</v>
      </c>
      <c r="S70" s="566">
        <v>0</v>
      </c>
      <c r="T70" s="566">
        <v>0</v>
      </c>
      <c r="U70" s="565">
        <v>0</v>
      </c>
      <c r="V70" s="565">
        <v>0</v>
      </c>
      <c r="W70" s="579">
        <v>0</v>
      </c>
      <c r="X70" s="579">
        <v>0</v>
      </c>
      <c r="Y70" s="565">
        <v>0</v>
      </c>
      <c r="Z70" s="565">
        <v>0</v>
      </c>
      <c r="AA70" s="565">
        <v>0</v>
      </c>
      <c r="AB70" s="565">
        <v>0</v>
      </c>
      <c r="AC70" s="387">
        <f>SUM(E70:AB70)</f>
        <v>-295383</v>
      </c>
      <c r="AD70" s="566">
        <v>0</v>
      </c>
      <c r="AE70" s="565">
        <v>0</v>
      </c>
      <c r="AF70" s="565">
        <v>0</v>
      </c>
      <c r="AG70" s="565">
        <v>0</v>
      </c>
      <c r="AH70" s="565">
        <v>0</v>
      </c>
      <c r="AI70" s="565">
        <v>0</v>
      </c>
      <c r="AJ70" s="565">
        <v>0</v>
      </c>
      <c r="AK70" s="565">
        <v>0</v>
      </c>
      <c r="AL70" s="565">
        <v>0</v>
      </c>
      <c r="AM70" s="575"/>
      <c r="AN70" s="579">
        <v>0</v>
      </c>
      <c r="AO70" s="579">
        <v>0</v>
      </c>
      <c r="AP70" s="579">
        <v>0</v>
      </c>
      <c r="AQ70" s="579">
        <v>0</v>
      </c>
      <c r="AR70" s="606">
        <f t="shared" si="122"/>
        <v>-295383</v>
      </c>
      <c r="AS70" s="565">
        <v>0</v>
      </c>
      <c r="AT70" s="712">
        <f t="shared" si="112"/>
        <v>-295383</v>
      </c>
      <c r="AU70" s="636"/>
    </row>
    <row r="71" spans="1:47" s="554" customFormat="1">
      <c r="A71" s="555">
        <v>42</v>
      </c>
      <c r="C71" s="554" t="s">
        <v>221</v>
      </c>
      <c r="E71" s="561">
        <f>'ROO INPUT'!F71</f>
        <v>-80093</v>
      </c>
      <c r="F71" s="565">
        <v>0</v>
      </c>
      <c r="G71" s="565">
        <v>0</v>
      </c>
      <c r="H71" s="565">
        <v>0</v>
      </c>
      <c r="I71" s="565">
        <v>0</v>
      </c>
      <c r="J71" s="565">
        <v>0</v>
      </c>
      <c r="K71" s="565">
        <v>0</v>
      </c>
      <c r="L71" s="565">
        <v>0</v>
      </c>
      <c r="M71" s="565">
        <v>0</v>
      </c>
      <c r="N71" s="565">
        <v>0</v>
      </c>
      <c r="O71" s="565">
        <v>0</v>
      </c>
      <c r="P71" s="565">
        <v>0</v>
      </c>
      <c r="Q71" s="565">
        <v>0</v>
      </c>
      <c r="R71" s="565">
        <v>0</v>
      </c>
      <c r="S71" s="566">
        <v>0</v>
      </c>
      <c r="T71" s="566">
        <v>0</v>
      </c>
      <c r="U71" s="565">
        <v>0</v>
      </c>
      <c r="V71" s="565">
        <v>0</v>
      </c>
      <c r="W71" s="577">
        <v>0</v>
      </c>
      <c r="X71" s="577">
        <v>0</v>
      </c>
      <c r="Y71" s="565">
        <v>0</v>
      </c>
      <c r="Z71" s="565">
        <v>0</v>
      </c>
      <c r="AA71" s="565">
        <v>0</v>
      </c>
      <c r="AB71" s="565">
        <v>0</v>
      </c>
      <c r="AC71" s="387">
        <f>SUM(E71:AB71)</f>
        <v>-80093</v>
      </c>
      <c r="AD71" s="566">
        <v>0</v>
      </c>
      <c r="AE71" s="565">
        <v>0</v>
      </c>
      <c r="AF71" s="565">
        <v>0</v>
      </c>
      <c r="AG71" s="565">
        <v>0</v>
      </c>
      <c r="AH71" s="565">
        <v>0</v>
      </c>
      <c r="AI71" s="565">
        <v>0</v>
      </c>
      <c r="AJ71" s="565">
        <v>0</v>
      </c>
      <c r="AK71" s="565">
        <v>0</v>
      </c>
      <c r="AL71" s="565">
        <v>0</v>
      </c>
      <c r="AM71" s="575">
        <v>0</v>
      </c>
      <c r="AN71" s="577">
        <v>0</v>
      </c>
      <c r="AO71" s="577">
        <v>0</v>
      </c>
      <c r="AP71" s="577">
        <v>0</v>
      </c>
      <c r="AQ71" s="577">
        <v>0</v>
      </c>
      <c r="AR71" s="608">
        <f t="shared" si="122"/>
        <v>-80093</v>
      </c>
      <c r="AS71" s="565">
        <v>0</v>
      </c>
      <c r="AT71" s="713">
        <f t="shared" si="112"/>
        <v>-80093</v>
      </c>
      <c r="AU71" s="636"/>
    </row>
    <row r="72" spans="1:47" s="554" customFormat="1">
      <c r="A72" s="555">
        <v>43</v>
      </c>
      <c r="B72" s="554" t="s">
        <v>305</v>
      </c>
      <c r="E72" s="586">
        <f t="shared" ref="E72:AF72" si="123">SUM(E67:E71)</f>
        <v>-893639</v>
      </c>
      <c r="F72" s="586">
        <f t="shared" si="123"/>
        <v>0</v>
      </c>
      <c r="G72" s="586">
        <f t="shared" si="123"/>
        <v>0</v>
      </c>
      <c r="H72" s="586">
        <f t="shared" si="123"/>
        <v>0</v>
      </c>
      <c r="I72" s="586">
        <f t="shared" si="123"/>
        <v>0</v>
      </c>
      <c r="J72" s="586">
        <f t="shared" ref="J72" si="124">SUM(J67:J71)</f>
        <v>0</v>
      </c>
      <c r="K72" s="586">
        <f t="shared" si="123"/>
        <v>0</v>
      </c>
      <c r="L72" s="586">
        <f t="shared" si="123"/>
        <v>0</v>
      </c>
      <c r="M72" s="586">
        <f t="shared" si="123"/>
        <v>0</v>
      </c>
      <c r="N72" s="586">
        <f t="shared" si="123"/>
        <v>0</v>
      </c>
      <c r="O72" s="586">
        <f t="shared" si="123"/>
        <v>0</v>
      </c>
      <c r="P72" s="586">
        <f t="shared" si="123"/>
        <v>0</v>
      </c>
      <c r="Q72" s="586">
        <f t="shared" si="123"/>
        <v>0</v>
      </c>
      <c r="R72" s="586">
        <f t="shared" si="123"/>
        <v>0</v>
      </c>
      <c r="S72" s="586">
        <f t="shared" ref="S72" si="125">SUM(S67:S71)</f>
        <v>0</v>
      </c>
      <c r="T72" s="586">
        <f>SUM(T67:T71)</f>
        <v>0</v>
      </c>
      <c r="U72" s="586">
        <f>SUM(U67:U71)</f>
        <v>0</v>
      </c>
      <c r="V72" s="586">
        <f>SUM(V67:V71)</f>
        <v>0</v>
      </c>
      <c r="W72" s="583">
        <f t="shared" ref="W72" si="126">SUM(W67:W71)</f>
        <v>0</v>
      </c>
      <c r="X72" s="583">
        <f t="shared" ref="X72" si="127">SUM(X67:X71)</f>
        <v>0</v>
      </c>
      <c r="Y72" s="586">
        <f>SUM(Y67:Y71)</f>
        <v>0</v>
      </c>
      <c r="Z72" s="586">
        <f t="shared" ref="Z72" si="128">SUM(Z67:Z71)</f>
        <v>0</v>
      </c>
      <c r="AA72" s="586">
        <f>SUM(AA67:AA71)</f>
        <v>0</v>
      </c>
      <c r="AB72" s="586">
        <f>SUM(AB67:AB71)</f>
        <v>0</v>
      </c>
      <c r="AC72" s="389">
        <f t="shared" si="123"/>
        <v>-893639</v>
      </c>
      <c r="AD72" s="586">
        <f>SUM(AD67:AD71)</f>
        <v>0</v>
      </c>
      <c r="AE72" s="586">
        <f>SUM(AE67:AE71)</f>
        <v>0</v>
      </c>
      <c r="AF72" s="586">
        <f t="shared" si="123"/>
        <v>0</v>
      </c>
      <c r="AG72" s="586">
        <f t="shared" ref="AG72" si="129">SUM(AG67:AG71)</f>
        <v>0</v>
      </c>
      <c r="AH72" s="586">
        <f>SUM(AH67:AH71)</f>
        <v>0</v>
      </c>
      <c r="AI72" s="586">
        <f>SUM(AI67:AI71)</f>
        <v>0</v>
      </c>
      <c r="AJ72" s="586">
        <f t="shared" ref="AJ72" si="130">SUM(AJ67:AJ71)</f>
        <v>0</v>
      </c>
      <c r="AK72" s="586">
        <f t="shared" ref="AK72:AO72" si="131">SUM(AK67:AK71)</f>
        <v>0</v>
      </c>
      <c r="AL72" s="586">
        <f t="shared" si="131"/>
        <v>0</v>
      </c>
      <c r="AM72" s="586">
        <f t="shared" si="131"/>
        <v>-95</v>
      </c>
      <c r="AN72" s="583">
        <f t="shared" si="131"/>
        <v>0</v>
      </c>
      <c r="AO72" s="583">
        <f t="shared" si="131"/>
        <v>0</v>
      </c>
      <c r="AP72" s="583">
        <f>SUM(AP67:AP71)</f>
        <v>0</v>
      </c>
      <c r="AQ72" s="583">
        <f t="shared" ref="AQ72" si="132">SUM(AQ67:AQ71)</f>
        <v>0</v>
      </c>
      <c r="AR72" s="606">
        <f t="shared" si="122"/>
        <v>-893734</v>
      </c>
      <c r="AS72" s="586">
        <f>SUM(AS67:AS71)</f>
        <v>0</v>
      </c>
      <c r="AT72" s="712">
        <f t="shared" si="112"/>
        <v>-893734</v>
      </c>
      <c r="AU72" s="636"/>
    </row>
    <row r="73" spans="1:47" s="554" customFormat="1">
      <c r="A73" s="555">
        <v>44</v>
      </c>
      <c r="B73" s="554" t="s">
        <v>306</v>
      </c>
      <c r="E73" s="586">
        <f>E65+E72</f>
        <v>1729585</v>
      </c>
      <c r="F73" s="586">
        <f t="shared" ref="F73:AB73" si="133">F65+F72</f>
        <v>0</v>
      </c>
      <c r="G73" s="586">
        <f t="shared" si="133"/>
        <v>0</v>
      </c>
      <c r="H73" s="586">
        <f t="shared" si="133"/>
        <v>0</v>
      </c>
      <c r="I73" s="586">
        <f t="shared" si="133"/>
        <v>0</v>
      </c>
      <c r="J73" s="586">
        <f t="shared" si="133"/>
        <v>0</v>
      </c>
      <c r="K73" s="586">
        <f t="shared" si="133"/>
        <v>0</v>
      </c>
      <c r="L73" s="586">
        <f t="shared" si="133"/>
        <v>0</v>
      </c>
      <c r="M73" s="586">
        <f t="shared" si="133"/>
        <v>0</v>
      </c>
      <c r="N73" s="586">
        <f t="shared" si="133"/>
        <v>0</v>
      </c>
      <c r="O73" s="586">
        <f t="shared" si="133"/>
        <v>0</v>
      </c>
      <c r="P73" s="586">
        <f t="shared" si="133"/>
        <v>0</v>
      </c>
      <c r="Q73" s="586">
        <f t="shared" si="133"/>
        <v>0</v>
      </c>
      <c r="R73" s="586">
        <f t="shared" si="133"/>
        <v>0</v>
      </c>
      <c r="S73" s="586">
        <f t="shared" ref="S73" si="134">S65+S72</f>
        <v>0</v>
      </c>
      <c r="T73" s="586">
        <f>T65+T72</f>
        <v>0</v>
      </c>
      <c r="U73" s="586">
        <f t="shared" si="133"/>
        <v>0</v>
      </c>
      <c r="V73" s="586">
        <f t="shared" si="133"/>
        <v>0</v>
      </c>
      <c r="W73" s="575">
        <f t="shared" ref="W73:X73" si="135">W65+W72</f>
        <v>0</v>
      </c>
      <c r="X73" s="575">
        <f t="shared" si="135"/>
        <v>0</v>
      </c>
      <c r="Y73" s="586">
        <f>Y65+Y72</f>
        <v>0</v>
      </c>
      <c r="Z73" s="586">
        <f>Z65+Z72</f>
        <v>0</v>
      </c>
      <c r="AA73" s="586">
        <f t="shared" si="133"/>
        <v>0</v>
      </c>
      <c r="AB73" s="586">
        <f t="shared" si="133"/>
        <v>0</v>
      </c>
      <c r="AC73" s="390">
        <f>AC65+AC72</f>
        <v>1729585</v>
      </c>
      <c r="AD73" s="586">
        <f>AD65+AD72</f>
        <v>0</v>
      </c>
      <c r="AE73" s="586">
        <f>AE65+AE72</f>
        <v>0</v>
      </c>
      <c r="AF73" s="586">
        <f t="shared" ref="AF73:AG73" si="136">AF65+AF72</f>
        <v>0</v>
      </c>
      <c r="AG73" s="586">
        <f t="shared" si="136"/>
        <v>0</v>
      </c>
      <c r="AH73" s="586">
        <f>AH65+AH72</f>
        <v>0</v>
      </c>
      <c r="AI73" s="586">
        <f>AI65+AI72</f>
        <v>0</v>
      </c>
      <c r="AJ73" s="586">
        <f t="shared" ref="AJ73" si="137">AJ65+AJ72</f>
        <v>0</v>
      </c>
      <c r="AK73" s="586">
        <f>AK65-AK72</f>
        <v>0</v>
      </c>
      <c r="AL73" s="586">
        <f>AL65+AL72</f>
        <v>0</v>
      </c>
      <c r="AM73" s="586">
        <f>AM65+AM72</f>
        <v>6794</v>
      </c>
      <c r="AN73" s="575">
        <f>AN65-AN72</f>
        <v>0</v>
      </c>
      <c r="AO73" s="575">
        <f t="shared" ref="AO73:AT73" si="138">AO65+AO72</f>
        <v>0</v>
      </c>
      <c r="AP73" s="575">
        <f t="shared" si="138"/>
        <v>0</v>
      </c>
      <c r="AQ73" s="575">
        <f>AQ65+AQ72</f>
        <v>0</v>
      </c>
      <c r="AR73" s="609">
        <f t="shared" si="138"/>
        <v>1736379</v>
      </c>
      <c r="AS73" s="586">
        <f>AS65+AS72</f>
        <v>0</v>
      </c>
      <c r="AT73" s="714">
        <f t="shared" si="138"/>
        <v>1736379</v>
      </c>
      <c r="AU73" s="636"/>
    </row>
    <row r="74" spans="1:47" s="554" customFormat="1" ht="12.75" customHeight="1">
      <c r="A74" s="55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407"/>
      <c r="AD74" s="575"/>
      <c r="AE74" s="575"/>
      <c r="AF74" s="575"/>
      <c r="AG74" s="575"/>
      <c r="AH74" s="575"/>
      <c r="AI74" s="575"/>
      <c r="AJ74" s="575"/>
      <c r="AK74" s="575"/>
      <c r="AL74" s="575"/>
      <c r="AM74" s="575"/>
      <c r="AN74" s="575"/>
      <c r="AO74" s="575"/>
      <c r="AP74" s="575"/>
      <c r="AQ74" s="575"/>
      <c r="AR74" s="606"/>
      <c r="AS74" s="575"/>
      <c r="AT74" s="712"/>
      <c r="AU74" s="636"/>
    </row>
    <row r="75" spans="1:47" s="554" customFormat="1">
      <c r="A75" s="556">
        <v>45</v>
      </c>
      <c r="B75" s="554" t="s">
        <v>224</v>
      </c>
      <c r="E75" s="576">
        <f>'ROO INPUT'!F75-1</f>
        <v>-354707</v>
      </c>
      <c r="F75" s="577">
        <v>806</v>
      </c>
      <c r="G75" s="577">
        <v>0</v>
      </c>
      <c r="H75" s="577">
        <v>0</v>
      </c>
      <c r="I75" s="577">
        <v>0</v>
      </c>
      <c r="J75" s="577">
        <v>0</v>
      </c>
      <c r="K75" s="577">
        <v>0</v>
      </c>
      <c r="L75" s="577">
        <v>0</v>
      </c>
      <c r="M75" s="577">
        <v>0</v>
      </c>
      <c r="N75" s="577">
        <v>0</v>
      </c>
      <c r="O75" s="577">
        <v>0</v>
      </c>
      <c r="P75" s="577">
        <v>0</v>
      </c>
      <c r="Q75" s="577">
        <v>0</v>
      </c>
      <c r="R75" s="577">
        <v>0</v>
      </c>
      <c r="S75" s="576">
        <v>0</v>
      </c>
      <c r="T75" s="576">
        <v>0</v>
      </c>
      <c r="U75" s="577">
        <v>0</v>
      </c>
      <c r="V75" s="577">
        <v>0</v>
      </c>
      <c r="W75" s="576">
        <v>0</v>
      </c>
      <c r="X75" s="576">
        <v>0</v>
      </c>
      <c r="Y75" s="576">
        <v>0</v>
      </c>
      <c r="Z75" s="576">
        <v>0</v>
      </c>
      <c r="AA75" s="576">
        <v>0</v>
      </c>
      <c r="AB75" s="577">
        <v>0</v>
      </c>
      <c r="AC75" s="388">
        <f>SUM(E75:AB75)</f>
        <v>-353901</v>
      </c>
      <c r="AD75" s="576">
        <v>0</v>
      </c>
      <c r="AE75" s="577">
        <v>0</v>
      </c>
      <c r="AF75" s="577">
        <v>0</v>
      </c>
      <c r="AG75" s="577">
        <v>0</v>
      </c>
      <c r="AH75" s="577">
        <v>0</v>
      </c>
      <c r="AI75" s="577">
        <v>0</v>
      </c>
      <c r="AJ75" s="577">
        <v>0</v>
      </c>
      <c r="AK75" s="576">
        <v>0</v>
      </c>
      <c r="AL75" s="577">
        <v>0</v>
      </c>
      <c r="AM75" s="576">
        <f>+'[5]E-CAP SUMMARY'!$D$46</f>
        <v>-1229</v>
      </c>
      <c r="AN75" s="576">
        <v>0</v>
      </c>
      <c r="AO75" s="576">
        <v>0</v>
      </c>
      <c r="AP75" s="576">
        <v>0</v>
      </c>
      <c r="AQ75" s="576">
        <v>0</v>
      </c>
      <c r="AR75" s="608">
        <f>SUM(AC75:AQ75)</f>
        <v>-355130</v>
      </c>
      <c r="AS75" s="576">
        <v>0</v>
      </c>
      <c r="AT75" s="713">
        <f t="shared" ref="AT75" si="139">AR75+AS75</f>
        <v>-355130</v>
      </c>
      <c r="AU75" s="636"/>
    </row>
    <row r="76" spans="1:47" s="554" customFormat="1">
      <c r="A76" s="556">
        <v>46</v>
      </c>
      <c r="C76" s="554" t="s">
        <v>596</v>
      </c>
      <c r="E76" s="575">
        <f>SUM(E73:E75)</f>
        <v>1374878</v>
      </c>
      <c r="F76" s="575">
        <f t="shared" ref="F76:AF76" si="140">SUM(F73:F75)</f>
        <v>806</v>
      </c>
      <c r="G76" s="575">
        <f t="shared" si="140"/>
        <v>0</v>
      </c>
      <c r="H76" s="575">
        <f t="shared" si="140"/>
        <v>0</v>
      </c>
      <c r="I76" s="575">
        <f t="shared" si="140"/>
        <v>0</v>
      </c>
      <c r="J76" s="575">
        <f t="shared" ref="J76" si="141">SUM(J73:J75)</f>
        <v>0</v>
      </c>
      <c r="K76" s="575">
        <f t="shared" si="140"/>
        <v>0</v>
      </c>
      <c r="L76" s="575">
        <f t="shared" si="140"/>
        <v>0</v>
      </c>
      <c r="M76" s="575">
        <f t="shared" si="140"/>
        <v>0</v>
      </c>
      <c r="N76" s="575">
        <f t="shared" si="140"/>
        <v>0</v>
      </c>
      <c r="O76" s="575">
        <f t="shared" si="140"/>
        <v>0</v>
      </c>
      <c r="P76" s="575">
        <f t="shared" si="140"/>
        <v>0</v>
      </c>
      <c r="Q76" s="575">
        <f t="shared" si="140"/>
        <v>0</v>
      </c>
      <c r="R76" s="575">
        <f t="shared" si="140"/>
        <v>0</v>
      </c>
      <c r="S76" s="575">
        <f t="shared" ref="S76" si="142">SUM(S73:S75)</f>
        <v>0</v>
      </c>
      <c r="T76" s="575">
        <f>SUM(T73:T75)</f>
        <v>0</v>
      </c>
      <c r="U76" s="575">
        <f>SUM(U73:U75)</f>
        <v>0</v>
      </c>
      <c r="V76" s="575">
        <f>SUM(V73:V75)</f>
        <v>0</v>
      </c>
      <c r="W76" s="575">
        <f t="shared" ref="W76" si="143">SUM(W73:W75)</f>
        <v>0</v>
      </c>
      <c r="X76" s="575">
        <f t="shared" ref="X76" si="144">SUM(X73:X75)</f>
        <v>0</v>
      </c>
      <c r="Y76" s="575">
        <f>SUM(Y73:Y75)</f>
        <v>0</v>
      </c>
      <c r="Z76" s="575">
        <f t="shared" ref="Z76" si="145">SUM(Z73:Z75)</f>
        <v>0</v>
      </c>
      <c r="AA76" s="575">
        <f>SUM(AA73:AA75)</f>
        <v>0</v>
      </c>
      <c r="AB76" s="575">
        <f>SUM(AB73:AB75)</f>
        <v>0</v>
      </c>
      <c r="AC76" s="407">
        <f t="shared" si="140"/>
        <v>1375684</v>
      </c>
      <c r="AD76" s="575">
        <f>SUM(AD73:AD75)</f>
        <v>0</v>
      </c>
      <c r="AE76" s="575">
        <f>SUM(AE73:AE75)</f>
        <v>0</v>
      </c>
      <c r="AF76" s="575">
        <f t="shared" si="140"/>
        <v>0</v>
      </c>
      <c r="AG76" s="575">
        <f t="shared" ref="AG76" si="146">SUM(AG73:AG75)</f>
        <v>0</v>
      </c>
      <c r="AH76" s="575">
        <f>SUM(AH73:AH75)</f>
        <v>0</v>
      </c>
      <c r="AI76" s="575">
        <f>SUM(AI73:AI75)</f>
        <v>0</v>
      </c>
      <c r="AJ76" s="575">
        <f t="shared" ref="AJ76" si="147">SUM(AJ73:AJ75)</f>
        <v>0</v>
      </c>
      <c r="AK76" s="575">
        <f t="shared" ref="AK76:AR76" si="148">SUM(AK73:AK75)</f>
        <v>0</v>
      </c>
      <c r="AL76" s="575">
        <f t="shared" si="148"/>
        <v>0</v>
      </c>
      <c r="AM76" s="575">
        <f t="shared" si="148"/>
        <v>5565</v>
      </c>
      <c r="AN76" s="575">
        <f t="shared" si="148"/>
        <v>0</v>
      </c>
      <c r="AO76" s="575">
        <f t="shared" ref="AO76" si="149">SUM(AO73:AO75)</f>
        <v>0</v>
      </c>
      <c r="AP76" s="575">
        <f>SUM(AP73:AP75)</f>
        <v>0</v>
      </c>
      <c r="AQ76" s="575">
        <f t="shared" ref="AQ76" si="150">SUM(AQ73:AQ75)</f>
        <v>0</v>
      </c>
      <c r="AR76" s="606">
        <f t="shared" si="148"/>
        <v>1381249</v>
      </c>
      <c r="AS76" s="575">
        <f>SUM(AS73:AS75)</f>
        <v>0</v>
      </c>
      <c r="AT76" s="712">
        <f>SUM(AT73:AT75)</f>
        <v>1381249</v>
      </c>
      <c r="AU76" s="636"/>
    </row>
    <row r="77" spans="1:47" s="554" customFormat="1">
      <c r="A77" s="555">
        <v>47</v>
      </c>
      <c r="B77" s="554" t="s">
        <v>691</v>
      </c>
      <c r="E77" s="575">
        <f>'ROO INPUT'!F77+2</f>
        <v>4568</v>
      </c>
      <c r="F77" s="565">
        <v>0</v>
      </c>
      <c r="G77" s="565">
        <v>0</v>
      </c>
      <c r="H77" s="565">
        <v>0</v>
      </c>
      <c r="I77" s="565">
        <v>0</v>
      </c>
      <c r="J77" s="565">
        <v>0</v>
      </c>
      <c r="K77" s="565">
        <v>0</v>
      </c>
      <c r="L77" s="565">
        <v>0</v>
      </c>
      <c r="M77" s="565">
        <v>0</v>
      </c>
      <c r="N77" s="565">
        <v>0</v>
      </c>
      <c r="O77" s="565">
        <v>0</v>
      </c>
      <c r="P77" s="565">
        <v>0</v>
      </c>
      <c r="Q77" s="565">
        <v>0</v>
      </c>
      <c r="R77" s="565">
        <v>0</v>
      </c>
      <c r="S77" s="566">
        <v>0</v>
      </c>
      <c r="T77" s="566">
        <v>0</v>
      </c>
      <c r="U77" s="565">
        <v>0</v>
      </c>
      <c r="V77" s="565">
        <v>0</v>
      </c>
      <c r="W77" s="575">
        <v>0</v>
      </c>
      <c r="X77" s="575">
        <v>0</v>
      </c>
      <c r="Y77" s="566">
        <v>0</v>
      </c>
      <c r="Z77" s="566">
        <v>0</v>
      </c>
      <c r="AA77" s="566">
        <v>0</v>
      </c>
      <c r="AB77" s="565">
        <v>0</v>
      </c>
      <c r="AC77" s="387">
        <f>SUM(E77:AB77)</f>
        <v>4568</v>
      </c>
      <c r="AD77" s="566">
        <v>0</v>
      </c>
      <c r="AE77" s="565">
        <v>0</v>
      </c>
      <c r="AF77" s="565">
        <v>0</v>
      </c>
      <c r="AG77" s="565">
        <v>0</v>
      </c>
      <c r="AH77" s="565">
        <v>0</v>
      </c>
      <c r="AI77" s="565">
        <v>0</v>
      </c>
      <c r="AJ77" s="565">
        <v>0</v>
      </c>
      <c r="AK77" s="566">
        <v>0</v>
      </c>
      <c r="AL77" s="565">
        <v>-5346</v>
      </c>
      <c r="AM77" s="575">
        <v>0</v>
      </c>
      <c r="AN77" s="575">
        <v>0</v>
      </c>
      <c r="AO77" s="575">
        <v>0</v>
      </c>
      <c r="AP77" s="575">
        <v>0</v>
      </c>
      <c r="AQ77" s="575">
        <v>0</v>
      </c>
      <c r="AR77" s="606">
        <f>SUM(AC77:AQ77)</f>
        <v>-778</v>
      </c>
      <c r="AS77" s="566">
        <v>0</v>
      </c>
      <c r="AT77" s="712">
        <f>AR77+AS77</f>
        <v>-778</v>
      </c>
      <c r="AU77" s="636"/>
    </row>
    <row r="78" spans="1:47" s="554" customFormat="1">
      <c r="A78" s="555">
        <v>48</v>
      </c>
      <c r="B78" s="554" t="s">
        <v>287</v>
      </c>
      <c r="E78" s="576">
        <f>'ROO INPUT'!F78</f>
        <v>65480</v>
      </c>
      <c r="F78" s="577">
        <v>0</v>
      </c>
      <c r="G78" s="577">
        <v>0</v>
      </c>
      <c r="H78" s="577">
        <v>-3006</v>
      </c>
      <c r="I78" s="577">
        <v>0</v>
      </c>
      <c r="J78" s="577">
        <v>0</v>
      </c>
      <c r="K78" s="577">
        <v>0</v>
      </c>
      <c r="L78" s="577">
        <v>0</v>
      </c>
      <c r="M78" s="577">
        <v>0</v>
      </c>
      <c r="N78" s="577">
        <v>0</v>
      </c>
      <c r="O78" s="577">
        <v>0</v>
      </c>
      <c r="P78" s="577">
        <v>0</v>
      </c>
      <c r="Q78" s="577">
        <v>0</v>
      </c>
      <c r="R78" s="577">
        <v>0</v>
      </c>
      <c r="S78" s="576">
        <v>0</v>
      </c>
      <c r="T78" s="576">
        <v>0</v>
      </c>
      <c r="U78" s="577">
        <v>0</v>
      </c>
      <c r="V78" s="577">
        <v>0</v>
      </c>
      <c r="W78" s="576">
        <v>0</v>
      </c>
      <c r="X78" s="576">
        <v>0</v>
      </c>
      <c r="Y78" s="576">
        <v>0</v>
      </c>
      <c r="Z78" s="576">
        <v>0</v>
      </c>
      <c r="AA78" s="576">
        <v>0</v>
      </c>
      <c r="AB78" s="577">
        <v>0</v>
      </c>
      <c r="AC78" s="388">
        <f>SUM(E78:AB78)</f>
        <v>62474</v>
      </c>
      <c r="AD78" s="576">
        <v>0</v>
      </c>
      <c r="AE78" s="577">
        <v>0</v>
      </c>
      <c r="AF78" s="577">
        <v>0</v>
      </c>
      <c r="AG78" s="577">
        <v>0</v>
      </c>
      <c r="AH78" s="577">
        <v>0</v>
      </c>
      <c r="AI78" s="577">
        <v>0</v>
      </c>
      <c r="AJ78" s="577">
        <v>0</v>
      </c>
      <c r="AK78" s="576">
        <v>0</v>
      </c>
      <c r="AL78" s="577">
        <v>0</v>
      </c>
      <c r="AM78" s="576">
        <v>0</v>
      </c>
      <c r="AN78" s="576">
        <v>0</v>
      </c>
      <c r="AO78" s="576">
        <v>0</v>
      </c>
      <c r="AP78" s="576">
        <v>0</v>
      </c>
      <c r="AQ78" s="576">
        <v>0</v>
      </c>
      <c r="AR78" s="608">
        <f>SUM(AC78:AQ78)</f>
        <v>62474</v>
      </c>
      <c r="AS78" s="576">
        <v>0</v>
      </c>
      <c r="AT78" s="713">
        <f t="shared" ref="AT78" si="151">AR78+AS78</f>
        <v>62474</v>
      </c>
      <c r="AU78" s="636"/>
    </row>
    <row r="79" spans="1:47" s="554" customFormat="1">
      <c r="A79" s="556"/>
      <c r="E79" s="575"/>
      <c r="F79" s="565"/>
      <c r="G79" s="565"/>
      <c r="H79" s="565"/>
      <c r="I79" s="565"/>
      <c r="J79" s="565"/>
      <c r="K79" s="565"/>
      <c r="L79" s="565"/>
      <c r="M79" s="565"/>
      <c r="N79" s="565"/>
      <c r="O79" s="565"/>
      <c r="P79" s="565"/>
      <c r="Q79" s="565"/>
      <c r="R79" s="565"/>
      <c r="S79" s="566"/>
      <c r="T79" s="566"/>
      <c r="U79" s="565"/>
      <c r="V79" s="565"/>
      <c r="W79" s="575"/>
      <c r="X79" s="575"/>
      <c r="Y79" s="566"/>
      <c r="Z79" s="566"/>
      <c r="AA79" s="566"/>
      <c r="AB79" s="565"/>
      <c r="AC79" s="564"/>
      <c r="AD79" s="566"/>
      <c r="AE79" s="565"/>
      <c r="AF79" s="565"/>
      <c r="AG79" s="565"/>
      <c r="AH79" s="565"/>
      <c r="AI79" s="565"/>
      <c r="AJ79" s="565"/>
      <c r="AK79" s="566"/>
      <c r="AL79" s="565"/>
      <c r="AM79" s="575"/>
      <c r="AN79" s="575"/>
      <c r="AO79" s="575"/>
      <c r="AP79" s="575"/>
      <c r="AQ79" s="575"/>
      <c r="AR79" s="606"/>
      <c r="AS79" s="566"/>
      <c r="AT79" s="712"/>
      <c r="AU79" s="636"/>
    </row>
    <row r="80" spans="1:47" s="553" customFormat="1" ht="13.5" customHeight="1" thickBot="1">
      <c r="A80" s="552">
        <v>49</v>
      </c>
      <c r="B80" s="553" t="s">
        <v>225</v>
      </c>
      <c r="E80" s="617">
        <f t="shared" ref="E80:AM80" si="152">SUM(E76:E78)</f>
        <v>1444926</v>
      </c>
      <c r="F80" s="588">
        <f t="shared" si="152"/>
        <v>806</v>
      </c>
      <c r="G80" s="588">
        <f t="shared" si="152"/>
        <v>0</v>
      </c>
      <c r="H80" s="588">
        <f t="shared" si="152"/>
        <v>-3006</v>
      </c>
      <c r="I80" s="588">
        <f t="shared" si="152"/>
        <v>0</v>
      </c>
      <c r="J80" s="588">
        <f t="shared" si="152"/>
        <v>0</v>
      </c>
      <c r="K80" s="588">
        <f t="shared" si="152"/>
        <v>0</v>
      </c>
      <c r="L80" s="588">
        <f t="shared" si="152"/>
        <v>0</v>
      </c>
      <c r="M80" s="588">
        <f t="shared" si="152"/>
        <v>0</v>
      </c>
      <c r="N80" s="588">
        <f t="shared" si="152"/>
        <v>0</v>
      </c>
      <c r="O80" s="588">
        <f t="shared" si="152"/>
        <v>0</v>
      </c>
      <c r="P80" s="588">
        <f t="shared" si="152"/>
        <v>0</v>
      </c>
      <c r="Q80" s="588">
        <f t="shared" si="152"/>
        <v>0</v>
      </c>
      <c r="R80" s="588">
        <f t="shared" si="152"/>
        <v>0</v>
      </c>
      <c r="S80" s="588">
        <f>SUM(S76:S78)</f>
        <v>0</v>
      </c>
      <c r="T80" s="588">
        <f>SUM(T76:T78)</f>
        <v>0</v>
      </c>
      <c r="U80" s="588">
        <f t="shared" si="152"/>
        <v>0</v>
      </c>
      <c r="V80" s="588">
        <f t="shared" si="152"/>
        <v>0</v>
      </c>
      <c r="W80" s="588">
        <f t="shared" si="152"/>
        <v>0</v>
      </c>
      <c r="X80" s="588">
        <f t="shared" ref="X80" si="153">SUM(X76:X78)</f>
        <v>0</v>
      </c>
      <c r="Y80" s="588">
        <f>SUM(Y76:Y78)</f>
        <v>0</v>
      </c>
      <c r="Z80" s="588">
        <f t="shared" ref="Z80" si="154">SUM(Z76:Z78)</f>
        <v>0</v>
      </c>
      <c r="AA80" s="588">
        <f t="shared" si="152"/>
        <v>0</v>
      </c>
      <c r="AB80" s="588">
        <f t="shared" si="152"/>
        <v>0</v>
      </c>
      <c r="AC80" s="403">
        <f t="shared" si="152"/>
        <v>1442726</v>
      </c>
      <c r="AD80" s="588">
        <f>SUM(AD76:AD78)</f>
        <v>0</v>
      </c>
      <c r="AE80" s="588">
        <f>SUM(AE76:AE78)</f>
        <v>0</v>
      </c>
      <c r="AF80" s="588">
        <f t="shared" si="152"/>
        <v>0</v>
      </c>
      <c r="AG80" s="588">
        <f t="shared" ref="AG80" si="155">SUM(AG76:AG78)</f>
        <v>0</v>
      </c>
      <c r="AH80" s="588">
        <f>SUM(AH76:AH78)</f>
        <v>0</v>
      </c>
      <c r="AI80" s="588">
        <f>SUM(AI76:AI78)</f>
        <v>0</v>
      </c>
      <c r="AJ80" s="588">
        <f>SUM(AJ76:AJ78)</f>
        <v>0</v>
      </c>
      <c r="AK80" s="588">
        <f t="shared" ref="AK80" si="156">SUM(AK76:AK78)</f>
        <v>0</v>
      </c>
      <c r="AL80" s="617">
        <f>SUM(AL76:AL78)</f>
        <v>-5346</v>
      </c>
      <c r="AM80" s="588">
        <f t="shared" si="152"/>
        <v>5565</v>
      </c>
      <c r="AN80" s="588">
        <f t="shared" ref="AN80:AT80" si="157">SUM(AN76:AN78)</f>
        <v>0</v>
      </c>
      <c r="AO80" s="588">
        <f t="shared" si="157"/>
        <v>0</v>
      </c>
      <c r="AP80" s="588">
        <f>SUM(AP76:AP78)</f>
        <v>0</v>
      </c>
      <c r="AQ80" s="588">
        <f t="shared" ref="AQ80" si="158">SUM(AQ76:AQ78)</f>
        <v>0</v>
      </c>
      <c r="AR80" s="610">
        <f t="shared" si="157"/>
        <v>1442945</v>
      </c>
      <c r="AS80" s="588">
        <f t="shared" ref="AS80" si="159">SUM(AS76:AS78)</f>
        <v>0</v>
      </c>
      <c r="AT80" s="764">
        <f t="shared" si="157"/>
        <v>1442945</v>
      </c>
      <c r="AU80" s="636"/>
    </row>
    <row r="81" spans="1:47" ht="18" customHeight="1" thickTop="1">
      <c r="A81" s="552">
        <v>50</v>
      </c>
      <c r="B81" s="539" t="s">
        <v>692</v>
      </c>
      <c r="E81" s="558">
        <f>ROUND(E56/E80,4)</f>
        <v>7.6499999999999999E-2</v>
      </c>
      <c r="F81" s="618"/>
      <c r="G81" s="618"/>
      <c r="H81" s="618"/>
      <c r="I81" s="618"/>
      <c r="J81" s="618"/>
      <c r="K81" s="618"/>
      <c r="L81" s="618"/>
      <c r="M81" s="618"/>
      <c r="N81" s="618"/>
      <c r="O81" s="618"/>
      <c r="P81" s="618"/>
      <c r="Q81" s="618"/>
      <c r="W81" s="628"/>
      <c r="X81" s="628"/>
      <c r="AC81" s="503" t="s">
        <v>685</v>
      </c>
      <c r="AN81" s="628"/>
      <c r="AO81" s="628"/>
      <c r="AP81" s="628"/>
      <c r="AQ81" s="628"/>
      <c r="AR81" s="611"/>
      <c r="AT81" s="765"/>
      <c r="AU81" s="711"/>
    </row>
    <row r="82" spans="1:47" ht="12.75" thickBot="1">
      <c r="A82" s="540">
        <v>51</v>
      </c>
      <c r="B82" s="539" t="s">
        <v>686</v>
      </c>
      <c r="E82" s="578">
        <f>E90</f>
        <v>-13329.134519294876</v>
      </c>
      <c r="F82" s="578">
        <f t="shared" ref="F82:AT82" si="160">F90</f>
        <v>79.921667772552397</v>
      </c>
      <c r="G82" s="578">
        <f t="shared" si="160"/>
        <v>12.592567479210157</v>
      </c>
      <c r="H82" s="578">
        <f t="shared" si="160"/>
        <v>-298.07014060085925</v>
      </c>
      <c r="I82" s="578">
        <f t="shared" si="160"/>
        <v>154.25895162032441</v>
      </c>
      <c r="J82" s="578">
        <f t="shared" ref="J82" si="161">J90</f>
        <v>-262.34515581687822</v>
      </c>
      <c r="K82" s="578">
        <f t="shared" si="160"/>
        <v>1386.2318033363847</v>
      </c>
      <c r="L82" s="578">
        <f t="shared" si="160"/>
        <v>7.3456643628725917</v>
      </c>
      <c r="M82" s="578">
        <f t="shared" si="160"/>
        <v>158.45647411339448</v>
      </c>
      <c r="N82" s="578">
        <f t="shared" si="160"/>
        <v>111.39578923916676</v>
      </c>
      <c r="O82" s="578">
        <f t="shared" si="160"/>
        <v>-32.530799321292896</v>
      </c>
      <c r="P82" s="578">
        <f t="shared" si="160"/>
        <v>-65.061598642585793</v>
      </c>
      <c r="Q82" s="578">
        <f t="shared" si="160"/>
        <v>-98.64177858714622</v>
      </c>
      <c r="R82" s="578">
        <f t="shared" si="160"/>
        <v>-1331.664010926474</v>
      </c>
      <c r="S82" s="578">
        <f t="shared" ref="S82" si="162">S90</f>
        <v>0</v>
      </c>
      <c r="T82" s="578">
        <f>T90</f>
        <v>1564.6265092918618</v>
      </c>
      <c r="U82" s="578">
        <f>U90</f>
        <v>-7080.8975594635567</v>
      </c>
      <c r="V82" s="578">
        <f>V90</f>
        <v>-4.1975224930700517</v>
      </c>
      <c r="W82" s="578">
        <f t="shared" ref="W82:X82" si="163">W90</f>
        <v>-656.91227016546304</v>
      </c>
      <c r="X82" s="578">
        <f t="shared" si="163"/>
        <v>-1231.9728517160602</v>
      </c>
      <c r="Y82" s="578">
        <f>Y90</f>
        <v>326.11520907698093</v>
      </c>
      <c r="Z82" s="578">
        <f>Z90</f>
        <v>12424.666579487353</v>
      </c>
      <c r="AA82" s="578">
        <f>AA90</f>
        <v>0</v>
      </c>
      <c r="AB82" s="578">
        <f>AB90</f>
        <v>0</v>
      </c>
      <c r="AC82" s="578">
        <f t="shared" si="160"/>
        <v>-8165.8169912481444</v>
      </c>
      <c r="AD82" s="578">
        <f>AD90</f>
        <v>105.98744295001882</v>
      </c>
      <c r="AE82" s="578">
        <f>AE90</f>
        <v>1609.9009869021156</v>
      </c>
      <c r="AF82" s="578">
        <f t="shared" si="160"/>
        <v>-34.62956056782793</v>
      </c>
      <c r="AG82" s="578">
        <f t="shared" si="160"/>
        <v>-377.77702437630467</v>
      </c>
      <c r="AH82" s="578">
        <f>AH90</f>
        <v>124.87629416883404</v>
      </c>
      <c r="AI82" s="578">
        <f>AI90</f>
        <v>2579.377571991547</v>
      </c>
      <c r="AJ82" s="578">
        <f t="shared" ref="AJ82" si="164">AJ90</f>
        <v>728.27015254765399</v>
      </c>
      <c r="AK82" s="578">
        <f t="shared" ref="AK82:AO82" si="165">AK90</f>
        <v>5304.6190506172779</v>
      </c>
      <c r="AL82" s="578">
        <f>AL90</f>
        <v>-2252.1343917547742</v>
      </c>
      <c r="AM82" s="578">
        <f t="shared" si="165"/>
        <v>687.18657826038532</v>
      </c>
      <c r="AN82" s="578">
        <f t="shared" si="165"/>
        <v>-1035.7386751650351</v>
      </c>
      <c r="AO82" s="578">
        <f t="shared" si="165"/>
        <v>0</v>
      </c>
      <c r="AP82" s="578">
        <f>AP90</f>
        <v>364.135076273827</v>
      </c>
      <c r="AQ82" s="578">
        <f t="shared" ref="AQ82" si="166">AQ90</f>
        <v>558.27049157831686</v>
      </c>
      <c r="AR82" s="754">
        <f>AR90</f>
        <v>196.52700217788777</v>
      </c>
      <c r="AS82" s="757">
        <f>AS90</f>
        <v>0</v>
      </c>
      <c r="AT82" s="766">
        <f t="shared" si="160"/>
        <v>196.52700217788777</v>
      </c>
      <c r="AU82" s="640"/>
    </row>
    <row r="83" spans="1:47" ht="26.25" customHeight="1">
      <c r="B83" s="602"/>
      <c r="E83" s="539"/>
      <c r="W83" s="565"/>
      <c r="X83" s="565"/>
      <c r="AO83" s="565"/>
      <c r="AP83" s="565"/>
      <c r="AQ83" s="565"/>
      <c r="AR83" s="755" t="s">
        <v>780</v>
      </c>
      <c r="AS83" s="756" t="s">
        <v>769</v>
      </c>
      <c r="AT83" s="767" t="s">
        <v>770</v>
      </c>
      <c r="AU83" s="761"/>
    </row>
    <row r="84" spans="1:47" ht="57.75" customHeight="1">
      <c r="E84" s="558"/>
      <c r="W84" s="612"/>
      <c r="X84" s="612"/>
      <c r="AM84" s="612"/>
      <c r="AN84" s="612"/>
      <c r="AO84" s="612"/>
      <c r="AP84" s="612"/>
      <c r="AQ84" s="612"/>
      <c r="AR84" s="773">
        <f>AR82/'Exh. No. BGM-3 2'!$E$26</f>
        <v>3.9933636403477056E-4</v>
      </c>
      <c r="AS84" s="773">
        <f>AS82/'Exh. No. BGM-3 2'!$E$26</f>
        <v>0</v>
      </c>
      <c r="AT84" s="773">
        <f>AT82/'Exh. No. BGM-3 2'!$E$26</f>
        <v>3.9933636403477056E-4</v>
      </c>
      <c r="AU84" s="612"/>
    </row>
    <row r="85" spans="1:47">
      <c r="E85" s="558">
        <f>'Exh. No. BGM-3 2'!E14</f>
        <v>7.0800000000000002E-2</v>
      </c>
      <c r="AR85" s="564"/>
      <c r="AT85" s="785" t="e">
        <f>AT84-#REF!</f>
        <v>#REF!</v>
      </c>
    </row>
    <row r="86" spans="1:47">
      <c r="E86" s="558"/>
      <c r="AM86" s="633"/>
      <c r="AR86" s="564"/>
      <c r="AT86" s="564"/>
    </row>
    <row r="87" spans="1:47">
      <c r="D87" s="539" t="s">
        <v>175</v>
      </c>
      <c r="E87" s="619">
        <f>'Exh. No. BGM-3 3'!E24</f>
        <v>0.61941299999999999</v>
      </c>
    </row>
    <row r="89" spans="1:47">
      <c r="D89" s="539" t="s">
        <v>242</v>
      </c>
      <c r="E89" s="583">
        <f t="shared" ref="E89:AG89" si="167">E80*$E$85-E56</f>
        <v>-8256.2391999999963</v>
      </c>
      <c r="F89" s="583">
        <f t="shared" si="167"/>
        <v>49.504519999999999</v>
      </c>
      <c r="G89" s="583">
        <f t="shared" si="167"/>
        <v>7.8000000000000007</v>
      </c>
      <c r="H89" s="583">
        <f t="shared" si="167"/>
        <v>-184.62852000000001</v>
      </c>
      <c r="I89" s="583">
        <f t="shared" si="167"/>
        <v>95.550000000000011</v>
      </c>
      <c r="J89" s="583">
        <f t="shared" si="167"/>
        <v>-162.5</v>
      </c>
      <c r="K89" s="583">
        <f t="shared" si="167"/>
        <v>858.65000000000009</v>
      </c>
      <c r="L89" s="583">
        <f t="shared" si="167"/>
        <v>4.5500000000000007</v>
      </c>
      <c r="M89" s="583">
        <f t="shared" si="167"/>
        <v>98.15</v>
      </c>
      <c r="N89" s="583">
        <f t="shared" si="167"/>
        <v>69</v>
      </c>
      <c r="O89" s="583">
        <f t="shared" si="167"/>
        <v>-20.149999999999999</v>
      </c>
      <c r="P89" s="583">
        <f t="shared" si="167"/>
        <v>-40.299999999999997</v>
      </c>
      <c r="Q89" s="583">
        <f t="shared" si="167"/>
        <v>-61.1</v>
      </c>
      <c r="R89" s="583">
        <f t="shared" si="167"/>
        <v>-824.85</v>
      </c>
      <c r="S89" s="583">
        <f t="shared" si="167"/>
        <v>0</v>
      </c>
      <c r="T89" s="583">
        <f t="shared" si="167"/>
        <v>969.15</v>
      </c>
      <c r="U89" s="583">
        <f t="shared" si="167"/>
        <v>-4386</v>
      </c>
      <c r="V89" s="583">
        <f t="shared" si="167"/>
        <v>-2.6</v>
      </c>
      <c r="W89" s="583">
        <f t="shared" si="167"/>
        <v>-406.9</v>
      </c>
      <c r="X89" s="583">
        <f t="shared" ref="X89" si="168">X80*$E$85-X56</f>
        <v>-763.1</v>
      </c>
      <c r="Y89" s="583">
        <f>Y80*$E$85-Y56</f>
        <v>202</v>
      </c>
      <c r="Z89" s="583">
        <f t="shared" ref="Z89" si="169">Z80*$E$85-Z56</f>
        <v>7696</v>
      </c>
      <c r="AA89" s="583">
        <f t="shared" si="167"/>
        <v>0</v>
      </c>
      <c r="AB89" s="583">
        <f t="shared" si="167"/>
        <v>0</v>
      </c>
      <c r="AC89" s="583">
        <f t="shared" si="167"/>
        <v>-5058.0131999999867</v>
      </c>
      <c r="AD89" s="583">
        <f>AD80*$E$85-AD56</f>
        <v>65.650000000000006</v>
      </c>
      <c r="AE89" s="583">
        <f>AE80*$E$85-AE56</f>
        <v>997.19360000000017</v>
      </c>
      <c r="AF89" s="583">
        <f t="shared" si="167"/>
        <v>-21.450000000000003</v>
      </c>
      <c r="AG89" s="583">
        <f t="shared" si="167"/>
        <v>-234</v>
      </c>
      <c r="AH89" s="583">
        <f>AH80*$E$85-AH56</f>
        <v>77.349999999999994</v>
      </c>
      <c r="AI89" s="583">
        <f>AI80*$E$85-AI56</f>
        <v>1597.7</v>
      </c>
      <c r="AJ89" s="583">
        <f t="shared" ref="AJ89" si="170">AJ80*$E$85-AJ56</f>
        <v>451.1</v>
      </c>
      <c r="AK89" s="583">
        <f t="shared" ref="AK89:AO89" si="171">AK80*$E$85-AK56</f>
        <v>3285.75</v>
      </c>
      <c r="AL89" s="583">
        <f>AL80*$E$85-AL56</f>
        <v>-1395.0013200000001</v>
      </c>
      <c r="AM89" s="583">
        <f t="shared" si="171"/>
        <v>425.65230000000003</v>
      </c>
      <c r="AN89" s="583">
        <f t="shared" si="171"/>
        <v>-641.54999999999995</v>
      </c>
      <c r="AO89" s="583">
        <f t="shared" si="171"/>
        <v>0</v>
      </c>
      <c r="AP89" s="583">
        <f>AP80*$E$85-AP56</f>
        <v>225.55</v>
      </c>
      <c r="AQ89" s="583">
        <f t="shared" ref="AQ89" si="172">AQ80*$E$85-AQ56</f>
        <v>345.8</v>
      </c>
      <c r="AR89" s="584">
        <f t="shared" ref="AR89" si="173">AR80*$E$85-AR56</f>
        <v>121.731380000012</v>
      </c>
      <c r="AS89" s="583">
        <f>AS80*$E$85-AS56</f>
        <v>0</v>
      </c>
      <c r="AT89" s="584">
        <f>AT80*$E$85-AT56</f>
        <v>121.731380000012</v>
      </c>
    </row>
    <row r="90" spans="1:47">
      <c r="C90" s="599"/>
      <c r="D90" s="599" t="s">
        <v>139</v>
      </c>
      <c r="E90" s="600">
        <f t="shared" ref="E90:AG90" si="174">E89/$E$87</f>
        <v>-13329.134519294876</v>
      </c>
      <c r="F90" s="600">
        <f t="shared" si="174"/>
        <v>79.921667772552397</v>
      </c>
      <c r="G90" s="600">
        <f t="shared" si="174"/>
        <v>12.592567479210157</v>
      </c>
      <c r="H90" s="600">
        <f t="shared" si="174"/>
        <v>-298.07014060085925</v>
      </c>
      <c r="I90" s="600">
        <f t="shared" si="174"/>
        <v>154.25895162032441</v>
      </c>
      <c r="J90" s="600">
        <f t="shared" ref="J90" si="175">J89/$E$87</f>
        <v>-262.34515581687822</v>
      </c>
      <c r="K90" s="600">
        <f t="shared" si="174"/>
        <v>1386.2318033363847</v>
      </c>
      <c r="L90" s="600">
        <f t="shared" si="174"/>
        <v>7.3456643628725917</v>
      </c>
      <c r="M90" s="600">
        <f t="shared" si="174"/>
        <v>158.45647411339448</v>
      </c>
      <c r="N90" s="600">
        <f t="shared" si="174"/>
        <v>111.39578923916676</v>
      </c>
      <c r="O90" s="600">
        <f t="shared" si="174"/>
        <v>-32.530799321292896</v>
      </c>
      <c r="P90" s="600">
        <f t="shared" si="174"/>
        <v>-65.061598642585793</v>
      </c>
      <c r="Q90" s="600">
        <f t="shared" si="174"/>
        <v>-98.64177858714622</v>
      </c>
      <c r="R90" s="600">
        <f t="shared" si="174"/>
        <v>-1331.664010926474</v>
      </c>
      <c r="S90" s="576">
        <f t="shared" ref="S90" si="176">S89/$E$87</f>
        <v>0</v>
      </c>
      <c r="T90" s="576">
        <f>T89/$E$87</f>
        <v>1564.6265092918618</v>
      </c>
      <c r="U90" s="600">
        <f>U89/$E$87</f>
        <v>-7080.8975594635567</v>
      </c>
      <c r="V90" s="600">
        <f>V89/$E$87</f>
        <v>-4.1975224930700517</v>
      </c>
      <c r="W90" s="600">
        <f t="shared" ref="W90" si="177">W89/$E$87</f>
        <v>-656.91227016546304</v>
      </c>
      <c r="X90" s="600">
        <f t="shared" ref="X90" si="178">X89/$E$87</f>
        <v>-1231.9728517160602</v>
      </c>
      <c r="Y90" s="600">
        <f>Y89/$E$87</f>
        <v>326.11520907698093</v>
      </c>
      <c r="Z90" s="600">
        <f t="shared" ref="Z90" si="179">Z89/$E$87</f>
        <v>12424.666579487353</v>
      </c>
      <c r="AA90" s="600">
        <f>AA89/$E$87</f>
        <v>0</v>
      </c>
      <c r="AB90" s="600">
        <f>AB89/$E$87</f>
        <v>0</v>
      </c>
      <c r="AC90" s="600">
        <f t="shared" si="174"/>
        <v>-8165.8169912481444</v>
      </c>
      <c r="AD90" s="576">
        <f>AD89/$E$87</f>
        <v>105.98744295001882</v>
      </c>
      <c r="AE90" s="600">
        <f>AE89/$E$87</f>
        <v>1609.9009869021156</v>
      </c>
      <c r="AF90" s="600">
        <f t="shared" si="174"/>
        <v>-34.62956056782793</v>
      </c>
      <c r="AG90" s="600">
        <f t="shared" si="174"/>
        <v>-377.77702437630467</v>
      </c>
      <c r="AH90" s="600">
        <f>AH89/$E$87</f>
        <v>124.87629416883404</v>
      </c>
      <c r="AI90" s="600">
        <f>AI89/$E$87</f>
        <v>2579.377571991547</v>
      </c>
      <c r="AJ90" s="600">
        <f t="shared" ref="AJ90" si="180">AJ89/$E$87</f>
        <v>728.27015254765399</v>
      </c>
      <c r="AK90" s="600">
        <f t="shared" ref="AK90:AO90" si="181">AK89/$E$87</f>
        <v>5304.6190506172779</v>
      </c>
      <c r="AL90" s="600">
        <f>AL89/$E$87</f>
        <v>-2252.1343917547742</v>
      </c>
      <c r="AM90" s="600">
        <f t="shared" si="181"/>
        <v>687.18657826038532</v>
      </c>
      <c r="AN90" s="600">
        <f t="shared" si="181"/>
        <v>-1035.7386751650351</v>
      </c>
      <c r="AO90" s="600">
        <f t="shared" si="181"/>
        <v>0</v>
      </c>
      <c r="AP90" s="600">
        <f>AP89/$E$87</f>
        <v>364.135076273827</v>
      </c>
      <c r="AQ90" s="600">
        <f t="shared" ref="AQ90" si="182">AQ89/$E$87</f>
        <v>558.27049157831686</v>
      </c>
      <c r="AR90" s="601">
        <f t="shared" ref="AR90" si="183">AR89/$E$87</f>
        <v>196.52700217788777</v>
      </c>
      <c r="AS90" s="600">
        <f>AS89/$E$87</f>
        <v>0</v>
      </c>
      <c r="AT90" s="601">
        <f>AT89/$E$87</f>
        <v>196.52700217788777</v>
      </c>
    </row>
    <row r="91" spans="1:47" s="560" customFormat="1" ht="11.25" customHeight="1">
      <c r="A91" s="563"/>
      <c r="E91" s="575"/>
      <c r="F91" s="579"/>
      <c r="G91" s="579"/>
      <c r="H91" s="579"/>
      <c r="I91" s="579"/>
      <c r="J91" s="579"/>
      <c r="K91" s="579"/>
      <c r="L91" s="579"/>
      <c r="M91" s="579"/>
      <c r="N91" s="579"/>
      <c r="O91" s="579"/>
      <c r="P91" s="579"/>
      <c r="Q91" s="579"/>
      <c r="R91" s="579"/>
      <c r="S91" s="575"/>
      <c r="T91" s="575"/>
      <c r="U91" s="579"/>
      <c r="V91" s="579"/>
      <c r="W91" s="575"/>
      <c r="X91" s="575"/>
      <c r="Y91" s="575"/>
      <c r="Z91" s="575"/>
      <c r="AA91" s="575"/>
      <c r="AB91" s="579"/>
      <c r="AC91" s="586"/>
      <c r="AD91" s="575"/>
      <c r="AE91" s="579"/>
      <c r="AF91" s="579"/>
      <c r="AG91" s="579"/>
      <c r="AH91" s="579"/>
      <c r="AI91" s="579"/>
      <c r="AJ91" s="579"/>
      <c r="AK91" s="575"/>
      <c r="AL91" s="579"/>
      <c r="AM91" s="575"/>
      <c r="AN91" s="575"/>
      <c r="AO91" s="575"/>
      <c r="AP91" s="575"/>
      <c r="AQ91" s="575"/>
      <c r="AR91" s="580"/>
      <c r="AS91" s="575"/>
      <c r="AT91" s="580"/>
      <c r="AU91" s="636"/>
    </row>
    <row r="92" spans="1:47" s="560" customFormat="1">
      <c r="A92" s="563"/>
      <c r="E92" s="620"/>
      <c r="F92" s="579"/>
      <c r="G92" s="579"/>
      <c r="H92" s="579"/>
      <c r="I92" s="579"/>
      <c r="J92" s="579"/>
      <c r="K92" s="579"/>
      <c r="L92" s="579"/>
      <c r="M92" s="579"/>
      <c r="N92" s="579"/>
      <c r="O92" s="579"/>
      <c r="P92" s="579"/>
      <c r="Q92" s="579"/>
      <c r="R92" s="579"/>
      <c r="S92" s="575"/>
      <c r="T92" s="575"/>
      <c r="U92" s="579"/>
      <c r="V92" s="579"/>
      <c r="W92" s="575"/>
      <c r="X92" s="575"/>
      <c r="Y92" s="575"/>
      <c r="Z92" s="575"/>
      <c r="AA92" s="575"/>
      <c r="AB92" s="579"/>
      <c r="AC92" s="768"/>
      <c r="AD92" s="575"/>
      <c r="AE92" s="579"/>
      <c r="AF92" s="579"/>
      <c r="AG92" s="579"/>
      <c r="AH92" s="579"/>
      <c r="AI92" s="579"/>
      <c r="AJ92" s="579"/>
      <c r="AK92" s="575"/>
      <c r="AL92" s="579"/>
      <c r="AM92" s="575"/>
      <c r="AN92" s="575"/>
      <c r="AO92" s="575"/>
      <c r="AP92" s="575"/>
      <c r="AQ92" s="575"/>
      <c r="AR92" s="580"/>
      <c r="AS92" s="575"/>
      <c r="AT92" s="580"/>
      <c r="AU92" s="636"/>
    </row>
    <row r="93" spans="1:47" s="560" customFormat="1">
      <c r="A93" s="563"/>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c r="AO93" s="575"/>
      <c r="AP93" s="575"/>
      <c r="AQ93" s="575"/>
      <c r="AR93" s="575"/>
      <c r="AS93" s="575"/>
      <c r="AT93" s="575"/>
      <c r="AU93" s="575"/>
    </row>
    <row r="94" spans="1:47" s="784" customFormat="1">
      <c r="A94" s="783"/>
      <c r="E94" s="575"/>
      <c r="F94" s="575"/>
      <c r="G94" s="575"/>
      <c r="H94" s="575"/>
      <c r="I94" s="575"/>
      <c r="J94" s="575"/>
      <c r="K94" s="575"/>
      <c r="L94" s="575"/>
      <c r="M94" s="575"/>
      <c r="N94" s="575"/>
      <c r="O94" s="575"/>
      <c r="P94" s="575"/>
      <c r="Q94" s="575"/>
      <c r="R94" s="575"/>
      <c r="S94" s="575"/>
      <c r="T94" s="575"/>
      <c r="U94" s="575"/>
      <c r="V94" s="575"/>
      <c r="W94" s="575"/>
      <c r="X94" s="575"/>
      <c r="Y94" s="575"/>
      <c r="Z94" s="768"/>
      <c r="AA94" s="575"/>
      <c r="AB94" s="575"/>
      <c r="AC94" s="575"/>
      <c r="AD94" s="575"/>
      <c r="AE94" s="768"/>
      <c r="AF94" s="575"/>
      <c r="AG94" s="768"/>
      <c r="AH94" s="575"/>
      <c r="AI94" s="768"/>
      <c r="AJ94" s="575"/>
      <c r="AK94" s="575"/>
      <c r="AL94" s="575"/>
      <c r="AM94" s="575"/>
      <c r="AN94" s="575"/>
      <c r="AO94" s="575"/>
      <c r="AP94" s="575"/>
      <c r="AQ94" s="768"/>
      <c r="AR94" s="575"/>
      <c r="AS94" s="768"/>
      <c r="AT94" s="575"/>
      <c r="AU94" s="575"/>
    </row>
    <row r="95" spans="1:47" s="560" customFormat="1">
      <c r="A95" s="563"/>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5"/>
      <c r="AN95" s="575"/>
      <c r="AO95" s="575"/>
      <c r="AP95" s="575"/>
      <c r="AQ95" s="575"/>
      <c r="AR95" s="575"/>
      <c r="AS95" s="575"/>
      <c r="AT95" s="575"/>
      <c r="AU95" s="575"/>
    </row>
    <row r="96" spans="1:47" s="560" customFormat="1">
      <c r="A96" s="563"/>
      <c r="E96" s="575"/>
      <c r="F96" s="579"/>
      <c r="G96" s="579"/>
      <c r="H96" s="579"/>
      <c r="I96" s="579"/>
      <c r="J96" s="579"/>
      <c r="K96" s="579"/>
      <c r="L96" s="579"/>
      <c r="M96" s="579"/>
      <c r="N96" s="579"/>
      <c r="O96" s="579"/>
      <c r="P96" s="579"/>
      <c r="Q96" s="579"/>
      <c r="R96" s="579"/>
      <c r="S96" s="575"/>
      <c r="T96" s="575"/>
      <c r="U96" s="579"/>
      <c r="V96" s="579"/>
      <c r="W96" s="575"/>
      <c r="X96" s="575"/>
      <c r="Y96" s="575"/>
      <c r="Z96" s="575"/>
      <c r="AA96" s="575"/>
      <c r="AB96" s="579"/>
      <c r="AC96" s="636"/>
      <c r="AD96" s="575"/>
      <c r="AE96" s="579"/>
      <c r="AF96" s="579"/>
      <c r="AG96" s="579"/>
      <c r="AH96" s="579"/>
      <c r="AI96" s="579"/>
      <c r="AJ96" s="579"/>
      <c r="AK96" s="575"/>
      <c r="AL96" s="579"/>
      <c r="AM96" s="575"/>
      <c r="AN96" s="575"/>
      <c r="AO96" s="575"/>
      <c r="AP96" s="575"/>
      <c r="AQ96" s="575"/>
      <c r="AR96" s="580"/>
      <c r="AS96" s="575"/>
      <c r="AT96" s="580"/>
      <c r="AU96" s="636"/>
    </row>
    <row r="97" spans="1:47" s="560" customFormat="1">
      <c r="A97" s="563"/>
      <c r="E97" s="575"/>
      <c r="F97" s="579"/>
      <c r="G97" s="579"/>
      <c r="H97" s="579"/>
      <c r="I97" s="579"/>
      <c r="J97" s="579"/>
      <c r="K97" s="579"/>
      <c r="L97" s="579"/>
      <c r="M97" s="579"/>
      <c r="N97" s="579"/>
      <c r="O97" s="579"/>
      <c r="P97" s="579"/>
      <c r="Q97" s="579"/>
      <c r="R97" s="579"/>
      <c r="S97" s="575"/>
      <c r="T97" s="575"/>
      <c r="U97" s="579"/>
      <c r="V97" s="579"/>
      <c r="W97" s="575"/>
      <c r="X97" s="575"/>
      <c r="Y97" s="575"/>
      <c r="Z97" s="575"/>
      <c r="AA97" s="575"/>
      <c r="AB97" s="579"/>
      <c r="AC97" s="636"/>
      <c r="AD97" s="575"/>
      <c r="AE97" s="579"/>
      <c r="AF97" s="579"/>
      <c r="AG97" s="579"/>
      <c r="AH97" s="579"/>
      <c r="AI97" s="579"/>
      <c r="AJ97" s="579"/>
      <c r="AK97" s="575"/>
      <c r="AL97" s="579"/>
      <c r="AM97" s="575"/>
      <c r="AN97" s="575"/>
      <c r="AO97" s="575"/>
      <c r="AP97" s="575"/>
      <c r="AQ97" s="575"/>
      <c r="AR97" s="580"/>
      <c r="AS97" s="575"/>
      <c r="AT97" s="580"/>
      <c r="AU97" s="636"/>
    </row>
    <row r="101" spans="1:47">
      <c r="AM101" s="634"/>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D1:E1"/>
    <mergeCell ref="Z3:Z6"/>
  </mergeCells>
  <phoneticPr fontId="0" type="noConversion"/>
  <hyperlinks>
    <hyperlink ref="I10" location="BandO!A1" display="t"/>
  </hyperlinks>
  <pageMargins left="0.7" right="0.51" top="0.75" bottom="0.5" header="0.5" footer="0.5"/>
  <pageSetup scale="65" firstPageNumber="4" fitToWidth="7" orientation="portrait" r:id="rId3"/>
  <headerFooter scaleWithDoc="0" alignWithMargins="0"/>
  <colBreaks count="5" manualBreakCount="5">
    <brk id="12" max="83" man="1"/>
    <brk id="20" max="83" man="1"/>
    <brk id="29" max="83" man="1"/>
    <brk id="37" max="83" man="1"/>
    <brk id="44" max="83" man="1"/>
  </colBreak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2.75"/>
  <cols>
    <col min="1" max="16384" width="9.140625" style="73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6"/>
  <sheetViews>
    <sheetView view="pageBreakPreview" zoomScale="130" zoomScaleNormal="115" zoomScaleSheetLayoutView="130" workbookViewId="0">
      <selection sqref="A1:F1"/>
    </sheetView>
  </sheetViews>
  <sheetFormatPr defaultColWidth="11.42578125" defaultRowHeight="12.75"/>
  <cols>
    <col min="1" max="1" width="11.28515625" style="26" customWidth="1"/>
    <col min="2" max="2" width="12.140625" style="26" customWidth="1"/>
    <col min="3" max="3" width="45" style="26" customWidth="1"/>
    <col min="4" max="4" width="9.7109375" style="305" customWidth="1"/>
    <col min="5" max="5" width="10.85546875" style="305" customWidth="1"/>
    <col min="6" max="6" width="8.7109375" style="58" customWidth="1"/>
    <col min="7" max="7" width="11.42578125" style="30" hidden="1" customWidth="1"/>
    <col min="8" max="8" width="11.42578125" style="229" hidden="1" customWidth="1"/>
    <col min="9" max="9" width="10.5703125" style="435" customWidth="1"/>
    <col min="10" max="10" width="9.42578125" style="490" customWidth="1"/>
    <col min="11" max="11" width="9.5703125" style="26" customWidth="1"/>
    <col min="12" max="12" width="15" style="26" customWidth="1"/>
    <col min="13" max="16384" width="11.42578125" style="26"/>
  </cols>
  <sheetData>
    <row r="1" spans="1:16">
      <c r="A1" s="844">
        <f>'Exh. No. BGM-3 4'!A2</f>
        <v>0</v>
      </c>
      <c r="B1" s="844"/>
      <c r="C1" s="844"/>
      <c r="D1" s="844"/>
      <c r="E1" s="844"/>
      <c r="F1" s="844"/>
    </row>
    <row r="2" spans="1:16">
      <c r="A2" s="862" t="s">
        <v>77</v>
      </c>
      <c r="B2" s="862"/>
      <c r="C2" s="862"/>
      <c r="D2" s="862"/>
      <c r="E2" s="862"/>
      <c r="F2" s="862"/>
    </row>
    <row r="3" spans="1:16">
      <c r="A3" s="862" t="s">
        <v>78</v>
      </c>
      <c r="B3" s="862"/>
      <c r="C3" s="862"/>
      <c r="D3" s="862"/>
      <c r="E3" s="862"/>
      <c r="F3" s="862"/>
    </row>
    <row r="4" spans="1:16">
      <c r="A4" s="863" t="str">
        <f>'Exh. No. BGM-3 4'!A5</f>
        <v>TWELVE MONTHS ENDED DECEMBER 31, 2016</v>
      </c>
      <c r="B4" s="863"/>
      <c r="C4" s="863"/>
      <c r="D4" s="863"/>
      <c r="E4" s="863"/>
      <c r="F4" s="863"/>
    </row>
    <row r="5" spans="1:16" ht="5.25" customHeight="1"/>
    <row r="7" spans="1:16">
      <c r="D7" s="306"/>
      <c r="E7" s="307" t="s">
        <v>78</v>
      </c>
      <c r="F7" s="59"/>
      <c r="G7" s="47" t="s">
        <v>276</v>
      </c>
      <c r="H7" s="226" t="s">
        <v>277</v>
      </c>
    </row>
    <row r="8" spans="1:16">
      <c r="A8" s="34" t="s">
        <v>79</v>
      </c>
      <c r="B8" s="426" t="s">
        <v>604</v>
      </c>
      <c r="C8" s="59" t="s">
        <v>143</v>
      </c>
      <c r="D8" s="307" t="s">
        <v>81</v>
      </c>
      <c r="E8" s="307" t="s">
        <v>24</v>
      </c>
      <c r="F8" s="59" t="s">
        <v>82</v>
      </c>
      <c r="I8" s="26" t="s">
        <v>749</v>
      </c>
    </row>
    <row r="9" spans="1:16">
      <c r="A9" s="227" t="s">
        <v>719</v>
      </c>
      <c r="B9" s="227"/>
      <c r="C9" s="64"/>
      <c r="D9" s="308"/>
      <c r="E9" s="308"/>
      <c r="F9" s="64"/>
      <c r="I9" s="436" t="s">
        <v>276</v>
      </c>
      <c r="J9" s="491" t="s">
        <v>277</v>
      </c>
      <c r="K9" s="26" t="s">
        <v>629</v>
      </c>
    </row>
    <row r="10" spans="1:16">
      <c r="A10" s="290">
        <f>'Exh. No. BGM-3 4'!E$10</f>
        <v>1</v>
      </c>
      <c r="B10" s="434" t="str">
        <f>'Exh. No. BGM-3 4'!E$11</f>
        <v>E-ROO</v>
      </c>
      <c r="C10" s="38" t="str">
        <f>TRIM(CONCATENATE('Exh. No. BGM-3 4'!E$7," ",'Exh. No. BGM-3 4'!E$8," ",'Exh. No. BGM-3 4'!E$9))</f>
        <v>Results of Operations</v>
      </c>
      <c r="D10" s="328">
        <f>'Exh. No. BGM-3 4'!E$56</f>
        <v>110557</v>
      </c>
      <c r="E10" s="328">
        <f>'Exh. No. BGM-3 4'!E$80</f>
        <v>1444926</v>
      </c>
      <c r="F10" s="243">
        <f>D10/E10</f>
        <v>7.6513952963681187E-2</v>
      </c>
      <c r="G10" s="30" t="s">
        <v>282</v>
      </c>
      <c r="I10" s="219" t="s">
        <v>279</v>
      </c>
      <c r="K10" s="219" t="s">
        <v>281</v>
      </c>
      <c r="L10" s="643"/>
      <c r="M10" s="643"/>
    </row>
    <row r="11" spans="1:16" s="55" customFormat="1">
      <c r="A11" s="290">
        <f>'Exh. No. BGM-3 4'!F$10</f>
        <v>1.01</v>
      </c>
      <c r="B11" s="434" t="str">
        <f>'Exh. No. BGM-3 4'!F$11</f>
        <v>E-DFIT</v>
      </c>
      <c r="C11" s="38" t="str">
        <f>TRIM(CONCATENATE('Exh. No. BGM-3 4'!F$7," ",'Exh. No. BGM-3 4'!F$8," ",'Exh. No. BGM-3 4'!F$9))</f>
        <v>Deferred FIT Rate Base</v>
      </c>
      <c r="D11" s="106">
        <f>'Exh. No. BGM-3 4'!F$56</f>
        <v>7.5602799999999997</v>
      </c>
      <c r="E11" s="106">
        <f>'Exh. No. BGM-3 4'!F$80</f>
        <v>806</v>
      </c>
      <c r="F11" s="143"/>
      <c r="G11" s="30" t="s">
        <v>275</v>
      </c>
      <c r="I11" s="219" t="s">
        <v>676</v>
      </c>
      <c r="K11" s="219" t="s">
        <v>281</v>
      </c>
      <c r="L11" s="643"/>
      <c r="M11" s="643"/>
    </row>
    <row r="12" spans="1:16" s="55" customFormat="1">
      <c r="A12" s="290">
        <f>'Exh. No. BGM-3 4'!G$10</f>
        <v>1.02</v>
      </c>
      <c r="B12" s="434" t="str">
        <f>'Exh. No. BGM-3 4'!G$11</f>
        <v>E-DDC</v>
      </c>
      <c r="C12" s="38" t="str">
        <f>TRIM(CONCATENATE('Exh. No. BGM-3 4'!G$7," ",'Exh. No. BGM-3 4'!G$8," ",'Exh. No. BGM-3 4'!G$9))</f>
        <v>Deferred Debits and Credits</v>
      </c>
      <c r="D12" s="106">
        <f>'Exh. No. BGM-3 4'!G$56</f>
        <v>-7.8000000000000007</v>
      </c>
      <c r="E12" s="106">
        <f>'Exh. No. BGM-3 4'!G$80</f>
        <v>0</v>
      </c>
      <c r="F12" s="143"/>
      <c r="G12" s="30" t="s">
        <v>282</v>
      </c>
      <c r="H12" s="229"/>
      <c r="I12" s="219" t="s">
        <v>748</v>
      </c>
      <c r="K12" s="219" t="s">
        <v>281</v>
      </c>
    </row>
    <row r="13" spans="1:16" s="139" customFormat="1">
      <c r="A13" s="290">
        <f>'Exh. No. BGM-3 4'!H$10</f>
        <v>1.03</v>
      </c>
      <c r="B13" s="434" t="str">
        <f>'Exh. No. BGM-3 4'!H$11</f>
        <v xml:space="preserve">E-WC </v>
      </c>
      <c r="C13" s="38" t="str">
        <f>TRIM(CONCATENATE('Exh. No. BGM-3 4'!H$7," ",'Exh. No. BGM-3 4'!H$8," ",'Exh. No. BGM-3 4'!H$9))</f>
        <v>Working Capital</v>
      </c>
      <c r="D13" s="106">
        <f>'Exh. No. BGM-3 4'!H$56</f>
        <v>-28.196279999999998</v>
      </c>
      <c r="E13" s="252">
        <f>'Exh. No. BGM-3 4'!H$80</f>
        <v>-3006</v>
      </c>
      <c r="F13" s="140"/>
      <c r="G13" s="30" t="s">
        <v>282</v>
      </c>
      <c r="H13" s="229"/>
      <c r="I13" s="219" t="s">
        <v>279</v>
      </c>
      <c r="K13" s="219" t="s">
        <v>281</v>
      </c>
    </row>
    <row r="14" spans="1:16" s="48" customFormat="1">
      <c r="A14" s="290">
        <f>'Exh. No. BGM-3 4'!I$10</f>
        <v>2.0099999999999998</v>
      </c>
      <c r="B14" s="434" t="str">
        <f>'Exh. No. BGM-3 4'!I$11</f>
        <v>E-EBO</v>
      </c>
      <c r="C14" s="38" t="str">
        <f>TRIM(CONCATENATE('Exh. No. BGM-3 4'!I$7," ",'Exh. No. BGM-3 4'!I$8," ",'Exh. No. BGM-3 4'!I$9))</f>
        <v>Eliminate B &amp; O Taxes</v>
      </c>
      <c r="D14" s="106">
        <f>'Exh. No. BGM-3 4'!I$56</f>
        <v>-95.550000000000011</v>
      </c>
      <c r="E14" s="106">
        <f>'Exh. No. BGM-3 4'!I$80</f>
        <v>0</v>
      </c>
      <c r="F14" s="58"/>
      <c r="G14" s="30" t="s">
        <v>282</v>
      </c>
      <c r="H14" s="229"/>
      <c r="I14" s="219" t="s">
        <v>676</v>
      </c>
      <c r="K14" s="219" t="s">
        <v>281</v>
      </c>
    </row>
    <row r="15" spans="1:16" s="48" customFormat="1">
      <c r="A15" s="290">
        <f>'Exh. No. BGM-3 4'!J$10</f>
        <v>2.0199999999999996</v>
      </c>
      <c r="B15" s="434" t="str">
        <f>'Exh. No. BGM-3 4'!J$11</f>
        <v>E-RPT</v>
      </c>
      <c r="C15" s="38" t="str">
        <f>TRIM(CONCATENATE('Exh. No. BGM-3 4'!J$7," ",'Exh. No. BGM-3 4'!J$8," ",'Exh. No. BGM-3 4'!J$9))</f>
        <v>Restate Property Tax</v>
      </c>
      <c r="D15" s="106">
        <f>'Exh. No. BGM-3 4'!J$56</f>
        <v>162.5</v>
      </c>
      <c r="E15" s="106">
        <f>'Exh. No. BGM-3 4'!J$80</f>
        <v>0</v>
      </c>
      <c r="F15" s="58"/>
      <c r="G15" s="492" t="s">
        <v>282</v>
      </c>
      <c r="H15" s="229"/>
      <c r="I15" s="219" t="s">
        <v>279</v>
      </c>
      <c r="K15" s="219" t="s">
        <v>281</v>
      </c>
      <c r="L15" s="182"/>
      <c r="M15" s="182"/>
      <c r="N15" s="182"/>
      <c r="O15" s="182"/>
      <c r="P15" s="182"/>
    </row>
    <row r="16" spans="1:16" s="48" customFormat="1">
      <c r="A16" s="290">
        <f>'Exh. No. BGM-3 4'!K$10</f>
        <v>2.0299999999999994</v>
      </c>
      <c r="B16" s="434" t="str">
        <f>'Exh. No. BGM-3 4'!K$11</f>
        <v>E-UE</v>
      </c>
      <c r="C16" s="38" t="str">
        <f>TRIM(CONCATENATE('Exh. No. BGM-3 4'!K$7," ",'Exh. No. BGM-3 4'!K$8," ",'Exh. No. BGM-3 4'!K$9))</f>
        <v>Uncollect. Expense</v>
      </c>
      <c r="D16" s="106">
        <f>'Exh. No. BGM-3 4'!K$56</f>
        <v>-858.65000000000009</v>
      </c>
      <c r="E16" s="106">
        <f>'Exh. No. BGM-3 4'!K$80</f>
        <v>0</v>
      </c>
      <c r="F16" s="58"/>
      <c r="G16" s="30" t="s">
        <v>282</v>
      </c>
      <c r="H16" s="229"/>
      <c r="I16" s="219" t="s">
        <v>302</v>
      </c>
      <c r="K16" s="219" t="s">
        <v>281</v>
      </c>
    </row>
    <row r="17" spans="1:12" s="48" customFormat="1">
      <c r="A17" s="290">
        <f>'Exh. No. BGM-3 4'!L$10</f>
        <v>2.0399999999999991</v>
      </c>
      <c r="B17" s="434" t="str">
        <f>'Exh. No. BGM-3 4'!L$11</f>
        <v>E-RE</v>
      </c>
      <c r="C17" s="38" t="str">
        <f>TRIM(CONCATENATE('Exh. No. BGM-3 4'!L$7," ",'Exh. No. BGM-3 4'!L$8," ",'Exh. No. BGM-3 4'!L$9))</f>
        <v>Regulatory Expense</v>
      </c>
      <c r="D17" s="106">
        <f>'Exh. No. BGM-3 4'!L$56</f>
        <v>-4.5500000000000007</v>
      </c>
      <c r="E17" s="106">
        <f>'Exh. No. BGM-3 4'!L$80</f>
        <v>0</v>
      </c>
      <c r="F17" s="58"/>
      <c r="G17" s="30" t="s">
        <v>283</v>
      </c>
      <c r="H17" s="229"/>
      <c r="I17" s="219" t="s">
        <v>748</v>
      </c>
      <c r="K17" s="219" t="s">
        <v>281</v>
      </c>
    </row>
    <row r="18" spans="1:12" s="48" customFormat="1">
      <c r="A18" s="290">
        <f>'Exh. No. BGM-3 4'!M$10</f>
        <v>2.0499999999999989</v>
      </c>
      <c r="B18" s="434" t="str">
        <f>'Exh. No. BGM-3 4'!M$11</f>
        <v>E-ID</v>
      </c>
      <c r="C18" s="38" t="str">
        <f>TRIM(CONCATENATE('Exh. No. BGM-3 4'!M$7," ",'Exh. No. BGM-3 4'!M$8," ",'Exh. No. BGM-3 4'!M$9))</f>
        <v>Injuries and Damages</v>
      </c>
      <c r="D18" s="106">
        <f>'Exh. No. BGM-3 4'!M$56</f>
        <v>-98.15</v>
      </c>
      <c r="E18" s="106">
        <f>'Exh. No. BGM-3 4'!M$80</f>
        <v>0</v>
      </c>
      <c r="F18" s="58"/>
      <c r="G18" s="30" t="s">
        <v>283</v>
      </c>
      <c r="H18" s="229"/>
      <c r="I18" s="219" t="s">
        <v>748</v>
      </c>
      <c r="K18" s="219" t="s">
        <v>281</v>
      </c>
    </row>
    <row r="19" spans="1:12" s="139" customFormat="1">
      <c r="A19" s="290">
        <f>'Exh. No. BGM-3 4'!N$10</f>
        <v>2.0599999999999987</v>
      </c>
      <c r="B19" s="434" t="str">
        <f>'Exh. No. BGM-3 4'!N$11</f>
        <v xml:space="preserve">E-FIT </v>
      </c>
      <c r="C19" s="38" t="str">
        <f>TRIM(CONCATENATE('Exh. No. BGM-3 4'!N$7," ",'Exh. No. BGM-3 4'!N$8," ",'Exh. No. BGM-3 4'!N$9))</f>
        <v>FIT/DFIT/ ITC Expense</v>
      </c>
      <c r="D19" s="252">
        <f>'Exh. No. BGM-3 4'!N$56</f>
        <v>-69</v>
      </c>
      <c r="E19" s="106">
        <f>'Exh. No. BGM-3 4'!N$80</f>
        <v>0</v>
      </c>
      <c r="F19" s="140"/>
      <c r="G19" s="30" t="s">
        <v>275</v>
      </c>
      <c r="I19" s="219" t="s">
        <v>676</v>
      </c>
      <c r="J19" s="219"/>
      <c r="K19" s="219" t="s">
        <v>281</v>
      </c>
    </row>
    <row r="20" spans="1:12">
      <c r="A20" s="290">
        <f>'Exh. No. BGM-3 4'!O$10</f>
        <v>2.0699999999999985</v>
      </c>
      <c r="B20" s="434" t="str">
        <f>'Exh. No. BGM-3 4'!O$11</f>
        <v>E-OSC</v>
      </c>
      <c r="C20" s="38" t="str">
        <f>TRIM(CONCATENATE('Exh. No. BGM-3 4'!O$7," ",'Exh. No. BGM-3 4'!O$8," ",'Exh. No. BGM-3 4'!O$9))</f>
        <v>Office Space Charges to Non-Utility</v>
      </c>
      <c r="D20" s="106">
        <f>'Exh. No. BGM-3 4'!O$56</f>
        <v>20.149999999999999</v>
      </c>
      <c r="E20" s="106">
        <f>'Exh. No. BGM-3 4'!O$80</f>
        <v>0</v>
      </c>
      <c r="G20" s="30" t="s">
        <v>282</v>
      </c>
      <c r="I20" s="219" t="s">
        <v>302</v>
      </c>
      <c r="K20" s="219" t="s">
        <v>281</v>
      </c>
    </row>
    <row r="21" spans="1:12" s="139" customFormat="1">
      <c r="A21" s="290">
        <f>'Exh. No. BGM-3 4'!P$10</f>
        <v>2.0799999999999983</v>
      </c>
      <c r="B21" s="434" t="str">
        <f>'Exh. No. BGM-3 4'!P$11</f>
        <v>E-RET</v>
      </c>
      <c r="C21" s="38" t="str">
        <f>TRIM(CONCATENATE('Exh. No. BGM-3 4'!P$7," ",'Exh. No. BGM-3 4'!P$8," ",'Exh. No. BGM-3 4'!P$9))</f>
        <v>Restate Excise Taxes</v>
      </c>
      <c r="D21" s="106">
        <f>'Exh. No. BGM-3 4'!P$56</f>
        <v>40.299999999999997</v>
      </c>
      <c r="E21" s="106">
        <f>'Exh. No. BGM-3 4'!P$80</f>
        <v>0</v>
      </c>
      <c r="F21" s="143"/>
      <c r="G21" s="30" t="s">
        <v>282</v>
      </c>
      <c r="H21" s="229"/>
      <c r="I21" s="219" t="s">
        <v>676</v>
      </c>
      <c r="K21" s="219" t="s">
        <v>281</v>
      </c>
      <c r="L21" s="521"/>
    </row>
    <row r="22" spans="1:12" s="139" customFormat="1">
      <c r="A22" s="290">
        <f>'Exh. No. BGM-3 4'!Q$10</f>
        <v>2.0899999999999981</v>
      </c>
      <c r="B22" s="434" t="str">
        <f>'Exh. No. BGM-3 4'!Q$11</f>
        <v>E-NGL</v>
      </c>
      <c r="C22" s="38" t="str">
        <f>TRIM(CONCATENATE('Exh. No. BGM-3 4'!Q$7," ",'Exh. No. BGM-3 4'!Q$8," ",'Exh. No. BGM-3 4'!Q$9))</f>
        <v>Net Gains / Losses</v>
      </c>
      <c r="D22" s="106">
        <f>'Exh. No. BGM-3 4'!Q$56</f>
        <v>61.1</v>
      </c>
      <c r="E22" s="106">
        <f>'Exh. No. BGM-3 4'!Q$80</f>
        <v>0</v>
      </c>
      <c r="F22" s="143"/>
      <c r="G22" s="30" t="s">
        <v>283</v>
      </c>
      <c r="H22" s="229"/>
      <c r="I22" s="219" t="s">
        <v>748</v>
      </c>
      <c r="K22" s="219" t="s">
        <v>281</v>
      </c>
    </row>
    <row r="23" spans="1:12">
      <c r="A23" s="290">
        <f>'Exh. No. BGM-3 4'!R$10</f>
        <v>2.0999999999999979</v>
      </c>
      <c r="B23" s="434" t="str">
        <f>'Exh. No. BGM-3 4'!R$11</f>
        <v>E-WN</v>
      </c>
      <c r="C23" s="38" t="str">
        <f>TRIM(CONCATENATE('Exh. No. BGM-3 4'!R$7," ",'Exh. No. BGM-3 4'!R$8," ",'Exh. No. BGM-3 4'!R$9))</f>
        <v>Weather Normalization</v>
      </c>
      <c r="D23" s="106">
        <f>'Exh. No. BGM-3 4'!R$56</f>
        <v>824.85</v>
      </c>
      <c r="E23" s="106">
        <f>'Exh. No. BGM-3 4'!R$80</f>
        <v>0</v>
      </c>
      <c r="F23" s="63"/>
      <c r="G23" s="30" t="s">
        <v>280</v>
      </c>
      <c r="I23" s="219" t="s">
        <v>676</v>
      </c>
      <c r="K23" s="219" t="s">
        <v>281</v>
      </c>
    </row>
    <row r="24" spans="1:12" s="139" customFormat="1">
      <c r="A24" s="290">
        <f>'Exh. No. BGM-3 4'!S$10</f>
        <v>2.1099999999999977</v>
      </c>
      <c r="B24" s="434" t="str">
        <f>'Exh. No. BGM-3 4'!S$11</f>
        <v>E-EAS</v>
      </c>
      <c r="C24" s="38" t="str">
        <f>TRIM(CONCATENATE('Exh. No. BGM-3 4'!S$7," ",'Exh. No. BGM-3 4'!S$8," ",'Exh. No. BGM-3 4'!S$9))</f>
        <v>Eliminate Adder Schedules</v>
      </c>
      <c r="D24" s="252">
        <f>'Exh. No. BGM-3 4'!S$56</f>
        <v>0</v>
      </c>
      <c r="E24" s="106">
        <f>'Exh. No. BGM-3 4'!T$80</f>
        <v>0</v>
      </c>
      <c r="F24" s="140"/>
      <c r="G24" s="511" t="s">
        <v>286</v>
      </c>
      <c r="H24" s="233"/>
      <c r="I24" s="219" t="s">
        <v>748</v>
      </c>
      <c r="K24" s="219" t="s">
        <v>281</v>
      </c>
    </row>
    <row r="25" spans="1:12" s="139" customFormat="1">
      <c r="A25" s="290">
        <f>'Exh. No. BGM-3 4'!T$10</f>
        <v>2.1199999999999974</v>
      </c>
      <c r="B25" s="434" t="str">
        <f>'Exh. No. BGM-3 4'!T$11</f>
        <v>E-MR</v>
      </c>
      <c r="C25" s="38" t="str">
        <f>TRIM(CONCATENATE('Exh. No. BGM-3 4'!T$7," ",'Exh. No. BGM-3 4'!T$8," ",'Exh. No. BGM-3 4'!T$9))</f>
        <v>Misc. Restating Non-Util / Non- Recurring Expenses</v>
      </c>
      <c r="D25" s="252">
        <f>'Exh. No. BGM-3 4'!T$56</f>
        <v>-969.15</v>
      </c>
      <c r="E25" s="106">
        <f>'Exh. No. BGM-3 4'!T$80</f>
        <v>0</v>
      </c>
      <c r="F25" s="140"/>
      <c r="G25" s="30" t="s">
        <v>286</v>
      </c>
      <c r="H25" s="233"/>
      <c r="I25" s="219" t="s">
        <v>748</v>
      </c>
      <c r="K25" s="219" t="s">
        <v>281</v>
      </c>
      <c r="L25" s="305"/>
    </row>
    <row r="26" spans="1:12" s="48" customFormat="1">
      <c r="A26" s="290">
        <f>'Exh. No. BGM-3 4'!U$10</f>
        <v>2.1299999999999972</v>
      </c>
      <c r="B26" s="434" t="str">
        <f>'Exh. No. BGM-3 4'!U$11</f>
        <v>E-EWPC</v>
      </c>
      <c r="C26" s="38" t="str">
        <f>TRIM(CONCATENATE('Exh. No. BGM-3 4'!U$7," ",'Exh. No. BGM-3 4'!U$8," ",'Exh. No. BGM-3 4'!U$9))</f>
        <v>Eliminate WA Power Cost Defer</v>
      </c>
      <c r="D26" s="106">
        <f>'Exh. No. BGM-3 4'!U$56</f>
        <v>4386</v>
      </c>
      <c r="E26" s="106">
        <f>'Exh. No. BGM-3 4'!U$80</f>
        <v>0</v>
      </c>
      <c r="F26" s="58"/>
      <c r="G26" s="30" t="s">
        <v>278</v>
      </c>
      <c r="H26" s="231" t="s">
        <v>284</v>
      </c>
      <c r="I26" s="219" t="s">
        <v>303</v>
      </c>
      <c r="K26" s="219" t="s">
        <v>281</v>
      </c>
    </row>
    <row r="27" spans="1:12" s="48" customFormat="1">
      <c r="A27" s="290">
        <f>'Exh. No. BGM-3 4'!V$10</f>
        <v>2.139999999999997</v>
      </c>
      <c r="B27" s="434" t="str">
        <f>'Exh. No. BGM-3 4'!V$11</f>
        <v>E-NPS</v>
      </c>
      <c r="C27" s="38" t="str">
        <f>TRIM(CONCATENATE('Exh. No. BGM-3 4'!V$7," ",'Exh. No. BGM-3 4'!V$8," ",'Exh. No. BGM-3 4'!V$9))</f>
        <v>Nez Perce Settlement Adjustment</v>
      </c>
      <c r="D27" s="106">
        <f>'Exh. No. BGM-3 4'!V$56</f>
        <v>2.6</v>
      </c>
      <c r="E27" s="106">
        <f>'Exh. No. BGM-3 4'!V$80</f>
        <v>0</v>
      </c>
      <c r="F27" s="58"/>
      <c r="G27" s="30" t="s">
        <v>282</v>
      </c>
      <c r="H27" s="229"/>
      <c r="I27" s="219" t="s">
        <v>279</v>
      </c>
      <c r="K27" s="219" t="s">
        <v>281</v>
      </c>
    </row>
    <row r="28" spans="1:12" s="48" customFormat="1">
      <c r="A28" s="290">
        <f>'Exh. No. BGM-3 4'!W$10</f>
        <v>2.1499999999999968</v>
      </c>
      <c r="B28" s="434" t="str">
        <f>'Exh. No. BGM-3 4'!W$11</f>
        <v>E-RI</v>
      </c>
      <c r="C28" s="38" t="str">
        <f>TRIM(CONCATENATE('Exh. No. BGM-3 4'!W$7," ",'Exh. No. BGM-3 4'!W$8," ",'Exh. No. BGM-3 4'!W$9))</f>
        <v>Restating Incentives</v>
      </c>
      <c r="D28" s="106">
        <f>'Exh. No. BGM-3 4'!W$56</f>
        <v>406.9</v>
      </c>
      <c r="E28" s="106">
        <f>'Exh. No. BGM-3 4'!W$80</f>
        <v>0</v>
      </c>
      <c r="F28" s="58"/>
      <c r="G28" s="738" t="s">
        <v>282</v>
      </c>
      <c r="H28" s="229"/>
      <c r="I28" s="219" t="s">
        <v>303</v>
      </c>
      <c r="K28" s="219" t="s">
        <v>281</v>
      </c>
    </row>
    <row r="29" spans="1:12" s="167" customFormat="1">
      <c r="A29" s="533">
        <f>'Exh. No. BGM-3 4'!X$10</f>
        <v>2.1599999999999966</v>
      </c>
      <c r="B29" s="481" t="str">
        <f>'Exh. No. BGM-3 4'!X$11</f>
        <v>E-PMM</v>
      </c>
      <c r="C29" s="482" t="str">
        <f>TRIM(CONCATENATE('Exh. No. BGM-3 4'!X$7," ",'Exh. No. BGM-3 4'!X$8," ",'Exh. No. BGM-3 4'!X$9))</f>
        <v>Normalize CS2/Colstrip Major Maint</v>
      </c>
      <c r="D29" s="242">
        <f>'Exh. No. BGM-3 4'!X$56</f>
        <v>763.1</v>
      </c>
      <c r="E29" s="559">
        <f>'Exh. No. BGM-3 4'!X$80</f>
        <v>0</v>
      </c>
      <c r="F29" s="534"/>
      <c r="G29" s="520"/>
      <c r="H29" s="532"/>
      <c r="I29" s="219" t="s">
        <v>281</v>
      </c>
      <c r="K29" s="219" t="s">
        <v>281</v>
      </c>
      <c r="L29" s="537"/>
    </row>
    <row r="30" spans="1:12" s="173" customFormat="1">
      <c r="A30" s="291">
        <f>'Exh. No. BGM-3 4'!Y$10</f>
        <v>2.1699999999999964</v>
      </c>
      <c r="B30" s="434" t="str">
        <f>'Exh. No. BGM-3 4'!Y$11</f>
        <v>E-RDI</v>
      </c>
      <c r="C30" s="235" t="str">
        <f>TRIM(CONCATENATE('Exh. No. BGM-3 4'!Y$7," ",'Exh. No. BGM-3 4'!Y$8," ",'Exh. No. BGM-3 4'!Y$9))</f>
        <v>Restate Debt Interest</v>
      </c>
      <c r="D30" s="185">
        <f>'Exh. No. BGM-3 4'!Y$56</f>
        <v>-202</v>
      </c>
      <c r="E30" s="185">
        <f>'Exh. No. BGM-3 4'!Y$80</f>
        <v>0</v>
      </c>
      <c r="F30" s="175"/>
      <c r="G30" s="240" t="s">
        <v>281</v>
      </c>
      <c r="H30" s="230"/>
      <c r="I30" s="219" t="s">
        <v>281</v>
      </c>
      <c r="K30" s="219" t="s">
        <v>281</v>
      </c>
      <c r="L30" s="624"/>
    </row>
    <row r="31" spans="1:12" s="139" customFormat="1" ht="12" customHeight="1">
      <c r="A31" s="290">
        <f>'Exh. No. BGM-3 4'!AA$10</f>
        <v>2.1799999999999962</v>
      </c>
      <c r="B31" s="434" t="str">
        <f>'Exh. No. BGM-3 4'!Z$11</f>
        <v>E-APS</v>
      </c>
      <c r="C31" s="235" t="str">
        <f>TRIM(CONCATENATE('Exh. No. BGM-3 4'!Z$7," ",'Exh. No. BGM-3 4'!Z$8," ",'Exh. No. BGM-3 4'!Z$9))</f>
        <v>Authorized Power Supply</v>
      </c>
      <c r="D31" s="559">
        <f>'Exh. No. BGM-3 4'!Z$56</f>
        <v>-7696</v>
      </c>
      <c r="E31" s="559">
        <f>'Exh. No. BGM-3 4'!Z$80</f>
        <v>0</v>
      </c>
      <c r="F31" s="140"/>
      <c r="G31" s="446" t="s">
        <v>286</v>
      </c>
      <c r="H31" s="233"/>
      <c r="I31" s="219" t="s">
        <v>676</v>
      </c>
      <c r="K31" s="219" t="s">
        <v>281</v>
      </c>
    </row>
    <row r="32" spans="1:12" s="139" customFormat="1" hidden="1">
      <c r="A32" s="290">
        <f>'Exh. No. BGM-3 4'!AB$10</f>
        <v>2.1899999999999959</v>
      </c>
      <c r="B32" s="434" t="str">
        <f>'Exh. No. BGM-3 4'!AB$11</f>
        <v>OPEN</v>
      </c>
      <c r="C32" s="38" t="str">
        <f>TRIM(CONCATENATE('Exh. No. BGM-3 4'!AB$7," ",'Exh. No. BGM-3 4'!AB$8," ",'Exh. No. BGM-3 4'!AB$9))</f>
        <v>OPEN</v>
      </c>
      <c r="D32" s="305">
        <f>'Exh. No. BGM-3 4'!AB$56</f>
        <v>0</v>
      </c>
      <c r="E32" s="305">
        <f>'Exh. No. BGM-3 4'!AB$80</f>
        <v>0</v>
      </c>
      <c r="F32" s="140"/>
      <c r="G32" s="30" t="s">
        <v>282</v>
      </c>
      <c r="H32" s="229"/>
      <c r="J32" s="26"/>
      <c r="K32" s="55"/>
    </row>
    <row r="33" spans="1:12" s="116" customFormat="1" ht="20.25" hidden="1" customHeight="1">
      <c r="A33" s="241"/>
      <c r="B33" s="241"/>
      <c r="C33" s="171"/>
      <c r="D33" s="501"/>
      <c r="E33" s="501"/>
      <c r="F33" s="179"/>
      <c r="G33" s="43"/>
      <c r="H33" s="230"/>
      <c r="J33" s="26"/>
    </row>
    <row r="34" spans="1:12" ht="13.5" thickBot="1">
      <c r="A34" s="43"/>
      <c r="B34" s="43"/>
      <c r="C34" s="167" t="s">
        <v>84</v>
      </c>
      <c r="D34" s="502">
        <f>SUM(D10:D33)</f>
        <v>107203.01400000002</v>
      </c>
      <c r="E34" s="502">
        <f>SUM(E10:E33)</f>
        <v>1442726</v>
      </c>
      <c r="F34" s="199">
        <f>D34/E34</f>
        <v>7.4305872355526978E-2</v>
      </c>
      <c r="G34" s="43"/>
      <c r="H34" s="230"/>
      <c r="I34" s="26"/>
      <c r="J34" s="26"/>
    </row>
    <row r="35" spans="1:12" ht="13.5" thickTop="1">
      <c r="A35" s="228" t="s">
        <v>311</v>
      </c>
      <c r="B35" s="228"/>
      <c r="C35" s="167"/>
      <c r="D35" s="309"/>
      <c r="E35" s="310"/>
      <c r="F35" s="243"/>
      <c r="G35" s="43"/>
      <c r="H35" s="230"/>
      <c r="I35" s="26"/>
      <c r="J35" s="26"/>
    </row>
    <row r="36" spans="1:12">
      <c r="A36" s="290">
        <f>'Exh. No. BGM-3 4'!AD$10</f>
        <v>3.01</v>
      </c>
      <c r="B36" s="434" t="str">
        <f>'Exh. No. BGM-3 4'!AD$11</f>
        <v>E-PTR</v>
      </c>
      <c r="C36" s="38" t="str">
        <f>TRIM(CONCATENATE('Exh. No. BGM-3 4'!AD$7," ",'Exh. No. BGM-3 4'!AD$8," ",'Exh. No. BGM-3 4'!AD$9))</f>
        <v>Pro Forma Trans/Power Sup Non-ERM Rev/Exp</v>
      </c>
      <c r="D36" s="305">
        <f>'Exh. No. BGM-3 4'!AD$56</f>
        <v>-65.650000000000006</v>
      </c>
      <c r="E36" s="305">
        <f>'Exh. No. BGM-3 4'!AD$80</f>
        <v>0</v>
      </c>
      <c r="G36" s="234" t="s">
        <v>281</v>
      </c>
      <c r="I36" s="219" t="s">
        <v>676</v>
      </c>
      <c r="J36" s="219"/>
      <c r="K36" s="219" t="s">
        <v>281</v>
      </c>
    </row>
    <row r="37" spans="1:12" s="167" customFormat="1">
      <c r="A37" s="291">
        <f>'Exh. No. BGM-3 4'!AE$10</f>
        <v>3.0199999999999996</v>
      </c>
      <c r="B37" s="434" t="str">
        <f>'Exh. No. BGM-3 4'!AE$11</f>
        <v>E-PLN</v>
      </c>
      <c r="C37" s="235" t="str">
        <f>TRIM(CONCATENATE('Exh. No. BGM-3 4'!AE$7," ",'Exh. No. BGM-3 4'!AE$8," ",'Exh. No. BGM-3 4'!AE$9))</f>
        <v>Pro Forma Labor Non-Exec</v>
      </c>
      <c r="D37" s="328">
        <f>'Exh. No. BGM-3 4'!AE$56</f>
        <v>-997.19360000000017</v>
      </c>
      <c r="E37" s="328">
        <f>'Exh. No. BGM-3 4'!AE$80</f>
        <v>0</v>
      </c>
      <c r="F37" s="176"/>
      <c r="G37" s="240" t="s">
        <v>281</v>
      </c>
      <c r="H37" s="230"/>
      <c r="I37" s="219" t="s">
        <v>303</v>
      </c>
      <c r="J37" s="641"/>
      <c r="K37" s="219" t="s">
        <v>281</v>
      </c>
    </row>
    <row r="38" spans="1:12" s="167" customFormat="1">
      <c r="A38" s="291">
        <f>'Exh. No. BGM-3 4'!AF$10</f>
        <v>3.0299999999999994</v>
      </c>
      <c r="B38" s="447" t="str">
        <f>'Exh. No. BGM-3 4'!AF$11</f>
        <v>E-PLE</v>
      </c>
      <c r="C38" s="235" t="str">
        <f>TRIM(CONCATENATE('Exh. No. BGM-3 4'!AF$7," ",'Exh. No. BGM-3 4'!AF$8," ",'Exh. No. BGM-3 4'!AF$9))</f>
        <v>Pro Forma Labor Exec</v>
      </c>
      <c r="D38" s="328">
        <f>'Exh. No. BGM-3 4'!AF$56</f>
        <v>21.450000000000003</v>
      </c>
      <c r="E38" s="328">
        <f>'Exh. No. BGM-3 4'!AF$80</f>
        <v>0</v>
      </c>
      <c r="F38" s="179"/>
      <c r="G38" s="43" t="s">
        <v>283</v>
      </c>
      <c r="H38" s="230"/>
      <c r="I38" s="219" t="s">
        <v>303</v>
      </c>
      <c r="K38" s="219" t="s">
        <v>281</v>
      </c>
    </row>
    <row r="39" spans="1:12" s="167" customFormat="1">
      <c r="A39" s="291">
        <f>'Exh. No. BGM-3 4'!AG$10</f>
        <v>3.0399999999999991</v>
      </c>
      <c r="B39" s="447" t="str">
        <f>'Exh. No. BGM-3 4'!AG$11</f>
        <v>E-PEB</v>
      </c>
      <c r="C39" s="235" t="str">
        <f>TRIM(CONCATENATE('Exh. No. BGM-3 4'!AG$7," ",'Exh. No. BGM-3 4'!AG$8," ",'Exh. No. BGM-3 4'!AG$9))</f>
        <v>Pro Forma Employee Benefits</v>
      </c>
      <c r="D39" s="328">
        <f>'Exh. No. BGM-3 4'!AG$56</f>
        <v>234</v>
      </c>
      <c r="E39" s="328">
        <f>'Exh. No. BGM-3 4'!AG$80</f>
        <v>0</v>
      </c>
      <c r="F39" s="179"/>
      <c r="G39" s="43" t="s">
        <v>283</v>
      </c>
      <c r="H39" s="230"/>
      <c r="I39" s="219" t="s">
        <v>303</v>
      </c>
      <c r="J39" s="641"/>
      <c r="K39" s="219" t="s">
        <v>281</v>
      </c>
    </row>
    <row r="40" spans="1:12">
      <c r="A40" s="291">
        <f>'Exh. No. BGM-3 4'!AH$10</f>
        <v>3.0499999999999989</v>
      </c>
      <c r="B40" s="434" t="str">
        <f>'Exh. No. BGM-3 4'!AH$11</f>
        <v>E-PI</v>
      </c>
      <c r="C40" s="235" t="str">
        <f>TRIM(CONCATENATE('Exh. No. BGM-3 4'!AH$7," ",'Exh. No. BGM-3 4'!AH$8," ",'Exh. No. BGM-3 4'!AH$9))</f>
        <v>Pro Forma Incentive Expenses</v>
      </c>
      <c r="D40" s="185">
        <f>'Exh. No. BGM-3 4'!AH$56</f>
        <v>-77.349999999999994</v>
      </c>
      <c r="E40" s="185">
        <f>'Exh. No. BGM-3 4'!AH$80</f>
        <v>0</v>
      </c>
      <c r="F40" s="205"/>
      <c r="G40" s="240" t="s">
        <v>281</v>
      </c>
      <c r="H40" s="230"/>
      <c r="I40" s="219" t="s">
        <v>303</v>
      </c>
      <c r="J40" s="167"/>
      <c r="K40" s="219" t="s">
        <v>281</v>
      </c>
    </row>
    <row r="41" spans="1:12" s="48" customFormat="1">
      <c r="A41" s="290">
        <f>'Exh. No. BGM-3 4'!AI$10</f>
        <v>3.0599999999999987</v>
      </c>
      <c r="B41" s="434" t="str">
        <f>'Exh. No. BGM-3 4'!AI$11</f>
        <v>E-PPT</v>
      </c>
      <c r="C41" s="38" t="str">
        <f>TRIM(CONCATENATE('Exh. No. BGM-3 4'!AI$7," ",'Exh. No. BGM-3 4'!AI$8," ",'Exh. No. BGM-3 4'!AI$9))</f>
        <v>Pro Forma Property Tax</v>
      </c>
      <c r="D41" s="328">
        <f>'Exh. No. BGM-3 4'!AI$56</f>
        <v>-1597.7</v>
      </c>
      <c r="E41" s="328">
        <f>'Exh. No. BGM-3 4'!AI$80</f>
        <v>0</v>
      </c>
      <c r="F41" s="58"/>
      <c r="G41" s="30" t="s">
        <v>283</v>
      </c>
      <c r="H41" s="229"/>
      <c r="I41" s="219" t="s">
        <v>279</v>
      </c>
      <c r="J41" s="219"/>
      <c r="K41" s="219" t="s">
        <v>281</v>
      </c>
    </row>
    <row r="42" spans="1:12" s="48" customFormat="1">
      <c r="A42" s="290">
        <f>'Exh. No. BGM-3 4'!AJ$10</f>
        <v>3.0699999999999985</v>
      </c>
      <c r="B42" s="434" t="str">
        <f>'Exh. No. BGM-3 4'!AJ$11</f>
        <v>E-CI</v>
      </c>
      <c r="C42" s="38" t="str">
        <f>TRIM(CONCATENATE('Exh. No. BGM-3 4'!AJ$7," ",'Exh. No. BGM-3 4'!AJ$8," ",'Exh. No. BGM-3 4'!AJ$9))</f>
        <v>Pro Forma IS/IT Expense</v>
      </c>
      <c r="D42" s="328">
        <f>'Exh. No. BGM-3 4'!AJ$56</f>
        <v>-451.1</v>
      </c>
      <c r="E42" s="328">
        <f>'Exh. No. BGM-3 4'!AJ$80</f>
        <v>0</v>
      </c>
      <c r="F42" s="58"/>
      <c r="G42" s="721" t="s">
        <v>283</v>
      </c>
      <c r="H42" s="229"/>
      <c r="I42" s="219" t="s">
        <v>748</v>
      </c>
      <c r="K42" s="219" t="s">
        <v>281</v>
      </c>
    </row>
    <row r="43" spans="1:12" s="48" customFormat="1">
      <c r="A43" s="529">
        <f>'Exh. No. BGM-3 4'!AK$10</f>
        <v>3.0799999999999983</v>
      </c>
      <c r="B43" s="530" t="str">
        <f>'Exh. No. BGM-3 4'!AK$11</f>
        <v>E-PREV</v>
      </c>
      <c r="C43" s="44" t="str">
        <f>TRIM(CONCATENATE('Exh. No. BGM-3 4'!AK$7," ",'Exh. No. BGM-3 4'!AK$8," ",'Exh. No. BGM-3 4'!AK$9))</f>
        <v>Pro Forma Revenue Normalization</v>
      </c>
      <c r="D43" s="328">
        <f>'Exh. No. BGM-3 4'!AK$56</f>
        <v>-3285.75</v>
      </c>
      <c r="E43" s="328">
        <f>'Exh. No. BGM-3 4'!AK$80</f>
        <v>0</v>
      </c>
      <c r="F43" s="64"/>
      <c r="G43" s="31" t="s">
        <v>283</v>
      </c>
      <c r="H43" s="531"/>
      <c r="I43" s="195" t="s">
        <v>726</v>
      </c>
      <c r="K43" s="219" t="s">
        <v>281</v>
      </c>
      <c r="L43" s="152"/>
    </row>
    <row r="44" spans="1:12" s="167" customFormat="1">
      <c r="A44" s="291">
        <f>'Exh. No. BGM-3 4'!AL$10</f>
        <v>3.0899999999999981</v>
      </c>
      <c r="B44" s="447" t="str">
        <f>'Exh. No. BGM-3 4'!AL$11</f>
        <v>E-PRA</v>
      </c>
      <c r="C44" s="235" t="str">
        <f>TRIM(CONCATENATE('Exh. No. BGM-3 4'!AL$7," ",'Exh. No. BGM-3 4'!AL$8," ",'Exh. No. BGM-3 4'!AL$9))</f>
        <v>Pro Forma Def. Debits, Credits &amp; Regulatory Amorts</v>
      </c>
      <c r="D44" s="328">
        <f>'Exh. No. BGM-3 4'!AL$56</f>
        <v>1016.5045200000001</v>
      </c>
      <c r="E44" s="328">
        <f>'Exh. No. BGM-3 4'!AL$80</f>
        <v>-5346</v>
      </c>
      <c r="F44" s="179"/>
      <c r="G44" s="43" t="s">
        <v>279</v>
      </c>
      <c r="H44" s="230"/>
      <c r="I44" s="219" t="s">
        <v>748</v>
      </c>
      <c r="K44" s="219" t="s">
        <v>281</v>
      </c>
    </row>
    <row r="45" spans="1:12" s="167" customFormat="1">
      <c r="A45" s="533">
        <f>'Exh. No. BGM-3 4'!AM$10</f>
        <v>3.0999999999999979</v>
      </c>
      <c r="B45" s="481" t="str">
        <f>'Exh. No. BGM-3 4'!AM$11</f>
        <v>E-PCAP16</v>
      </c>
      <c r="C45" s="482" t="str">
        <f>TRIM(CONCATENATE('Exh. No. BGM-3 4'!AM$7," ",'Exh. No. BGM-3 4'!AM$8," ",'Exh. No. BGM-3 4'!AM$9))</f>
        <v>Pro Forma 2017 Threshhold Capital Adds</v>
      </c>
      <c r="D45" s="310">
        <f>'Exh. No. BGM-3 4'!AM$56</f>
        <v>-31.650300000000016</v>
      </c>
      <c r="E45" s="310">
        <f>'Exh. No. BGM-3 4'!AM$80</f>
        <v>5565</v>
      </c>
      <c r="F45" s="534"/>
      <c r="G45" s="520" t="s">
        <v>279</v>
      </c>
      <c r="H45" s="532"/>
      <c r="I45" s="641" t="s">
        <v>283</v>
      </c>
      <c r="J45" s="219"/>
      <c r="K45" s="219" t="s">
        <v>281</v>
      </c>
      <c r="L45" s="537"/>
    </row>
    <row r="46" spans="1:12" s="173" customFormat="1">
      <c r="A46" s="533">
        <f>'Exh. No. BGM-3 4'!AN$10</f>
        <v>3.1099999999999977</v>
      </c>
      <c r="B46" s="530" t="str">
        <f>'Exh. No. BGM-3 4'!AN$11</f>
        <v>E-POFF</v>
      </c>
      <c r="C46" s="482" t="str">
        <f>TRIM(CONCATENATE('Exh. No. BGM-3 4'!AN$7," ",'Exh. No. BGM-3 4'!AN$8," ",'Exh. No. BGM-3 4'!AN$9))</f>
        <v>Pro Forma O&amp;M Offsets</v>
      </c>
      <c r="D46" s="310">
        <f>'Exh. No. BGM-3 4'!AN$56</f>
        <v>641.54999999999995</v>
      </c>
      <c r="E46" s="310">
        <f>'Exh. No. BGM-3 4'!AN$80</f>
        <v>0</v>
      </c>
      <c r="F46" s="534"/>
      <c r="G46" s="535" t="s">
        <v>290</v>
      </c>
      <c r="H46" s="532"/>
      <c r="I46" s="219" t="s">
        <v>637</v>
      </c>
      <c r="K46" s="219" t="s">
        <v>281</v>
      </c>
      <c r="L46" s="536"/>
    </row>
    <row r="47" spans="1:12" s="173" customFormat="1">
      <c r="A47" s="533">
        <f>'Exh. No. BGM-3 4'!AO$10</f>
        <v>3.1199999999999974</v>
      </c>
      <c r="B47" s="530" t="str">
        <f>'Exh. No. BGM-3 4'!AO$11</f>
        <v>E-PDF</v>
      </c>
      <c r="C47" s="482" t="str">
        <f>TRIM(CONCATENATE('Exh. No. BGM-3 4'!AO$7," ",'Exh. No. BGM-3 4'!AO$8," ",'Exh. No. BGM-3 4'!AO$9))</f>
        <v>Pro Forma Director Fees Exp</v>
      </c>
      <c r="D47" s="310">
        <f>'Exh. No. BGM-3 4'!AO$56</f>
        <v>0</v>
      </c>
      <c r="E47" s="559">
        <f>'Exh. No. BGM-3 4'!AO$80</f>
        <v>0</v>
      </c>
      <c r="F47" s="534"/>
      <c r="G47" s="535" t="s">
        <v>290</v>
      </c>
      <c r="H47" s="532"/>
      <c r="I47" s="219" t="s">
        <v>281</v>
      </c>
      <c r="J47" s="219"/>
      <c r="K47" s="219" t="s">
        <v>281</v>
      </c>
      <c r="L47" s="536"/>
    </row>
    <row r="48" spans="1:12" s="173" customFormat="1">
      <c r="A48" s="533">
        <f>'Exh. No. BGM-3 4'!AP$10</f>
        <v>3.1299999999999972</v>
      </c>
      <c r="B48" s="530" t="str">
        <f>'Exh. No. BGM-3 4'!AP$11</f>
        <v>E-PNM</v>
      </c>
      <c r="C48" s="482" t="str">
        <f>TRIM(CONCATENATE('Exh. No. BGM-3 4'!AP$7," ",'Exh. No. BGM-3 4'!AP$8," ",'Exh. No. BGM-3 4'!AP$9))</f>
        <v>PF Normalize CS2/Colstrip Major Maint</v>
      </c>
      <c r="D48" s="310">
        <f>'Exh. No. BGM-3 4'!AP$56</f>
        <v>-225.55</v>
      </c>
      <c r="E48" s="559">
        <f>'Exh. No. BGM-3 4'!AP$80</f>
        <v>0</v>
      </c>
      <c r="F48" s="534"/>
      <c r="G48" s="535" t="s">
        <v>290</v>
      </c>
      <c r="H48" s="532"/>
      <c r="I48" s="219" t="s">
        <v>281</v>
      </c>
      <c r="K48" s="219" t="s">
        <v>281</v>
      </c>
      <c r="L48" s="536"/>
    </row>
    <row r="49" spans="1:12" s="173" customFormat="1">
      <c r="A49" s="533">
        <f>'Exh. No. BGM-3 4'!AQ$10</f>
        <v>3.139999999999997</v>
      </c>
      <c r="B49" s="530" t="str">
        <f>'Exh. No. BGM-3 4'!AQ$11</f>
        <v>E-PUEI</v>
      </c>
      <c r="C49" s="482" t="str">
        <f>TRIM(CONCATENATE('Exh. No. BGM-3 4'!AQ$7," ",'Exh. No. BGM-3 4'!AQ$8," ",'Exh. No. BGM-3 4'!AQ$9))</f>
        <v>Pro Forma Underground Equip Inspection</v>
      </c>
      <c r="D49" s="724">
        <f>'Exh. No. BGM-3 4'!AQ$56</f>
        <v>-345.8</v>
      </c>
      <c r="E49" s="798">
        <f>'Exh. No. BGM-3 4'!AQ$80</f>
        <v>0</v>
      </c>
      <c r="F49" s="725"/>
      <c r="G49" s="535" t="s">
        <v>290</v>
      </c>
      <c r="H49" s="532"/>
      <c r="I49" s="219" t="s">
        <v>281</v>
      </c>
      <c r="K49" s="219" t="s">
        <v>281</v>
      </c>
      <c r="L49" s="536"/>
    </row>
    <row r="50" spans="1:12">
      <c r="A50" s="721"/>
      <c r="B50" s="721"/>
      <c r="C50" s="745" t="s">
        <v>772</v>
      </c>
      <c r="D50" s="799">
        <f>SUM(D34:D49)</f>
        <v>102038.77462000003</v>
      </c>
      <c r="E50" s="799">
        <f>SUM(E34:E49)</f>
        <v>1442945</v>
      </c>
      <c r="F50" s="800">
        <f>D50/E50</f>
        <v>7.071563685379556E-2</v>
      </c>
      <c r="G50" s="721"/>
      <c r="I50" s="26"/>
      <c r="J50" s="26"/>
    </row>
    <row r="51" spans="1:12" s="173" customFormat="1">
      <c r="A51" s="533"/>
      <c r="B51" s="530"/>
      <c r="C51" s="482"/>
      <c r="D51" s="310"/>
      <c r="E51" s="310"/>
      <c r="F51" s="534"/>
      <c r="G51" s="535"/>
      <c r="H51" s="532"/>
      <c r="J51" s="219"/>
      <c r="K51" s="195"/>
      <c r="L51" s="536"/>
    </row>
    <row r="52" spans="1:12" s="167" customFormat="1">
      <c r="A52" s="533">
        <f>'Exh. No. BGM-3 4'!AS$10</f>
        <v>4</v>
      </c>
      <c r="B52" s="481" t="str">
        <f>'Exh. No. BGM-3 4'!AS$11</f>
        <v>E-PPS</v>
      </c>
      <c r="C52" s="482" t="str">
        <f>TRIM(CONCATENATE('Exh. No. BGM-3 4'!AS$7," ",'Exh. No. BGM-3 4'!AS$8," ",'Exh. No. BGM-3 4'!AS$9))</f>
        <v>Pro Forma Power Supply &amp; Transm Revs</v>
      </c>
      <c r="D52" s="310">
        <f>'Exh. No. BGM-3 4'!AS$56</f>
        <v>0</v>
      </c>
      <c r="E52" s="310">
        <f>'Exh. No. BGM-3 4'!AS$80</f>
        <v>0</v>
      </c>
      <c r="F52" s="206"/>
      <c r="G52" s="240" t="s">
        <v>281</v>
      </c>
      <c r="H52" s="230"/>
      <c r="I52" s="641" t="s">
        <v>676</v>
      </c>
      <c r="K52" s="219" t="s">
        <v>281</v>
      </c>
    </row>
    <row r="53" spans="1:12" s="182" customFormat="1">
      <c r="A53" s="722"/>
      <c r="B53" s="741"/>
      <c r="C53" s="723"/>
      <c r="D53" s="724"/>
      <c r="E53" s="724"/>
      <c r="F53" s="725"/>
      <c r="G53" s="520"/>
      <c r="H53" s="532"/>
      <c r="I53" s="742"/>
      <c r="J53" s="520"/>
      <c r="K53" s="156"/>
      <c r="L53" s="256"/>
    </row>
    <row r="54" spans="1:12" s="167" customFormat="1" ht="13.5" thickBot="1">
      <c r="B54" s="739"/>
      <c r="C54" s="460" t="s">
        <v>773</v>
      </c>
      <c r="D54" s="743">
        <f>D50+D52</f>
        <v>102038.77462000003</v>
      </c>
      <c r="E54" s="743">
        <f>E50+E52</f>
        <v>1442945</v>
      </c>
      <c r="F54" s="744">
        <f>D54/E54</f>
        <v>7.071563685379556E-2</v>
      </c>
      <c r="G54" s="739"/>
      <c r="H54" s="230"/>
      <c r="I54" s="739"/>
    </row>
    <row r="55" spans="1:12" ht="13.5" thickTop="1">
      <c r="A55" s="228"/>
      <c r="B55" s="721"/>
      <c r="C55" s="726"/>
      <c r="D55" s="310"/>
      <c r="E55" s="310"/>
      <c r="F55" s="727"/>
      <c r="G55" s="721"/>
      <c r="I55" s="721"/>
      <c r="J55" s="26"/>
    </row>
    <row r="56" spans="1:12">
      <c r="A56" s="228" t="s">
        <v>631</v>
      </c>
      <c r="B56" s="796" t="s">
        <v>632</v>
      </c>
      <c r="C56" s="156" t="s">
        <v>138</v>
      </c>
      <c r="D56" s="311"/>
      <c r="E56" s="311"/>
      <c r="F56" s="130"/>
      <c r="I56" s="219" t="s">
        <v>302</v>
      </c>
      <c r="J56" s="26"/>
      <c r="K56" s="219" t="s">
        <v>281</v>
      </c>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8" orientation="portrait" horizontalDpi="1200" verticalDpi="1200" r:id="rId3"/>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82"/>
  <sheetViews>
    <sheetView view="pageBreakPreview" zoomScale="90" zoomScaleNormal="100" zoomScaleSheetLayoutView="90" workbookViewId="0">
      <pane xSplit="4" ySplit="10" topLeftCell="E11" activePane="bottomRight" state="frozen"/>
      <selection activeCell="D42" sqref="D42"/>
      <selection pane="topRight" activeCell="D42" sqref="D42"/>
      <selection pane="bottomLeft" activeCell="D42" sqref="D42"/>
      <selection pane="bottomRight" activeCell="E11" sqref="E11"/>
    </sheetView>
  </sheetViews>
  <sheetFormatPr defaultColWidth="10.7109375" defaultRowHeight="12"/>
  <cols>
    <col min="1" max="1" width="4.7109375" style="540" customWidth="1"/>
    <col min="2" max="3" width="1.7109375" style="539" customWidth="1"/>
    <col min="4" max="4" width="33.7109375" style="539" customWidth="1"/>
    <col min="5" max="5" width="18.85546875" style="566" customWidth="1"/>
    <col min="6" max="33" width="18.85546875" style="565" customWidth="1"/>
    <col min="34" max="42" width="20.42578125" style="565" customWidth="1"/>
    <col min="43" max="44" width="20.42578125" style="539" customWidth="1"/>
    <col min="45" max="16384" width="10.7109375" style="539"/>
  </cols>
  <sheetData>
    <row r="1" spans="1:42">
      <c r="E1" s="566" t="s">
        <v>304</v>
      </c>
      <c r="F1" s="566" t="s">
        <v>310</v>
      </c>
      <c r="G1" s="566" t="s">
        <v>310</v>
      </c>
      <c r="H1" s="566" t="s">
        <v>310</v>
      </c>
      <c r="I1" s="566" t="s">
        <v>310</v>
      </c>
      <c r="J1" s="566" t="s">
        <v>310</v>
      </c>
      <c r="K1" s="566" t="s">
        <v>310</v>
      </c>
      <c r="L1" s="566" t="s">
        <v>310</v>
      </c>
      <c r="M1" s="566" t="s">
        <v>310</v>
      </c>
      <c r="N1" s="566" t="s">
        <v>310</v>
      </c>
      <c r="O1" s="566" t="s">
        <v>310</v>
      </c>
      <c r="P1" s="566" t="s">
        <v>310</v>
      </c>
      <c r="Q1" s="566" t="s">
        <v>310</v>
      </c>
      <c r="R1" s="566" t="s">
        <v>310</v>
      </c>
      <c r="S1" s="566" t="s">
        <v>310</v>
      </c>
      <c r="T1" s="566" t="s">
        <v>310</v>
      </c>
      <c r="U1" s="566" t="s">
        <v>310</v>
      </c>
      <c r="V1" s="566" t="s">
        <v>310</v>
      </c>
      <c r="W1" s="566" t="s">
        <v>310</v>
      </c>
      <c r="X1" s="566" t="s">
        <v>310</v>
      </c>
      <c r="Y1" s="566" t="s">
        <v>310</v>
      </c>
      <c r="Z1" s="566" t="s">
        <v>310</v>
      </c>
      <c r="AA1" s="566" t="s">
        <v>310</v>
      </c>
      <c r="AB1" s="566" t="s">
        <v>310</v>
      </c>
      <c r="AC1" s="566" t="s">
        <v>310</v>
      </c>
      <c r="AD1" s="566" t="s">
        <v>310</v>
      </c>
      <c r="AE1" s="566" t="s">
        <v>310</v>
      </c>
      <c r="AF1" s="566" t="s">
        <v>310</v>
      </c>
      <c r="AG1" s="566" t="s">
        <v>310</v>
      </c>
      <c r="AH1" s="566" t="s">
        <v>310</v>
      </c>
      <c r="AI1" s="566" t="s">
        <v>310</v>
      </c>
      <c r="AJ1" s="566" t="s">
        <v>310</v>
      </c>
      <c r="AK1" s="566" t="s">
        <v>310</v>
      </c>
      <c r="AL1" s="566" t="s">
        <v>310</v>
      </c>
      <c r="AM1" s="566" t="s">
        <v>310</v>
      </c>
      <c r="AN1" s="566" t="s">
        <v>310</v>
      </c>
      <c r="AO1" s="566" t="s">
        <v>310</v>
      </c>
      <c r="AP1" s="566" t="s">
        <v>310</v>
      </c>
    </row>
    <row r="2" spans="1:42" ht="5.25" customHeight="1">
      <c r="D2" s="540"/>
      <c r="E2" s="564"/>
    </row>
    <row r="3" spans="1:42">
      <c r="A3" s="750">
        <f>'Exh. No. BGM-3 4'!A2</f>
        <v>0</v>
      </c>
      <c r="D3" s="540"/>
      <c r="E3" s="539"/>
      <c r="F3" s="567"/>
      <c r="G3" s="567"/>
      <c r="H3" s="567"/>
      <c r="I3" s="567"/>
      <c r="J3" s="567"/>
      <c r="K3" s="567"/>
      <c r="L3" s="567"/>
      <c r="M3" s="567"/>
      <c r="N3" s="567"/>
      <c r="O3" s="567"/>
      <c r="P3" s="567"/>
      <c r="Q3" s="567"/>
      <c r="R3" s="567"/>
      <c r="S3" s="567"/>
      <c r="T3" s="567"/>
      <c r="U3" s="567"/>
      <c r="V3" s="567"/>
      <c r="W3" s="567"/>
      <c r="X3" s="567"/>
      <c r="Y3" s="567"/>
      <c r="Z3" s="864" t="str">
        <f>'Exh. No. BGM-3 4'!Z3</f>
        <v>(Authorized P.S. @ Authorized P/T ratio)</v>
      </c>
      <c r="AA3" s="567"/>
      <c r="AB3" s="567"/>
      <c r="AC3" s="567"/>
      <c r="AD3" s="567"/>
      <c r="AE3" s="567"/>
      <c r="AF3" s="567"/>
      <c r="AG3" s="567"/>
      <c r="AH3" s="567"/>
      <c r="AI3" s="567"/>
      <c r="AJ3" s="567"/>
      <c r="AK3" s="567"/>
      <c r="AL3" s="567"/>
      <c r="AM3" s="567"/>
      <c r="AN3" s="567"/>
      <c r="AO3" s="567"/>
      <c r="AP3" s="567"/>
    </row>
    <row r="4" spans="1:42">
      <c r="A4" s="750" t="str">
        <f>'Exh. No. BGM-3 4'!A3</f>
        <v xml:space="preserve">WASHINGTON ELECTRIC RESULTS - PRO FORMA </v>
      </c>
      <c r="D4" s="540"/>
      <c r="F4" s="567"/>
      <c r="G4" s="567"/>
      <c r="H4" s="567"/>
      <c r="I4" s="567"/>
      <c r="J4" s="567"/>
      <c r="K4" s="567"/>
      <c r="L4" s="567"/>
      <c r="M4" s="567"/>
      <c r="N4" s="567"/>
      <c r="O4" s="567"/>
      <c r="P4" s="567"/>
      <c r="Q4" s="567"/>
      <c r="R4" s="567"/>
      <c r="S4" s="567"/>
      <c r="T4" s="567"/>
      <c r="U4" s="567"/>
      <c r="V4" s="567"/>
      <c r="W4" s="567"/>
      <c r="X4" s="567"/>
      <c r="Y4" s="567"/>
      <c r="Z4" s="864"/>
      <c r="AA4" s="567"/>
      <c r="AB4" s="567"/>
      <c r="AC4" s="567"/>
      <c r="AD4" s="567"/>
      <c r="AE4" s="567"/>
      <c r="AF4" s="567"/>
      <c r="AG4" s="567"/>
      <c r="AH4" s="567"/>
      <c r="AI4" s="567"/>
      <c r="AJ4" s="567"/>
      <c r="AK4" s="567"/>
      <c r="AL4" s="567"/>
      <c r="AM4" s="567"/>
      <c r="AN4" s="567"/>
      <c r="AO4" s="567"/>
      <c r="AP4" s="567"/>
    </row>
    <row r="5" spans="1:42">
      <c r="A5" s="750" t="str">
        <f>'Exh. No. BGM-3 4'!A5</f>
        <v>TWELVE MONTHS ENDED DECEMBER 31, 2016</v>
      </c>
      <c r="D5" s="540"/>
      <c r="Z5" s="864"/>
      <c r="AO5" s="595">
        <f>'Exh. No. BGM-3 4'!AS5</f>
        <v>0</v>
      </c>
    </row>
    <row r="6" spans="1:42" s="542" customFormat="1">
      <c r="A6" s="750" t="str">
        <f>'Exh. No. BGM-3 4'!A6</f>
        <v xml:space="preserve">(000'S OF DOLLARS)  </v>
      </c>
      <c r="D6" s="541"/>
      <c r="E6" s="568"/>
      <c r="F6" s="569"/>
      <c r="G6" s="569"/>
      <c r="H6" s="569"/>
      <c r="I6" s="569"/>
      <c r="J6" s="569"/>
      <c r="K6" s="569"/>
      <c r="L6" s="569"/>
      <c r="M6" s="569"/>
      <c r="N6" s="569"/>
      <c r="O6" s="569"/>
      <c r="P6" s="569"/>
      <c r="Q6" s="569"/>
      <c r="R6" s="569"/>
      <c r="S6" s="569"/>
      <c r="T6" s="569"/>
      <c r="U6" s="569"/>
      <c r="V6" s="569"/>
      <c r="W6" s="569"/>
      <c r="X6" s="569"/>
      <c r="Y6" s="569"/>
      <c r="Z6" s="864"/>
      <c r="AA6" s="795" t="str">
        <f>'Exh. No. BGM-3 4'!AD6</f>
        <v>NON ERM</v>
      </c>
      <c r="AB6" s="569"/>
      <c r="AC6" s="569"/>
      <c r="AD6" s="569"/>
      <c r="AE6" s="569"/>
      <c r="AF6" s="569"/>
      <c r="AG6" s="569"/>
      <c r="AH6" s="569"/>
      <c r="AI6" s="569"/>
      <c r="AJ6" s="569"/>
      <c r="AK6" s="569"/>
      <c r="AL6" s="569"/>
      <c r="AM6" s="569"/>
      <c r="AN6" s="569"/>
      <c r="AO6" s="596" t="str">
        <f>'Exh. No. BGM-3 4'!AS6</f>
        <v>Contested</v>
      </c>
      <c r="AP6" s="569"/>
    </row>
    <row r="7" spans="1:42" s="542" customFormat="1" ht="12" customHeight="1">
      <c r="A7" s="428"/>
      <c r="B7" s="548"/>
      <c r="C7" s="548"/>
      <c r="D7" s="548"/>
      <c r="F7" s="595" t="str">
        <f>'Exh. No. BGM-3 4'!F7</f>
        <v xml:space="preserve">Deferred </v>
      </c>
      <c r="G7" s="595" t="str">
        <f>'Exh. No. BGM-3 4'!G7</f>
        <v xml:space="preserve">Deferred </v>
      </c>
      <c r="H7" s="595" t="str">
        <f>'Exh. No. BGM-3 4'!H7</f>
        <v>Working</v>
      </c>
      <c r="I7" s="595" t="str">
        <f>'Exh. No. BGM-3 4'!I7</f>
        <v>Eliminate</v>
      </c>
      <c r="J7" s="595" t="str">
        <f>'Exh. No. BGM-3 4'!J7</f>
        <v>Restate</v>
      </c>
      <c r="K7" s="595" t="str">
        <f>'Exh. No. BGM-3 4'!K7</f>
        <v>Uncollect.</v>
      </c>
      <c r="L7" s="595" t="str">
        <f>'Exh. No. BGM-3 4'!L7</f>
        <v>Regulatory</v>
      </c>
      <c r="M7" s="595" t="str">
        <f>'Exh. No. BGM-3 4'!M7</f>
        <v>Injuries</v>
      </c>
      <c r="N7" s="595" t="str">
        <f>'Exh. No. BGM-3 4'!N7</f>
        <v>FIT/DFIT/</v>
      </c>
      <c r="O7" s="595" t="str">
        <f>'Exh. No. BGM-3 4'!O7</f>
        <v>Office Space</v>
      </c>
      <c r="P7" s="595" t="str">
        <f>'Exh. No. BGM-3 4'!P7</f>
        <v>Restate</v>
      </c>
      <c r="Q7" s="595" t="str">
        <f>'Exh. No. BGM-3 4'!Q7</f>
        <v>Net</v>
      </c>
      <c r="R7" s="595" t="str">
        <f>'Exh. No. BGM-3 4'!R7</f>
        <v xml:space="preserve">Weather </v>
      </c>
      <c r="S7" s="595" t="str">
        <f>'Exh. No. BGM-3 4'!S7</f>
        <v>Eliminate</v>
      </c>
      <c r="T7" s="595" t="str">
        <f>'Exh. No. BGM-3 4'!T7</f>
        <v>Misc. Restating</v>
      </c>
      <c r="U7" s="595" t="str">
        <f>'Exh. No. BGM-3 4'!U7</f>
        <v>Eliminate</v>
      </c>
      <c r="V7" s="595" t="str">
        <f>'Exh. No. BGM-3 4'!V7</f>
        <v>Nez Perce</v>
      </c>
      <c r="W7" s="595" t="str">
        <f>'Exh. No. BGM-3 4'!W7</f>
        <v xml:space="preserve">Restating </v>
      </c>
      <c r="X7" s="595" t="str">
        <f>'Exh. No. BGM-3 4'!X7</f>
        <v>Normalize</v>
      </c>
      <c r="Y7" s="595" t="str">
        <f>'Exh. No. BGM-3 4'!Y7</f>
        <v>Restate</v>
      </c>
      <c r="Z7" s="595" t="str">
        <f>'Exh. No. BGM-3 4'!Z7</f>
        <v xml:space="preserve">Authorized </v>
      </c>
      <c r="AA7" s="595" t="str">
        <f>'Exh. No. BGM-3 4'!AD7</f>
        <v xml:space="preserve">Pro Forma </v>
      </c>
      <c r="AB7" s="595" t="str">
        <f>'Exh. No. BGM-3 4'!AE7</f>
        <v xml:space="preserve">Pro Forma </v>
      </c>
      <c r="AC7" s="595" t="str">
        <f>'Exh. No. BGM-3 4'!AF7</f>
        <v xml:space="preserve">Pro Forma </v>
      </c>
      <c r="AD7" s="595" t="str">
        <f>'Exh. No. BGM-3 4'!AG7</f>
        <v xml:space="preserve">Pro Forma </v>
      </c>
      <c r="AE7" s="595" t="str">
        <f>'Exh. No. BGM-3 4'!AH7</f>
        <v xml:space="preserve">Pro Forma </v>
      </c>
      <c r="AF7" s="595" t="str">
        <f>'Exh. No. BGM-3 4'!AI7</f>
        <v xml:space="preserve">Pro Forma </v>
      </c>
      <c r="AG7" s="595" t="str">
        <f>'Exh. No. BGM-3 4'!AJ7</f>
        <v xml:space="preserve">Pro Forma </v>
      </c>
      <c r="AH7" s="595" t="str">
        <f>'Exh. No. BGM-3 4'!AK7</f>
        <v>Pro Forma</v>
      </c>
      <c r="AI7" s="595" t="str">
        <f>'Exh. No. BGM-3 4'!AL7</f>
        <v xml:space="preserve">Pro Forma </v>
      </c>
      <c r="AJ7" s="595" t="str">
        <f>'Exh. No. BGM-3 4'!AM7</f>
        <v xml:space="preserve">Pro Forma </v>
      </c>
      <c r="AK7" s="595" t="str">
        <f>'Exh. No. BGM-3 4'!AN7</f>
        <v xml:space="preserve">Pro Forma </v>
      </c>
      <c r="AL7" s="595" t="str">
        <f>'Exh. No. BGM-3 4'!AO7</f>
        <v xml:space="preserve">Pro Forma </v>
      </c>
      <c r="AM7" s="595" t="str">
        <f>'Exh. No. BGM-3 4'!AP7</f>
        <v>PF Normalize</v>
      </c>
      <c r="AN7" s="595" t="str">
        <f>'Exh. No. BGM-3 4'!AQ7</f>
        <v>Pro Forma</v>
      </c>
      <c r="AO7" s="595" t="str">
        <f>'Exh. No. BGM-3 4'!AS7</f>
        <v xml:space="preserve">Pro Forma </v>
      </c>
      <c r="AP7" s="595" t="e">
        <f>'Exh. No. BGM-3 4'!#REF!</f>
        <v>#REF!</v>
      </c>
    </row>
    <row r="8" spans="1:42" s="542" customFormat="1">
      <c r="A8" s="428" t="str">
        <f>'Exh. No. BGM-3 4'!A8</f>
        <v>Line</v>
      </c>
      <c r="B8" s="548"/>
      <c r="C8" s="548"/>
      <c r="D8" s="548"/>
      <c r="E8" s="736" t="s">
        <v>298</v>
      </c>
      <c r="F8" s="595" t="str">
        <f>'Exh. No. BGM-3 4'!F8</f>
        <v>FIT</v>
      </c>
      <c r="G8" s="595" t="str">
        <f>'Exh. No. BGM-3 4'!G8</f>
        <v xml:space="preserve">Debits and </v>
      </c>
      <c r="H8" s="595" t="str">
        <f>'Exh. No. BGM-3 4'!H8</f>
        <v>Capital</v>
      </c>
      <c r="I8" s="595" t="str">
        <f>'Exh. No. BGM-3 4'!I8</f>
        <v>B &amp; O</v>
      </c>
      <c r="J8" s="595" t="str">
        <f>'Exh. No. BGM-3 4'!J8</f>
        <v>Property</v>
      </c>
      <c r="K8" s="595" t="str">
        <f>'Exh. No. BGM-3 4'!K8</f>
        <v>Expense</v>
      </c>
      <c r="L8" s="595" t="str">
        <f>'Exh. No. BGM-3 4'!L8</f>
        <v>Expense</v>
      </c>
      <c r="M8" s="595" t="str">
        <f>'Exh. No. BGM-3 4'!M8</f>
        <v xml:space="preserve">and </v>
      </c>
      <c r="N8" s="595" t="str">
        <f>'Exh. No. BGM-3 4'!N8</f>
        <v>ITC</v>
      </c>
      <c r="O8" s="595" t="str">
        <f>'Exh. No. BGM-3 4'!O8</f>
        <v>Charges to</v>
      </c>
      <c r="P8" s="595" t="str">
        <f>'Exh. No. BGM-3 4'!P8</f>
        <v>Excise</v>
      </c>
      <c r="Q8" s="595" t="str">
        <f>'Exh. No. BGM-3 4'!Q8</f>
        <v xml:space="preserve">Gains / </v>
      </c>
      <c r="R8" s="595" t="str">
        <f>'Exh. No. BGM-3 4'!R8</f>
        <v>Normalization</v>
      </c>
      <c r="S8" s="595" t="str">
        <f>'Exh. No. BGM-3 4'!S8</f>
        <v>Adder</v>
      </c>
      <c r="T8" s="595" t="str">
        <f>'Exh. No. BGM-3 4'!T8</f>
        <v>Non-Util / Non-</v>
      </c>
      <c r="U8" s="595" t="str">
        <f>'Exh. No. BGM-3 4'!U8</f>
        <v>WA Power</v>
      </c>
      <c r="V8" s="595" t="str">
        <f>'Exh. No. BGM-3 4'!V8</f>
        <v>Settlement</v>
      </c>
      <c r="W8" s="595" t="str">
        <f>'Exh. No. BGM-3 4'!W8</f>
        <v>Incentives</v>
      </c>
      <c r="X8" s="595" t="str">
        <f>'Exh. No. BGM-3 4'!X8</f>
        <v>CS2/Colstrip</v>
      </c>
      <c r="Y8" s="595" t="str">
        <f>'Exh. No. BGM-3 4'!Y8</f>
        <v>Debt</v>
      </c>
      <c r="Z8" s="595" t="str">
        <f>'Exh. No. BGM-3 4'!Z8</f>
        <v>Power</v>
      </c>
      <c r="AA8" s="595" t="str">
        <f>'Exh. No. BGM-3 4'!AD8</f>
        <v>Trans/Power Sup</v>
      </c>
      <c r="AB8" s="595" t="str">
        <f>'Exh. No. BGM-3 4'!AE8</f>
        <v>Labor</v>
      </c>
      <c r="AC8" s="595" t="str">
        <f>'Exh. No. BGM-3 4'!AF8</f>
        <v>Labor</v>
      </c>
      <c r="AD8" s="595" t="str">
        <f>'Exh. No. BGM-3 4'!AG8</f>
        <v xml:space="preserve">Employee </v>
      </c>
      <c r="AE8" s="595" t="str">
        <f>'Exh. No. BGM-3 4'!AH8</f>
        <v>Incentive</v>
      </c>
      <c r="AF8" s="595" t="str">
        <f>'Exh. No. BGM-3 4'!AI8</f>
        <v>Property</v>
      </c>
      <c r="AG8" s="595" t="str">
        <f>'Exh. No. BGM-3 4'!AJ8</f>
        <v>IS/IT</v>
      </c>
      <c r="AH8" s="595" t="str">
        <f>'Exh. No. BGM-3 4'!AK8</f>
        <v xml:space="preserve">Revenue </v>
      </c>
      <c r="AI8" s="595" t="str">
        <f>'Exh. No. BGM-3 4'!AL8</f>
        <v>Def. Debits, Credits &amp;</v>
      </c>
      <c r="AJ8" s="595" t="str">
        <f>'Exh. No. BGM-3 4'!AM8</f>
        <v>2017 Threshhold</v>
      </c>
      <c r="AK8" s="595" t="str">
        <f>'Exh. No. BGM-3 4'!AN8</f>
        <v xml:space="preserve">O&amp;M </v>
      </c>
      <c r="AL8" s="595" t="str">
        <f>'Exh. No. BGM-3 4'!AO8</f>
        <v xml:space="preserve">Director </v>
      </c>
      <c r="AM8" s="595" t="str">
        <f>'Exh. No. BGM-3 4'!AP8</f>
        <v>CS2/Colstrip</v>
      </c>
      <c r="AN8" s="595" t="str">
        <f>'Exh. No. BGM-3 4'!AQ8</f>
        <v>Underground</v>
      </c>
      <c r="AO8" s="595" t="str">
        <f>'Exh. No. BGM-3 4'!AS8</f>
        <v>Power Supply</v>
      </c>
      <c r="AP8" s="595" t="e">
        <f>'Exh. No. BGM-3 4'!#REF!</f>
        <v>#REF!</v>
      </c>
    </row>
    <row r="9" spans="1:42" s="542" customFormat="1" ht="11.25" customHeight="1">
      <c r="A9" s="432" t="str">
        <f>'Exh. No. BGM-3 4'!A9</f>
        <v>No.</v>
      </c>
      <c r="B9" s="551"/>
      <c r="C9" s="433" t="s">
        <v>22</v>
      </c>
      <c r="D9" s="551"/>
      <c r="E9" s="429" t="s">
        <v>299</v>
      </c>
      <c r="F9" s="596" t="str">
        <f>'Exh. No. BGM-3 4'!F9</f>
        <v>Rate Base</v>
      </c>
      <c r="G9" s="596" t="str">
        <f>'Exh. No. BGM-3 4'!G9</f>
        <v>Credits</v>
      </c>
      <c r="H9" s="596" t="str">
        <f>'Exh. No. BGM-3 4'!H9</f>
        <v xml:space="preserve"> </v>
      </c>
      <c r="I9" s="596" t="str">
        <f>'Exh. No. BGM-3 4'!I9</f>
        <v>Taxes</v>
      </c>
      <c r="J9" s="596" t="str">
        <f>'Exh. No. BGM-3 4'!J9</f>
        <v>Tax</v>
      </c>
      <c r="K9" s="596" t="str">
        <f>'Exh. No. BGM-3 4'!K9</f>
        <v xml:space="preserve"> </v>
      </c>
      <c r="L9" s="596" t="str">
        <f>'Exh. No. BGM-3 4'!L9</f>
        <v xml:space="preserve"> </v>
      </c>
      <c r="M9" s="596" t="str">
        <f>'Exh. No. BGM-3 4'!M9</f>
        <v>Damages</v>
      </c>
      <c r="N9" s="596" t="str">
        <f>'Exh. No. BGM-3 4'!N9</f>
        <v>Expense</v>
      </c>
      <c r="O9" s="596" t="str">
        <f>'Exh. No. BGM-3 4'!O9</f>
        <v>Non-Utility</v>
      </c>
      <c r="P9" s="596" t="str">
        <f>'Exh. No. BGM-3 4'!P9</f>
        <v>Taxes</v>
      </c>
      <c r="Q9" s="596" t="str">
        <f>'Exh. No. BGM-3 4'!Q9</f>
        <v>Losses</v>
      </c>
      <c r="R9" s="596" t="str">
        <f>'Exh. No. BGM-3 4'!R9</f>
        <v xml:space="preserve"> </v>
      </c>
      <c r="S9" s="596" t="str">
        <f>'Exh. No. BGM-3 4'!S9</f>
        <v>Schedules</v>
      </c>
      <c r="T9" s="596" t="str">
        <f>'Exh. No. BGM-3 4'!T9</f>
        <v>Recurring Expenses</v>
      </c>
      <c r="U9" s="596" t="str">
        <f>'Exh. No. BGM-3 4'!U9</f>
        <v>Cost Defer</v>
      </c>
      <c r="V9" s="596" t="str">
        <f>'Exh. No. BGM-3 4'!V9</f>
        <v>Adjustment</v>
      </c>
      <c r="W9" s="596">
        <f>'Exh. No. BGM-3 4'!W9</f>
        <v>0</v>
      </c>
      <c r="X9" s="596" t="str">
        <f>'Exh. No. BGM-3 4'!X9</f>
        <v>Major Maint</v>
      </c>
      <c r="Y9" s="596" t="str">
        <f>'Exh. No. BGM-3 4'!Y9</f>
        <v>Interest</v>
      </c>
      <c r="Z9" s="596" t="str">
        <f>'Exh. No. BGM-3 4'!Z9</f>
        <v>Supply</v>
      </c>
      <c r="AA9" s="596" t="str">
        <f>'Exh. No. BGM-3 4'!AD9</f>
        <v>Non-ERM Rev/Exp</v>
      </c>
      <c r="AB9" s="596" t="str">
        <f>'Exh. No. BGM-3 4'!AE9</f>
        <v>Non-Exec</v>
      </c>
      <c r="AC9" s="596" t="str">
        <f>'Exh. No. BGM-3 4'!AF9</f>
        <v>Exec</v>
      </c>
      <c r="AD9" s="596" t="str">
        <f>'Exh. No. BGM-3 4'!AG9</f>
        <v>Benefits</v>
      </c>
      <c r="AE9" s="596" t="str">
        <f>'Exh. No. BGM-3 4'!AH9</f>
        <v>Expenses</v>
      </c>
      <c r="AF9" s="596" t="str">
        <f>'Exh. No. BGM-3 4'!AI9</f>
        <v>Tax</v>
      </c>
      <c r="AG9" s="596" t="str">
        <f>'Exh. No. BGM-3 4'!AJ9</f>
        <v>Expense</v>
      </c>
      <c r="AH9" s="596" t="str">
        <f>'Exh. No. BGM-3 4'!AK9</f>
        <v>Normalization</v>
      </c>
      <c r="AI9" s="596" t="str">
        <f>'Exh. No. BGM-3 4'!AL9</f>
        <v>Regulatory Amorts</v>
      </c>
      <c r="AJ9" s="596" t="str">
        <f>'Exh. No. BGM-3 4'!AM9</f>
        <v>Capital Adds</v>
      </c>
      <c r="AK9" s="596" t="str">
        <f>'Exh. No. BGM-3 4'!AN9</f>
        <v xml:space="preserve"> Offsets</v>
      </c>
      <c r="AL9" s="596" t="str">
        <f>'Exh. No. BGM-3 4'!AO9</f>
        <v>Fees Exp</v>
      </c>
      <c r="AM9" s="596" t="str">
        <f>'Exh. No. BGM-3 4'!AP9</f>
        <v>Major Maint</v>
      </c>
      <c r="AN9" s="596" t="str">
        <f>'Exh. No. BGM-3 4'!AQ9</f>
        <v>Equip Inspection</v>
      </c>
      <c r="AO9" s="596" t="str">
        <f>'Exh. No. BGM-3 4'!AS9</f>
        <v>&amp; Transm Revs</v>
      </c>
      <c r="AP9" s="596" t="e">
        <f>'Exh. No. BGM-3 4'!#REF!</f>
        <v>#REF!</v>
      </c>
    </row>
    <row r="10" spans="1:42" s="591" customFormat="1">
      <c r="B10" s="594" t="s">
        <v>605</v>
      </c>
      <c r="E10" s="593">
        <v>1</v>
      </c>
      <c r="F10" s="592">
        <f>'Exh. No. BGM-3 4'!F10</f>
        <v>1.01</v>
      </c>
      <c r="G10" s="592">
        <f>'Exh. No. BGM-3 4'!G10</f>
        <v>1.02</v>
      </c>
      <c r="H10" s="592">
        <f>'Exh. No. BGM-3 4'!H10</f>
        <v>1.03</v>
      </c>
      <c r="I10" s="592">
        <f>'Exh. No. BGM-3 4'!I10</f>
        <v>2.0099999999999998</v>
      </c>
      <c r="J10" s="592">
        <f>'Exh. No. BGM-3 4'!J10</f>
        <v>2.0199999999999996</v>
      </c>
      <c r="K10" s="592">
        <f>'Exh. No. BGM-3 4'!K10</f>
        <v>2.0299999999999994</v>
      </c>
      <c r="L10" s="592">
        <f>'Exh. No. BGM-3 4'!L10</f>
        <v>2.0399999999999991</v>
      </c>
      <c r="M10" s="592">
        <f>'Exh. No. BGM-3 4'!M10</f>
        <v>2.0499999999999989</v>
      </c>
      <c r="N10" s="592">
        <f>'Exh. No. BGM-3 4'!N10</f>
        <v>2.0599999999999987</v>
      </c>
      <c r="O10" s="592">
        <f>'Exh. No. BGM-3 4'!O10</f>
        <v>2.0699999999999985</v>
      </c>
      <c r="P10" s="592">
        <f>'Exh. No. BGM-3 4'!P10</f>
        <v>2.0799999999999983</v>
      </c>
      <c r="Q10" s="592">
        <f>'Exh. No. BGM-3 4'!Q10</f>
        <v>2.0899999999999981</v>
      </c>
      <c r="R10" s="592">
        <f>'Exh. No. BGM-3 4'!R10</f>
        <v>2.0999999999999979</v>
      </c>
      <c r="S10" s="592">
        <f>'Exh. No. BGM-3 4'!S10</f>
        <v>2.1099999999999977</v>
      </c>
      <c r="T10" s="592">
        <f>'Exh. No. BGM-3 4'!T10</f>
        <v>2.1199999999999974</v>
      </c>
      <c r="U10" s="592">
        <f>'Exh. No. BGM-3 4'!U10</f>
        <v>2.1299999999999972</v>
      </c>
      <c r="V10" s="592">
        <f>'Exh. No. BGM-3 4'!V10</f>
        <v>2.139999999999997</v>
      </c>
      <c r="W10" s="592">
        <f>'Exh. No. BGM-3 4'!W10</f>
        <v>2.1499999999999968</v>
      </c>
      <c r="X10" s="592">
        <f>'Exh. No. BGM-3 4'!X10</f>
        <v>2.1599999999999966</v>
      </c>
      <c r="Y10" s="592">
        <f>'Exh. No. BGM-3 4'!Y10</f>
        <v>2.1699999999999964</v>
      </c>
      <c r="Z10" s="592">
        <f>'Exh. No. BGM-3 4'!Z10</f>
        <v>2.1799999999999962</v>
      </c>
      <c r="AA10" s="592">
        <f>'Exh. No. BGM-3 4'!AD10</f>
        <v>3.01</v>
      </c>
      <c r="AB10" s="592">
        <f>'Exh. No. BGM-3 4'!AE10</f>
        <v>3.0199999999999996</v>
      </c>
      <c r="AC10" s="592">
        <f>'Exh. No. BGM-3 4'!AF10</f>
        <v>3.0299999999999994</v>
      </c>
      <c r="AD10" s="592">
        <f>'Exh. No. BGM-3 4'!AG10</f>
        <v>3.0399999999999991</v>
      </c>
      <c r="AE10" s="592">
        <f>'Exh. No. BGM-3 4'!AH10</f>
        <v>3.0499999999999989</v>
      </c>
      <c r="AF10" s="592">
        <f>'Exh. No. BGM-3 4'!AI10</f>
        <v>3.0599999999999987</v>
      </c>
      <c r="AG10" s="592">
        <f>'Exh. No. BGM-3 4'!AJ10</f>
        <v>3.0699999999999985</v>
      </c>
      <c r="AH10" s="592">
        <f>'Exh. No. BGM-3 4'!AK10</f>
        <v>3.0799999999999983</v>
      </c>
      <c r="AI10" s="592">
        <f>'Exh. No. BGM-3 4'!AL10</f>
        <v>3.0899999999999981</v>
      </c>
      <c r="AJ10" s="592">
        <f>'Exh. No. BGM-3 4'!AM10</f>
        <v>3.0999999999999979</v>
      </c>
      <c r="AK10" s="592">
        <f>'Exh. No. BGM-3 4'!AN10</f>
        <v>3.1099999999999977</v>
      </c>
      <c r="AL10" s="592">
        <f>'Exh. No. BGM-3 4'!AO10</f>
        <v>3.1199999999999974</v>
      </c>
      <c r="AM10" s="592">
        <f>'Exh. No. BGM-3 4'!AP10</f>
        <v>3.1299999999999972</v>
      </c>
      <c r="AN10" s="592">
        <f>'Exh. No. BGM-3 4'!AQ10</f>
        <v>3.139999999999997</v>
      </c>
      <c r="AO10" s="592">
        <f>'Exh. No. BGM-3 4'!AS10</f>
        <v>4</v>
      </c>
      <c r="AP10" s="592" t="e">
        <f>'Exh. No. BGM-3 4'!#REF!</f>
        <v>#REF!</v>
      </c>
    </row>
    <row r="11" spans="1:42" s="591" customFormat="1">
      <c r="A11" s="430"/>
      <c r="B11" s="431" t="s">
        <v>606</v>
      </c>
      <c r="C11" s="430"/>
      <c r="D11" s="430"/>
      <c r="E11" s="597" t="str">
        <f>'Exh. No. BGM-3 4'!E11</f>
        <v>E-ROO</v>
      </c>
      <c r="F11" s="597" t="str">
        <f>'Exh. No. BGM-3 4'!F11</f>
        <v>E-DFIT</v>
      </c>
      <c r="G11" s="597" t="str">
        <f>'Exh. No. BGM-3 4'!G11</f>
        <v>E-DDC</v>
      </c>
      <c r="H11" s="597" t="str">
        <f>'Exh. No. BGM-3 4'!H11</f>
        <v xml:space="preserve">E-WC </v>
      </c>
      <c r="I11" s="597" t="str">
        <f>'Exh. No. BGM-3 4'!I11</f>
        <v>E-EBO</v>
      </c>
      <c r="J11" s="597" t="str">
        <f>'Exh. No. BGM-3 4'!J11</f>
        <v>E-RPT</v>
      </c>
      <c r="K11" s="597" t="str">
        <f>'Exh. No. BGM-3 4'!K11</f>
        <v>E-UE</v>
      </c>
      <c r="L11" s="597" t="str">
        <f>'Exh. No. BGM-3 4'!L11</f>
        <v>E-RE</v>
      </c>
      <c r="M11" s="597" t="str">
        <f>'Exh. No. BGM-3 4'!M11</f>
        <v>E-ID</v>
      </c>
      <c r="N11" s="597" t="str">
        <f>'Exh. No. BGM-3 4'!N11</f>
        <v xml:space="preserve">E-FIT </v>
      </c>
      <c r="O11" s="597" t="str">
        <f>'Exh. No. BGM-3 4'!O11</f>
        <v>E-OSC</v>
      </c>
      <c r="P11" s="597" t="str">
        <f>'Exh. No. BGM-3 4'!P11</f>
        <v>E-RET</v>
      </c>
      <c r="Q11" s="597" t="str">
        <f>'Exh. No. BGM-3 4'!Q11</f>
        <v>E-NGL</v>
      </c>
      <c r="R11" s="597" t="str">
        <f>'Exh. No. BGM-3 4'!R11</f>
        <v>E-WN</v>
      </c>
      <c r="S11" s="597" t="str">
        <f>'Exh. No. BGM-3 4'!S11</f>
        <v>E-EAS</v>
      </c>
      <c r="T11" s="597" t="str">
        <f>'Exh. No. BGM-3 4'!T11</f>
        <v>E-MR</v>
      </c>
      <c r="U11" s="597" t="str">
        <f>'Exh. No. BGM-3 4'!U11</f>
        <v>E-EWPC</v>
      </c>
      <c r="V11" s="597" t="str">
        <f>'Exh. No. BGM-3 4'!V11</f>
        <v>E-NPS</v>
      </c>
      <c r="W11" s="597" t="str">
        <f>'Exh. No. BGM-3 4'!W11</f>
        <v>E-RI</v>
      </c>
      <c r="X11" s="597" t="str">
        <f>'Exh. No. BGM-3 4'!X11</f>
        <v>E-PMM</v>
      </c>
      <c r="Y11" s="597" t="str">
        <f>'Exh. No. BGM-3 4'!Y11</f>
        <v>E-RDI</v>
      </c>
      <c r="Z11" s="597" t="str">
        <f>'Exh. No. BGM-3 4'!Z11</f>
        <v>E-APS</v>
      </c>
      <c r="AA11" s="597" t="str">
        <f>'Exh. No. BGM-3 4'!AD11</f>
        <v>E-PTR</v>
      </c>
      <c r="AB11" s="597" t="str">
        <f>'Exh. No. BGM-3 4'!AE11</f>
        <v>E-PLN</v>
      </c>
      <c r="AC11" s="597" t="str">
        <f>'Exh. No. BGM-3 4'!AF11</f>
        <v>E-PLE</v>
      </c>
      <c r="AD11" s="597" t="str">
        <f>'Exh. No. BGM-3 4'!AG11</f>
        <v>E-PEB</v>
      </c>
      <c r="AE11" s="597" t="str">
        <f>'Exh. No. BGM-3 4'!AH11</f>
        <v>E-PI</v>
      </c>
      <c r="AF11" s="597" t="str">
        <f>'Exh. No. BGM-3 4'!AI11</f>
        <v>E-PPT</v>
      </c>
      <c r="AG11" s="597" t="str">
        <f>'Exh. No. BGM-3 4'!AJ11</f>
        <v>E-CI</v>
      </c>
      <c r="AH11" s="597" t="str">
        <f>'Exh. No. BGM-3 4'!AK11</f>
        <v>E-PREV</v>
      </c>
      <c r="AI11" s="597" t="str">
        <f>'Exh. No. BGM-3 4'!AL11</f>
        <v>E-PRA</v>
      </c>
      <c r="AJ11" s="597" t="str">
        <f>'Exh. No. BGM-3 4'!AM11</f>
        <v>E-PCAP16</v>
      </c>
      <c r="AK11" s="597" t="str">
        <f>'Exh. No. BGM-3 4'!AN11</f>
        <v>E-POFF</v>
      </c>
      <c r="AL11" s="597" t="str">
        <f>'Exh. No. BGM-3 4'!AO11</f>
        <v>E-PDF</v>
      </c>
      <c r="AM11" s="597" t="str">
        <f>'Exh. No. BGM-3 4'!AP11</f>
        <v>E-PNM</v>
      </c>
      <c r="AN11" s="597" t="str">
        <f>'Exh. No. BGM-3 4'!AQ11</f>
        <v>E-PUEI</v>
      </c>
      <c r="AO11" s="597" t="str">
        <f>'Exh. No. BGM-3 4'!AS11</f>
        <v>E-PPS</v>
      </c>
      <c r="AP11" s="597" t="e">
        <f>'Exh. No. BGM-3 4'!#REF!</f>
        <v>#REF!</v>
      </c>
    </row>
    <row r="12" spans="1:42" s="591" customFormat="1">
      <c r="B12" s="594"/>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row>
    <row r="13" spans="1:42">
      <c r="B13" s="539" t="str">
        <f>'Exh. No. BGM-3 4'!B13</f>
        <v xml:space="preserve">REVENUES  </v>
      </c>
    </row>
    <row r="14" spans="1:42" s="553" customFormat="1">
      <c r="A14" s="552">
        <f>'Exh. No. BGM-3 4'!A14</f>
        <v>1</v>
      </c>
      <c r="B14" s="553" t="str">
        <f>'Exh. No. BGM-3 4'!B14</f>
        <v xml:space="preserve">Total General Business  </v>
      </c>
      <c r="E14" s="582">
        <f>'Exh. No. BGM-3 4'!E14</f>
        <v>516333</v>
      </c>
      <c r="F14" s="590">
        <f>'Exh. No. BGM-3 4'!F14</f>
        <v>0</v>
      </c>
      <c r="G14" s="590">
        <f>'Exh. No. BGM-3 4'!G14</f>
        <v>0</v>
      </c>
      <c r="H14" s="590">
        <f>'Exh. No. BGM-3 4'!H14</f>
        <v>0</v>
      </c>
      <c r="I14" s="590">
        <f>'Exh. No. BGM-3 4'!I14</f>
        <v>-17807</v>
      </c>
      <c r="J14" s="590">
        <f>'Exh. No. BGM-3 4'!J14</f>
        <v>0</v>
      </c>
      <c r="K14" s="590">
        <f>'Exh. No. BGM-3 4'!K14</f>
        <v>0</v>
      </c>
      <c r="L14" s="590">
        <f>'Exh. No. BGM-3 4'!L14</f>
        <v>0</v>
      </c>
      <c r="M14" s="590">
        <f>'Exh. No. BGM-3 4'!M14</f>
        <v>0</v>
      </c>
      <c r="N14" s="590">
        <f>'Exh. No. BGM-3 4'!N14</f>
        <v>0</v>
      </c>
      <c r="O14" s="590">
        <f>'Exh. No. BGM-3 4'!O14</f>
        <v>0</v>
      </c>
      <c r="P14" s="590">
        <f>'Exh. No. BGM-3 4'!P14</f>
        <v>0</v>
      </c>
      <c r="Q14" s="590">
        <f>'Exh. No. BGM-3 4'!Q14</f>
        <v>0</v>
      </c>
      <c r="R14" s="590">
        <f>'Exh. No. BGM-3 4'!R14</f>
        <v>7392</v>
      </c>
      <c r="S14" s="590">
        <f>'Exh. No. BGM-3 4'!S14</f>
        <v>-18203</v>
      </c>
      <c r="T14" s="590">
        <f>'Exh. No. BGM-3 4'!T14</f>
        <v>0</v>
      </c>
      <c r="U14" s="590">
        <f>'Exh. No. BGM-3 4'!U14</f>
        <v>4698</v>
      </c>
      <c r="V14" s="590">
        <f>'Exh. No. BGM-3 4'!V14</f>
        <v>0</v>
      </c>
      <c r="W14" s="590">
        <f>'Exh. No. BGM-3 4'!W14</f>
        <v>0</v>
      </c>
      <c r="X14" s="590">
        <f>'Exh. No. BGM-3 4'!X14</f>
        <v>0</v>
      </c>
      <c r="Y14" s="590">
        <f>'Exh. No. BGM-3 4'!Y14</f>
        <v>0</v>
      </c>
      <c r="Z14" s="590">
        <f>'Exh. No. BGM-3 4'!Z14</f>
        <v>0</v>
      </c>
      <c r="AA14" s="590">
        <f>'Exh. No. BGM-3 4'!AD14</f>
        <v>0</v>
      </c>
      <c r="AB14" s="590">
        <f>'Exh. No. BGM-3 4'!AE14</f>
        <v>0</v>
      </c>
      <c r="AC14" s="590">
        <f>'Exh. No. BGM-3 4'!AF14</f>
        <v>0</v>
      </c>
      <c r="AD14" s="590">
        <f>'Exh. No. BGM-3 4'!AG14</f>
        <v>0</v>
      </c>
      <c r="AE14" s="590">
        <f>'Exh. No. BGM-3 4'!AH14</f>
        <v>0</v>
      </c>
      <c r="AF14" s="590">
        <f>'Exh. No. BGM-3 4'!AI14</f>
        <v>0</v>
      </c>
      <c r="AG14" s="590">
        <f>'Exh. No. BGM-3 4'!AJ14</f>
        <v>0</v>
      </c>
      <c r="AH14" s="590">
        <f>'Exh. No. BGM-3 4'!AK14</f>
        <v>-1225</v>
      </c>
      <c r="AI14" s="590">
        <f>'Exh. No. BGM-3 4'!AL14</f>
        <v>0</v>
      </c>
      <c r="AJ14" s="590">
        <f>'Exh. No. BGM-3 4'!AM14</f>
        <v>0</v>
      </c>
      <c r="AK14" s="590">
        <f>'Exh. No. BGM-3 4'!AN14</f>
        <v>0</v>
      </c>
      <c r="AL14" s="590">
        <f>'Exh. No. BGM-3 4'!AO14</f>
        <v>0</v>
      </c>
      <c r="AM14" s="590">
        <f>'Exh. No. BGM-3 4'!AP14</f>
        <v>0</v>
      </c>
      <c r="AN14" s="590">
        <f>'Exh. No. BGM-3 4'!AQ14</f>
        <v>0</v>
      </c>
      <c r="AO14" s="590">
        <f>'Exh. No. BGM-3 4'!AS14</f>
        <v>0</v>
      </c>
      <c r="AP14" s="590" t="e">
        <f>'Exh. No. BGM-3 4'!#REF!</f>
        <v>#REF!</v>
      </c>
    </row>
    <row r="15" spans="1:42" s="554" customFormat="1">
      <c r="A15" s="552">
        <f>'Exh. No. BGM-3 4'!A15</f>
        <v>2</v>
      </c>
      <c r="B15" s="554" t="str">
        <f>'Exh. No. BGM-3 4'!B15</f>
        <v xml:space="preserve">Interdepartmental Sales  </v>
      </c>
      <c r="E15" s="557">
        <f>'Exh. No. BGM-3 4'!E15</f>
        <v>946</v>
      </c>
      <c r="F15" s="565">
        <f>'Exh. No. BGM-3 4'!F15</f>
        <v>0</v>
      </c>
      <c r="G15" s="565">
        <f>'Exh. No. BGM-3 4'!G15</f>
        <v>0</v>
      </c>
      <c r="H15" s="565">
        <f>'Exh. No. BGM-3 4'!H15</f>
        <v>0</v>
      </c>
      <c r="I15" s="565">
        <f>'Exh. No. BGM-3 4'!I15</f>
        <v>0</v>
      </c>
      <c r="J15" s="565">
        <f>'Exh. No. BGM-3 4'!J15</f>
        <v>0</v>
      </c>
      <c r="K15" s="565">
        <f>'Exh. No. BGM-3 4'!K15</f>
        <v>0</v>
      </c>
      <c r="L15" s="565">
        <f>'Exh. No. BGM-3 4'!L15</f>
        <v>0</v>
      </c>
      <c r="M15" s="565">
        <f>'Exh. No. BGM-3 4'!M15</f>
        <v>0</v>
      </c>
      <c r="N15" s="565">
        <f>'Exh. No. BGM-3 4'!N15</f>
        <v>0</v>
      </c>
      <c r="O15" s="565">
        <f>'Exh. No. BGM-3 4'!O15</f>
        <v>0</v>
      </c>
      <c r="P15" s="565">
        <f>'Exh. No. BGM-3 4'!P15</f>
        <v>0</v>
      </c>
      <c r="Q15" s="565">
        <f>'Exh. No. BGM-3 4'!Q15</f>
        <v>0</v>
      </c>
      <c r="R15" s="565">
        <f>'Exh. No. BGM-3 4'!R15</f>
        <v>0</v>
      </c>
      <c r="S15" s="565">
        <f>'Exh. No. BGM-3 4'!S15</f>
        <v>0</v>
      </c>
      <c r="T15" s="565">
        <f>'Exh. No. BGM-3 4'!T15</f>
        <v>0</v>
      </c>
      <c r="U15" s="565" t="str">
        <f>'Exh. No. BGM-3 4'!U15</f>
        <v>`</v>
      </c>
      <c r="V15" s="565">
        <f>'Exh. No. BGM-3 4'!V15</f>
        <v>0</v>
      </c>
      <c r="W15" s="565">
        <f>'Exh. No. BGM-3 4'!W15</f>
        <v>0</v>
      </c>
      <c r="X15" s="565">
        <f>'Exh. No. BGM-3 4'!X15</f>
        <v>0</v>
      </c>
      <c r="Y15" s="565">
        <f>'Exh. No. BGM-3 4'!Y15</f>
        <v>0</v>
      </c>
      <c r="Z15" s="565">
        <f>'Exh. No. BGM-3 4'!Z15</f>
        <v>0</v>
      </c>
      <c r="AA15" s="565">
        <f>'Exh. No. BGM-3 4'!AD15</f>
        <v>0</v>
      </c>
      <c r="AB15" s="565">
        <f>'Exh. No. BGM-3 4'!AE15</f>
        <v>0</v>
      </c>
      <c r="AC15" s="565">
        <f>'Exh. No. BGM-3 4'!AF15</f>
        <v>0</v>
      </c>
      <c r="AD15" s="565">
        <f>'Exh. No. BGM-3 4'!AG15</f>
        <v>0</v>
      </c>
      <c r="AE15" s="565">
        <f>'Exh. No. BGM-3 4'!AH15</f>
        <v>0</v>
      </c>
      <c r="AF15" s="565">
        <f>'Exh. No. BGM-3 4'!AI15</f>
        <v>0</v>
      </c>
      <c r="AG15" s="565">
        <f>'Exh. No. BGM-3 4'!AJ15</f>
        <v>0</v>
      </c>
      <c r="AH15" s="565">
        <f>'Exh. No. BGM-3 4'!AK15</f>
        <v>0</v>
      </c>
      <c r="AI15" s="565">
        <f>'Exh. No. BGM-3 4'!AL15</f>
        <v>0</v>
      </c>
      <c r="AJ15" s="565">
        <f>'Exh. No. BGM-3 4'!AM15</f>
        <v>0</v>
      </c>
      <c r="AK15" s="565">
        <f>'Exh. No. BGM-3 4'!AN15</f>
        <v>0</v>
      </c>
      <c r="AL15" s="565">
        <f>'Exh. No. BGM-3 4'!AO15</f>
        <v>0</v>
      </c>
      <c r="AM15" s="565">
        <f>'Exh. No. BGM-3 4'!AP15</f>
        <v>0</v>
      </c>
      <c r="AN15" s="565">
        <f>'Exh. No. BGM-3 4'!AQ15</f>
        <v>0</v>
      </c>
      <c r="AO15" s="565">
        <f>'Exh. No. BGM-3 4'!AS15</f>
        <v>0</v>
      </c>
      <c r="AP15" s="565" t="e">
        <f>'Exh. No. BGM-3 4'!#REF!</f>
        <v>#REF!</v>
      </c>
    </row>
    <row r="16" spans="1:42" s="554" customFormat="1">
      <c r="A16" s="552">
        <f>'Exh. No. BGM-3 4'!A16</f>
        <v>3</v>
      </c>
      <c r="B16" s="554" t="str">
        <f>'Exh. No. BGM-3 4'!B16</f>
        <v xml:space="preserve">Sales for Resale  </v>
      </c>
      <c r="E16" s="587">
        <f>'Exh. No. BGM-3 4'!E16</f>
        <v>78098</v>
      </c>
      <c r="F16" s="577">
        <f>'Exh. No. BGM-3 4'!F16</f>
        <v>0</v>
      </c>
      <c r="G16" s="577">
        <f>'Exh. No. BGM-3 4'!G16</f>
        <v>0</v>
      </c>
      <c r="H16" s="577">
        <f>'Exh. No. BGM-3 4'!H16</f>
        <v>0</v>
      </c>
      <c r="I16" s="577">
        <f>'Exh. No. BGM-3 4'!I16</f>
        <v>0</v>
      </c>
      <c r="J16" s="577">
        <f>'Exh. No. BGM-3 4'!J16</f>
        <v>0</v>
      </c>
      <c r="K16" s="577">
        <f>'Exh. No. BGM-3 4'!K16</f>
        <v>0</v>
      </c>
      <c r="L16" s="577">
        <f>'Exh. No. BGM-3 4'!L16</f>
        <v>0</v>
      </c>
      <c r="M16" s="577">
        <f>'Exh. No. BGM-3 4'!M16</f>
        <v>0</v>
      </c>
      <c r="N16" s="577">
        <f>'Exh. No. BGM-3 4'!N16</f>
        <v>0</v>
      </c>
      <c r="O16" s="577">
        <f>'Exh. No. BGM-3 4'!O16</f>
        <v>0</v>
      </c>
      <c r="P16" s="577">
        <f>'Exh. No. BGM-3 4'!P16</f>
        <v>0</v>
      </c>
      <c r="Q16" s="577">
        <f>'Exh. No. BGM-3 4'!Q16</f>
        <v>0</v>
      </c>
      <c r="R16" s="577">
        <f>'Exh. No. BGM-3 4'!R16</f>
        <v>0</v>
      </c>
      <c r="S16" s="577">
        <f>'Exh. No. BGM-3 4'!S16</f>
        <v>0</v>
      </c>
      <c r="T16" s="577">
        <f>'Exh. No. BGM-3 4'!T16</f>
        <v>0</v>
      </c>
      <c r="U16" s="577">
        <f>'Exh. No. BGM-3 4'!U16</f>
        <v>0</v>
      </c>
      <c r="V16" s="577">
        <f>'Exh. No. BGM-3 4'!V16</f>
        <v>0</v>
      </c>
      <c r="W16" s="577">
        <f>'Exh. No. BGM-3 4'!W16</f>
        <v>0</v>
      </c>
      <c r="X16" s="577">
        <f>'Exh. No. BGM-3 4'!X16</f>
        <v>0</v>
      </c>
      <c r="Y16" s="577">
        <f>'Exh. No. BGM-3 4'!Y16</f>
        <v>0</v>
      </c>
      <c r="Z16" s="577">
        <f>'Exh. No. BGM-3 4'!Z16</f>
        <v>-20773</v>
      </c>
      <c r="AA16" s="577">
        <f>'Exh. No. BGM-3 4'!AD16</f>
        <v>0</v>
      </c>
      <c r="AB16" s="577">
        <f>'Exh. No. BGM-3 4'!AE16</f>
        <v>0</v>
      </c>
      <c r="AC16" s="577">
        <f>'Exh. No. BGM-3 4'!AF16</f>
        <v>0</v>
      </c>
      <c r="AD16" s="577">
        <f>'Exh. No. BGM-3 4'!AG16</f>
        <v>0</v>
      </c>
      <c r="AE16" s="577">
        <f>'Exh. No. BGM-3 4'!AH16</f>
        <v>0</v>
      </c>
      <c r="AF16" s="577">
        <f>'Exh. No. BGM-3 4'!AI16</f>
        <v>0</v>
      </c>
      <c r="AG16" s="577">
        <f>'Exh. No. BGM-3 4'!AJ16</f>
        <v>0</v>
      </c>
      <c r="AH16" s="577">
        <f>'Exh. No. BGM-3 4'!AK16</f>
        <v>0</v>
      </c>
      <c r="AI16" s="577">
        <f>'Exh. No. BGM-3 4'!AL16</f>
        <v>0</v>
      </c>
      <c r="AJ16" s="577">
        <f>'Exh. No. BGM-3 4'!AM16</f>
        <v>0</v>
      </c>
      <c r="AK16" s="577">
        <f>'Exh. No. BGM-3 4'!AN16</f>
        <v>0</v>
      </c>
      <c r="AL16" s="577">
        <f>'Exh. No. BGM-3 4'!AO16</f>
        <v>0</v>
      </c>
      <c r="AM16" s="577">
        <f>'Exh. No. BGM-3 4'!AP16</f>
        <v>0</v>
      </c>
      <c r="AN16" s="577">
        <f>'Exh. No. BGM-3 4'!AQ16</f>
        <v>0</v>
      </c>
      <c r="AO16" s="577">
        <f>'Exh. No. BGM-3 4'!AS16</f>
        <v>0</v>
      </c>
      <c r="AP16" s="577" t="e">
        <f>'Exh. No. BGM-3 4'!#REF!</f>
        <v>#REF!</v>
      </c>
    </row>
    <row r="17" spans="1:42" s="554" customFormat="1">
      <c r="A17" s="552">
        <f>'Exh. No. BGM-3 4'!A17</f>
        <v>4</v>
      </c>
      <c r="B17" s="554" t="str">
        <f>'Exh. No. BGM-3 4'!B17</f>
        <v xml:space="preserve">Total Sales of Electricity  </v>
      </c>
      <c r="E17" s="557">
        <f>'Exh. No. BGM-3 4'!E17</f>
        <v>595377</v>
      </c>
      <c r="F17" s="565">
        <f>'Exh. No. BGM-3 4'!F17</f>
        <v>0</v>
      </c>
      <c r="G17" s="565">
        <f>'Exh. No. BGM-3 4'!G17</f>
        <v>0</v>
      </c>
      <c r="H17" s="565">
        <f>'Exh. No. BGM-3 4'!H17</f>
        <v>0</v>
      </c>
      <c r="I17" s="565">
        <f>'Exh. No. BGM-3 4'!I17</f>
        <v>-17807</v>
      </c>
      <c r="J17" s="565">
        <f>'Exh. No. BGM-3 4'!J17</f>
        <v>0</v>
      </c>
      <c r="K17" s="565">
        <f>'Exh. No. BGM-3 4'!K17</f>
        <v>0</v>
      </c>
      <c r="L17" s="565">
        <f>'Exh. No. BGM-3 4'!L17</f>
        <v>0</v>
      </c>
      <c r="M17" s="565">
        <f>'Exh. No. BGM-3 4'!M17</f>
        <v>0</v>
      </c>
      <c r="N17" s="565">
        <f>'Exh. No. BGM-3 4'!N17</f>
        <v>0</v>
      </c>
      <c r="O17" s="565">
        <f>'Exh. No. BGM-3 4'!O17</f>
        <v>0</v>
      </c>
      <c r="P17" s="565">
        <f>'Exh. No. BGM-3 4'!P17</f>
        <v>0</v>
      </c>
      <c r="Q17" s="565">
        <f>'Exh. No. BGM-3 4'!Q17</f>
        <v>0</v>
      </c>
      <c r="R17" s="565">
        <f>'Exh. No. BGM-3 4'!R17</f>
        <v>7392</v>
      </c>
      <c r="S17" s="565">
        <f>'Exh. No. BGM-3 4'!S17</f>
        <v>-18203</v>
      </c>
      <c r="T17" s="565">
        <f>'Exh. No. BGM-3 4'!T17</f>
        <v>0</v>
      </c>
      <c r="U17" s="565">
        <f>'Exh. No. BGM-3 4'!U17</f>
        <v>4698</v>
      </c>
      <c r="V17" s="565">
        <f>'Exh. No. BGM-3 4'!V17</f>
        <v>0</v>
      </c>
      <c r="W17" s="565">
        <f>'Exh. No. BGM-3 4'!W17</f>
        <v>0</v>
      </c>
      <c r="X17" s="565">
        <f>'Exh. No. BGM-3 4'!X17</f>
        <v>0</v>
      </c>
      <c r="Y17" s="565">
        <f>'Exh. No. BGM-3 4'!Y17</f>
        <v>0</v>
      </c>
      <c r="Z17" s="565">
        <f>'Exh. No. BGM-3 4'!Z17</f>
        <v>-20773</v>
      </c>
      <c r="AA17" s="565">
        <f>'Exh. No. BGM-3 4'!AD17</f>
        <v>0</v>
      </c>
      <c r="AB17" s="565">
        <f>'Exh. No. BGM-3 4'!AE17</f>
        <v>0</v>
      </c>
      <c r="AC17" s="565">
        <f>'Exh. No. BGM-3 4'!AF17</f>
        <v>0</v>
      </c>
      <c r="AD17" s="565">
        <f>'Exh. No. BGM-3 4'!AG17</f>
        <v>0</v>
      </c>
      <c r="AE17" s="565">
        <f>'Exh. No. BGM-3 4'!AH17</f>
        <v>0</v>
      </c>
      <c r="AF17" s="565">
        <f>'Exh. No. BGM-3 4'!AI17</f>
        <v>0</v>
      </c>
      <c r="AG17" s="565">
        <f>'Exh. No. BGM-3 4'!AJ17</f>
        <v>0</v>
      </c>
      <c r="AH17" s="565">
        <f>'Exh. No. BGM-3 4'!AK17</f>
        <v>-1225</v>
      </c>
      <c r="AI17" s="565">
        <f>'Exh. No. BGM-3 4'!AL17</f>
        <v>0</v>
      </c>
      <c r="AJ17" s="565">
        <f>'Exh. No. BGM-3 4'!AM17</f>
        <v>0</v>
      </c>
      <c r="AK17" s="565">
        <f>'Exh. No. BGM-3 4'!AN17</f>
        <v>0</v>
      </c>
      <c r="AL17" s="565">
        <f>'Exh. No. BGM-3 4'!AO17</f>
        <v>0</v>
      </c>
      <c r="AM17" s="565">
        <f>'Exh. No. BGM-3 4'!AP17</f>
        <v>0</v>
      </c>
      <c r="AN17" s="565">
        <f>'Exh. No. BGM-3 4'!AQ17</f>
        <v>0</v>
      </c>
      <c r="AO17" s="565">
        <f>'Exh. No. BGM-3 4'!AS17</f>
        <v>0</v>
      </c>
      <c r="AP17" s="565" t="e">
        <f>'Exh. No. BGM-3 4'!#REF!</f>
        <v>#REF!</v>
      </c>
    </row>
    <row r="18" spans="1:42" s="554" customFormat="1">
      <c r="A18" s="552">
        <f>'Exh. No. BGM-3 4'!A18</f>
        <v>5</v>
      </c>
      <c r="B18" s="554" t="str">
        <f>'Exh. No. BGM-3 4'!B18</f>
        <v xml:space="preserve">Other Revenue  </v>
      </c>
      <c r="E18" s="587">
        <f>'Exh. No. BGM-3 4'!E18</f>
        <v>81735</v>
      </c>
      <c r="F18" s="577">
        <f>'Exh. No. BGM-3 4'!F18</f>
        <v>0</v>
      </c>
      <c r="G18" s="577">
        <f>'Exh. No. BGM-3 4'!G18</f>
        <v>0</v>
      </c>
      <c r="H18" s="577">
        <f>'Exh. No. BGM-3 4'!H18</f>
        <v>0</v>
      </c>
      <c r="I18" s="577">
        <f>'Exh. No. BGM-3 4'!I18</f>
        <v>-14</v>
      </c>
      <c r="J18" s="577">
        <f>'Exh. No. BGM-3 4'!J18</f>
        <v>0</v>
      </c>
      <c r="K18" s="577">
        <f>'Exh. No. BGM-3 4'!K18</f>
        <v>0</v>
      </c>
      <c r="L18" s="577">
        <f>'Exh. No. BGM-3 4'!L18</f>
        <v>0</v>
      </c>
      <c r="M18" s="577">
        <f>'Exh. No. BGM-3 4'!M18</f>
        <v>0</v>
      </c>
      <c r="N18" s="577">
        <f>'Exh. No. BGM-3 4'!N18</f>
        <v>0</v>
      </c>
      <c r="O18" s="577">
        <f>'Exh. No. BGM-3 4'!O18</f>
        <v>0</v>
      </c>
      <c r="P18" s="577">
        <f>'Exh. No. BGM-3 4'!P18</f>
        <v>0</v>
      </c>
      <c r="Q18" s="577">
        <f>'Exh. No. BGM-3 4'!Q18</f>
        <v>0</v>
      </c>
      <c r="R18" s="577">
        <f>'Exh. No. BGM-3 4'!R18</f>
        <v>-5775</v>
      </c>
      <c r="S18" s="577">
        <f>'Exh. No. BGM-3 4'!S18</f>
        <v>684</v>
      </c>
      <c r="T18" s="577">
        <f>'Exh. No. BGM-3 4'!T18</f>
        <v>-2566</v>
      </c>
      <c r="U18" s="577">
        <f>'Exh. No. BGM-3 4'!U18</f>
        <v>0</v>
      </c>
      <c r="V18" s="577">
        <f>'Exh. No. BGM-3 4'!V18</f>
        <v>0</v>
      </c>
      <c r="W18" s="577">
        <f>'Exh. No. BGM-3 4'!W18</f>
        <v>0</v>
      </c>
      <c r="X18" s="577">
        <f>'Exh. No. BGM-3 4'!X18</f>
        <v>0</v>
      </c>
      <c r="Y18" s="577">
        <f>'Exh. No. BGM-3 4'!Y18</f>
        <v>0</v>
      </c>
      <c r="Z18" s="577">
        <f>'Exh. No. BGM-3 4'!Z18</f>
        <v>-56948</v>
      </c>
      <c r="AA18" s="577">
        <f>'Exh. No. BGM-3 4'!AD18</f>
        <v>71</v>
      </c>
      <c r="AB18" s="577">
        <f>'Exh. No. BGM-3 4'!AE18</f>
        <v>0</v>
      </c>
      <c r="AC18" s="577">
        <f>'Exh. No. BGM-3 4'!AF18</f>
        <v>0</v>
      </c>
      <c r="AD18" s="577">
        <f>'Exh. No. BGM-3 4'!AG18</f>
        <v>0</v>
      </c>
      <c r="AE18" s="577">
        <f>'Exh. No. BGM-3 4'!AH18</f>
        <v>0</v>
      </c>
      <c r="AF18" s="577">
        <f>'Exh. No. BGM-3 4'!AI18</f>
        <v>0</v>
      </c>
      <c r="AG18" s="577">
        <f>'Exh. No. BGM-3 4'!AJ18</f>
        <v>0</v>
      </c>
      <c r="AH18" s="577">
        <f>'Exh. No. BGM-3 4'!AK18</f>
        <v>-3887</v>
      </c>
      <c r="AI18" s="577">
        <f>'Exh. No. BGM-3 4'!AL18</f>
        <v>0</v>
      </c>
      <c r="AJ18" s="577">
        <f>'Exh. No. BGM-3 4'!AM18</f>
        <v>0</v>
      </c>
      <c r="AK18" s="577">
        <f>'Exh. No. BGM-3 4'!AN18</f>
        <v>0</v>
      </c>
      <c r="AL18" s="577">
        <f>'Exh. No. BGM-3 4'!AO18</f>
        <v>0</v>
      </c>
      <c r="AM18" s="577">
        <f>'Exh. No. BGM-3 4'!AP18</f>
        <v>0</v>
      </c>
      <c r="AN18" s="577">
        <f>'Exh. No. BGM-3 4'!AQ18</f>
        <v>0</v>
      </c>
      <c r="AO18" s="577">
        <f>'Exh. No. BGM-3 4'!AS18</f>
        <v>0</v>
      </c>
      <c r="AP18" s="577" t="e">
        <f>'Exh. No. BGM-3 4'!#REF!</f>
        <v>#REF!</v>
      </c>
    </row>
    <row r="19" spans="1:42" s="554" customFormat="1">
      <c r="A19" s="552">
        <f>'Exh. No. BGM-3 4'!A19</f>
        <v>6</v>
      </c>
      <c r="B19" s="554" t="str">
        <f>'Exh. No. BGM-3 4'!B19</f>
        <v xml:space="preserve">Total Electric Revenue  </v>
      </c>
      <c r="E19" s="557">
        <f>'Exh. No. BGM-3 4'!E19</f>
        <v>677112</v>
      </c>
      <c r="F19" s="565">
        <f>'Exh. No. BGM-3 4'!F19</f>
        <v>0</v>
      </c>
      <c r="G19" s="565">
        <f>'Exh. No. BGM-3 4'!G19</f>
        <v>0</v>
      </c>
      <c r="H19" s="565">
        <f>'Exh. No. BGM-3 4'!H19</f>
        <v>0</v>
      </c>
      <c r="I19" s="565">
        <f>'Exh. No. BGM-3 4'!I19</f>
        <v>-17821</v>
      </c>
      <c r="J19" s="565">
        <f>'Exh. No. BGM-3 4'!J19</f>
        <v>0</v>
      </c>
      <c r="K19" s="565">
        <f>'Exh. No. BGM-3 4'!K19</f>
        <v>0</v>
      </c>
      <c r="L19" s="565">
        <f>'Exh. No. BGM-3 4'!L19</f>
        <v>0</v>
      </c>
      <c r="M19" s="565">
        <f>'Exh. No. BGM-3 4'!M19</f>
        <v>0</v>
      </c>
      <c r="N19" s="565">
        <f>'Exh. No. BGM-3 4'!N19</f>
        <v>0</v>
      </c>
      <c r="O19" s="565">
        <f>'Exh. No. BGM-3 4'!O19</f>
        <v>0</v>
      </c>
      <c r="P19" s="565">
        <f>'Exh. No. BGM-3 4'!P19</f>
        <v>0</v>
      </c>
      <c r="Q19" s="565">
        <f>'Exh. No. BGM-3 4'!Q19</f>
        <v>0</v>
      </c>
      <c r="R19" s="565">
        <f>'Exh. No. BGM-3 4'!R19</f>
        <v>1617</v>
      </c>
      <c r="S19" s="565">
        <f>'Exh. No. BGM-3 4'!S19</f>
        <v>-17519</v>
      </c>
      <c r="T19" s="565">
        <f>'Exh. No. BGM-3 4'!T19</f>
        <v>-2566</v>
      </c>
      <c r="U19" s="565">
        <f>'Exh. No. BGM-3 4'!U19</f>
        <v>4698</v>
      </c>
      <c r="V19" s="565">
        <f>'Exh. No. BGM-3 4'!V19</f>
        <v>0</v>
      </c>
      <c r="W19" s="565">
        <f>'Exh. No. BGM-3 4'!W19</f>
        <v>0</v>
      </c>
      <c r="X19" s="565">
        <f>'Exh. No. BGM-3 4'!X19</f>
        <v>0</v>
      </c>
      <c r="Y19" s="565">
        <f>'Exh. No. BGM-3 4'!Y19</f>
        <v>0</v>
      </c>
      <c r="Z19" s="565">
        <f>'Exh. No. BGM-3 4'!Z19</f>
        <v>-77721</v>
      </c>
      <c r="AA19" s="565">
        <f>'Exh. No. BGM-3 4'!AD19</f>
        <v>71</v>
      </c>
      <c r="AB19" s="565">
        <f>'Exh. No. BGM-3 4'!AE19</f>
        <v>0</v>
      </c>
      <c r="AC19" s="565">
        <f>'Exh. No. BGM-3 4'!AF19</f>
        <v>0</v>
      </c>
      <c r="AD19" s="565">
        <f>'Exh. No. BGM-3 4'!AG19</f>
        <v>0</v>
      </c>
      <c r="AE19" s="565">
        <f>'Exh. No. BGM-3 4'!AH19</f>
        <v>0</v>
      </c>
      <c r="AF19" s="565">
        <f>'Exh. No. BGM-3 4'!AI19</f>
        <v>0</v>
      </c>
      <c r="AG19" s="565">
        <f>'Exh. No. BGM-3 4'!AJ19</f>
        <v>0</v>
      </c>
      <c r="AH19" s="565">
        <f>'Exh. No. BGM-3 4'!AK19</f>
        <v>-5112</v>
      </c>
      <c r="AI19" s="565">
        <f>'Exh. No. BGM-3 4'!AL19</f>
        <v>0</v>
      </c>
      <c r="AJ19" s="565">
        <f>'Exh. No. BGM-3 4'!AM19</f>
        <v>0</v>
      </c>
      <c r="AK19" s="565">
        <f>'Exh. No. BGM-3 4'!AN19</f>
        <v>0</v>
      </c>
      <c r="AL19" s="565">
        <f>'Exh. No. BGM-3 4'!AO19</f>
        <v>0</v>
      </c>
      <c r="AM19" s="565">
        <f>'Exh. No. BGM-3 4'!AP19</f>
        <v>0</v>
      </c>
      <c r="AN19" s="565">
        <f>'Exh. No. BGM-3 4'!AQ19</f>
        <v>0</v>
      </c>
      <c r="AO19" s="565">
        <f>'Exh. No. BGM-3 4'!AS19</f>
        <v>0</v>
      </c>
      <c r="AP19" s="565" t="e">
        <f>'Exh. No. BGM-3 4'!#REF!</f>
        <v>#REF!</v>
      </c>
    </row>
    <row r="20" spans="1:42" s="554" customFormat="1" ht="6.75" customHeight="1">
      <c r="A20" s="552"/>
      <c r="E20" s="557"/>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row>
    <row r="21" spans="1:42" s="554" customFormat="1">
      <c r="A21" s="552"/>
      <c r="B21" s="554" t="str">
        <f>'Exh. No. BGM-3 4'!B21</f>
        <v xml:space="preserve">EXPENSES  </v>
      </c>
      <c r="E21" s="557"/>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row>
    <row r="22" spans="1:42" s="554" customFormat="1">
      <c r="A22" s="552"/>
      <c r="B22" s="554" t="str">
        <f>'Exh. No. BGM-3 4'!B22</f>
        <v xml:space="preserve">Production and Transmission  </v>
      </c>
      <c r="E22" s="557"/>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row>
    <row r="23" spans="1:42" s="554" customFormat="1">
      <c r="A23" s="552">
        <f>'Exh. No. BGM-3 4'!A23</f>
        <v>7</v>
      </c>
      <c r="C23" s="554" t="str">
        <f>'Exh. No. BGM-3 4'!C23</f>
        <v xml:space="preserve">Operating Expenses  </v>
      </c>
      <c r="E23" s="557">
        <f>'Exh. No. BGM-3 4'!E23</f>
        <v>184672</v>
      </c>
      <c r="F23" s="565">
        <f>'Exh. No. BGM-3 4'!F23</f>
        <v>0</v>
      </c>
      <c r="G23" s="565">
        <f>'Exh. No. BGM-3 4'!G23</f>
        <v>4</v>
      </c>
      <c r="H23" s="565">
        <f>'Exh. No. BGM-3 4'!H23</f>
        <v>0</v>
      </c>
      <c r="I23" s="565">
        <f>'Exh. No. BGM-3 4'!I23</f>
        <v>0</v>
      </c>
      <c r="J23" s="565">
        <f>'Exh. No. BGM-3 4'!J23</f>
        <v>0</v>
      </c>
      <c r="K23" s="565">
        <f>'Exh. No. BGM-3 4'!K23</f>
        <v>0</v>
      </c>
      <c r="L23" s="565">
        <f>'Exh. No. BGM-3 4'!L23</f>
        <v>0</v>
      </c>
      <c r="M23" s="565">
        <f>'Exh. No. BGM-3 4'!M23</f>
        <v>0</v>
      </c>
      <c r="N23" s="565">
        <f>'Exh. No. BGM-3 4'!N23</f>
        <v>0</v>
      </c>
      <c r="O23" s="565">
        <f>'Exh. No. BGM-3 4'!O23</f>
        <v>0</v>
      </c>
      <c r="P23" s="565">
        <f>'Exh. No. BGM-3 4'!P23</f>
        <v>0</v>
      </c>
      <c r="Q23" s="565">
        <f>'Exh. No. BGM-3 4'!Q23</f>
        <v>0</v>
      </c>
      <c r="R23" s="565">
        <f>'Exh. No. BGM-3 4'!R23</f>
        <v>0</v>
      </c>
      <c r="S23" s="565">
        <f>'Exh. No. BGM-3 4'!S23</f>
        <v>-383</v>
      </c>
      <c r="T23" s="565">
        <f>'Exh. No. BGM-3 4'!T23</f>
        <v>-5</v>
      </c>
      <c r="U23" s="565">
        <f>'Exh. No. BGM-3 4'!U23</f>
        <v>-2270</v>
      </c>
      <c r="V23" s="565">
        <f>'Exh. No. BGM-3 4'!V23</f>
        <v>-4</v>
      </c>
      <c r="W23" s="565">
        <f>'Exh. No. BGM-3 4'!W23</f>
        <v>0</v>
      </c>
      <c r="X23" s="565">
        <f>'Exh. No. BGM-3 4'!X23</f>
        <v>-1174</v>
      </c>
      <c r="Y23" s="565">
        <f>'Exh. No. BGM-3 4'!Y23</f>
        <v>0</v>
      </c>
      <c r="Z23" s="565">
        <f>'Exh. No. BGM-3 4'!Z23</f>
        <v>-46240</v>
      </c>
      <c r="AA23" s="565">
        <f>'Exh. No. BGM-3 4'!AD23</f>
        <v>172</v>
      </c>
      <c r="AB23" s="565">
        <f>'Exh. No. BGM-3 4'!AE23</f>
        <v>538.34</v>
      </c>
      <c r="AC23" s="565">
        <f>'Exh. No. BGM-3 4'!AF23</f>
        <v>0</v>
      </c>
      <c r="AD23" s="565">
        <f>'Exh. No. BGM-3 4'!AG23</f>
        <v>-125</v>
      </c>
      <c r="AE23" s="565">
        <f>'Exh. No. BGM-3 4'!AH23</f>
        <v>0</v>
      </c>
      <c r="AF23" s="565">
        <f>'Exh. No. BGM-3 4'!AI23</f>
        <v>0</v>
      </c>
      <c r="AG23" s="565">
        <f>'Exh. No. BGM-3 4'!AJ23</f>
        <v>0</v>
      </c>
      <c r="AH23" s="565">
        <f>'Exh. No. BGM-3 4'!AK23</f>
        <v>0</v>
      </c>
      <c r="AI23" s="565">
        <f>'Exh. No. BGM-3 4'!AL23</f>
        <v>-248</v>
      </c>
      <c r="AJ23" s="565">
        <f>'Exh. No. BGM-3 4'!AM23</f>
        <v>0</v>
      </c>
      <c r="AK23" s="565">
        <f>'Exh. No. BGM-3 4'!AN23</f>
        <v>0</v>
      </c>
      <c r="AL23" s="565">
        <f>'Exh. No. BGM-3 4'!AO23</f>
        <v>0</v>
      </c>
      <c r="AM23" s="565">
        <f>'Exh. No. BGM-3 4'!AP23</f>
        <v>347</v>
      </c>
      <c r="AN23" s="565">
        <f>'Exh. No. BGM-3 4'!AQ23</f>
        <v>0</v>
      </c>
      <c r="AO23" s="565">
        <f>'Exh. No. BGM-3 4'!AS23</f>
        <v>0</v>
      </c>
      <c r="AP23" s="565" t="e">
        <f>'Exh. No. BGM-3 4'!#REF!</f>
        <v>#REF!</v>
      </c>
    </row>
    <row r="24" spans="1:42" s="554" customFormat="1">
      <c r="A24" s="552">
        <f>'Exh. No. BGM-3 4'!A24</f>
        <v>8</v>
      </c>
      <c r="C24" s="554" t="str">
        <f>'Exh. No. BGM-3 4'!C24</f>
        <v xml:space="preserve">Purchased Power  </v>
      </c>
      <c r="E24" s="557">
        <f>'Exh. No. BGM-3 4'!E24</f>
        <v>96772</v>
      </c>
      <c r="F24" s="565">
        <f>'Exh. No. BGM-3 4'!F24</f>
        <v>0</v>
      </c>
      <c r="G24" s="565">
        <f>'Exh. No. BGM-3 4'!G24</f>
        <v>0</v>
      </c>
      <c r="H24" s="565">
        <f>'Exh. No. BGM-3 4'!H24</f>
        <v>0</v>
      </c>
      <c r="I24" s="565">
        <f>'Exh. No. BGM-3 4'!I24</f>
        <v>0</v>
      </c>
      <c r="J24" s="565">
        <f>'Exh. No. BGM-3 4'!J24</f>
        <v>0</v>
      </c>
      <c r="K24" s="565">
        <f>'Exh. No. BGM-3 4'!K24</f>
        <v>0</v>
      </c>
      <c r="L24" s="565">
        <f>'Exh. No. BGM-3 4'!L24</f>
        <v>0</v>
      </c>
      <c r="M24" s="565">
        <f>'Exh. No. BGM-3 4'!M24</f>
        <v>0</v>
      </c>
      <c r="N24" s="565">
        <f>'Exh. No. BGM-3 4'!N24</f>
        <v>0</v>
      </c>
      <c r="O24" s="565">
        <f>'Exh. No. BGM-3 4'!O24</f>
        <v>0</v>
      </c>
      <c r="P24" s="565">
        <f>'Exh. No. BGM-3 4'!P24</f>
        <v>0</v>
      </c>
      <c r="Q24" s="565">
        <f>'Exh. No. BGM-3 4'!Q24</f>
        <v>0</v>
      </c>
      <c r="R24" s="565">
        <f>'Exh. No. BGM-3 4'!R24</f>
        <v>0</v>
      </c>
      <c r="S24" s="565">
        <f>'Exh. No. BGM-3 4'!S24</f>
        <v>0</v>
      </c>
      <c r="T24" s="565">
        <f>'Exh. No. BGM-3 4'!T24</f>
        <v>0</v>
      </c>
      <c r="U24" s="565">
        <f>'Exh. No. BGM-3 4'!U24</f>
        <v>0</v>
      </c>
      <c r="V24" s="565">
        <f>'Exh. No. BGM-3 4'!V24</f>
        <v>0</v>
      </c>
      <c r="W24" s="565">
        <f>'Exh. No. BGM-3 4'!W24</f>
        <v>0</v>
      </c>
      <c r="X24" s="565">
        <f>'Exh. No. BGM-3 4'!X24</f>
        <v>0</v>
      </c>
      <c r="Y24" s="565">
        <f>'Exh. No. BGM-3 4'!Y24</f>
        <v>0</v>
      </c>
      <c r="Z24" s="565">
        <f>'Exh. No. BGM-3 4'!Z24</f>
        <v>-19641</v>
      </c>
      <c r="AA24" s="565">
        <f>'Exh. No. BGM-3 4'!AD24</f>
        <v>0</v>
      </c>
      <c r="AB24" s="565">
        <f>'Exh. No. BGM-3 4'!AE24</f>
        <v>0</v>
      </c>
      <c r="AC24" s="565">
        <f>'Exh. No. BGM-3 4'!AF24</f>
        <v>0</v>
      </c>
      <c r="AD24" s="565">
        <f>'Exh. No. BGM-3 4'!AG24</f>
        <v>0</v>
      </c>
      <c r="AE24" s="565">
        <f>'Exh. No. BGM-3 4'!AH24</f>
        <v>0</v>
      </c>
      <c r="AF24" s="565">
        <f>'Exh. No. BGM-3 4'!AI24</f>
        <v>0</v>
      </c>
      <c r="AG24" s="565">
        <f>'Exh. No. BGM-3 4'!AJ24</f>
        <v>0</v>
      </c>
      <c r="AH24" s="565">
        <f>'Exh. No. BGM-3 4'!AK24</f>
        <v>0</v>
      </c>
      <c r="AI24" s="565">
        <f>'Exh. No. BGM-3 4'!AL24</f>
        <v>0</v>
      </c>
      <c r="AJ24" s="565">
        <f>'Exh. No. BGM-3 4'!AM24</f>
        <v>0</v>
      </c>
      <c r="AK24" s="565">
        <f>'Exh. No. BGM-3 4'!AN24</f>
        <v>0</v>
      </c>
      <c r="AL24" s="565">
        <f>'Exh. No. BGM-3 4'!AO24</f>
        <v>0</v>
      </c>
      <c r="AM24" s="565">
        <f>'Exh. No. BGM-3 4'!AP24</f>
        <v>0</v>
      </c>
      <c r="AN24" s="565">
        <f>'Exh. No. BGM-3 4'!AQ24</f>
        <v>0</v>
      </c>
      <c r="AO24" s="565">
        <f>'Exh. No. BGM-3 4'!AS24</f>
        <v>0</v>
      </c>
      <c r="AP24" s="565" t="e">
        <f>'Exh. No. BGM-3 4'!#REF!</f>
        <v>#REF!</v>
      </c>
    </row>
    <row r="25" spans="1:42" s="554" customFormat="1">
      <c r="A25" s="552">
        <f>'Exh. No. BGM-3 4'!A25</f>
        <v>9</v>
      </c>
      <c r="C25" s="554" t="str">
        <f>'Exh. No. BGM-3 4'!C25</f>
        <v xml:space="preserve">Depreciation/Amortization  </v>
      </c>
      <c r="E25" s="557">
        <f>'Exh. No. BGM-3 4'!E25</f>
        <v>26677</v>
      </c>
      <c r="F25" s="565">
        <f>'Exh. No. BGM-3 4'!F25</f>
        <v>0</v>
      </c>
      <c r="G25" s="565">
        <f>'Exh. No. BGM-3 4'!G25</f>
        <v>0</v>
      </c>
      <c r="H25" s="565">
        <f>'Exh. No. BGM-3 4'!H25</f>
        <v>0</v>
      </c>
      <c r="I25" s="565">
        <f>'Exh. No. BGM-3 4'!I25</f>
        <v>0</v>
      </c>
      <c r="J25" s="565">
        <f>'Exh. No. BGM-3 4'!J25</f>
        <v>0</v>
      </c>
      <c r="K25" s="565">
        <f>'Exh. No. BGM-3 4'!K25</f>
        <v>0</v>
      </c>
      <c r="L25" s="565">
        <f>'Exh. No. BGM-3 4'!L25</f>
        <v>0</v>
      </c>
      <c r="M25" s="565">
        <f>'Exh. No. BGM-3 4'!M25</f>
        <v>0</v>
      </c>
      <c r="N25" s="565">
        <f>'Exh. No. BGM-3 4'!N25</f>
        <v>0</v>
      </c>
      <c r="O25" s="565">
        <f>'Exh. No. BGM-3 4'!O25</f>
        <v>0</v>
      </c>
      <c r="P25" s="565">
        <f>'Exh. No. BGM-3 4'!P25</f>
        <v>0</v>
      </c>
      <c r="Q25" s="565">
        <f>'Exh. No. BGM-3 4'!Q25</f>
        <v>0</v>
      </c>
      <c r="R25" s="565">
        <f>'Exh. No. BGM-3 4'!R25</f>
        <v>0</v>
      </c>
      <c r="S25" s="565">
        <f>'Exh. No. BGM-3 4'!S25</f>
        <v>0</v>
      </c>
      <c r="T25" s="565">
        <f>'Exh. No. BGM-3 4'!T25</f>
        <v>0</v>
      </c>
      <c r="U25" s="565">
        <f>'Exh. No. BGM-3 4'!U25</f>
        <v>0</v>
      </c>
      <c r="V25" s="565">
        <f>'Exh. No. BGM-3 4'!V25</f>
        <v>0</v>
      </c>
      <c r="W25" s="565">
        <f>'Exh. No. BGM-3 4'!W25</f>
        <v>0</v>
      </c>
      <c r="X25" s="565">
        <f>'Exh. No. BGM-3 4'!X25</f>
        <v>0</v>
      </c>
      <c r="Y25" s="565">
        <f>'Exh. No. BGM-3 4'!Y25</f>
        <v>0</v>
      </c>
      <c r="Z25" s="565">
        <f>'Exh. No. BGM-3 4'!Z25</f>
        <v>0</v>
      </c>
      <c r="AA25" s="565">
        <f>'Exh. No. BGM-3 4'!AD25</f>
        <v>0</v>
      </c>
      <c r="AB25" s="565">
        <f>'Exh. No. BGM-3 4'!AE25</f>
        <v>0</v>
      </c>
      <c r="AC25" s="565">
        <f>'Exh. No. BGM-3 4'!AF25</f>
        <v>0</v>
      </c>
      <c r="AD25" s="565">
        <f>'Exh. No. BGM-3 4'!AG25</f>
        <v>0</v>
      </c>
      <c r="AE25" s="565">
        <f>'Exh. No. BGM-3 4'!AH25</f>
        <v>0</v>
      </c>
      <c r="AF25" s="565">
        <f>'Exh. No. BGM-3 4'!AI25</f>
        <v>0</v>
      </c>
      <c r="AG25" s="565">
        <f>'Exh. No. BGM-3 4'!AJ25</f>
        <v>0</v>
      </c>
      <c r="AH25" s="565">
        <f>'Exh. No. BGM-3 4'!AK25</f>
        <v>0</v>
      </c>
      <c r="AI25" s="565">
        <f>'Exh. No. BGM-3 4'!AL25</f>
        <v>0</v>
      </c>
      <c r="AJ25" s="565">
        <f>'Exh. No. BGM-3 4'!AM25</f>
        <v>129</v>
      </c>
      <c r="AK25" s="565">
        <f>'Exh. No. BGM-3 4'!AN25</f>
        <v>0</v>
      </c>
      <c r="AL25" s="565">
        <f>'Exh. No. BGM-3 4'!AO25</f>
        <v>0</v>
      </c>
      <c r="AM25" s="565">
        <f>'Exh. No. BGM-3 4'!AP25</f>
        <v>0</v>
      </c>
      <c r="AN25" s="565">
        <f>'Exh. No. BGM-3 4'!AQ25</f>
        <v>0</v>
      </c>
      <c r="AO25" s="565">
        <f>'Exh. No. BGM-3 4'!AS25</f>
        <v>0</v>
      </c>
      <c r="AP25" s="565" t="e">
        <f>'Exh. No. BGM-3 4'!#REF!</f>
        <v>#REF!</v>
      </c>
    </row>
    <row r="26" spans="1:42" s="554" customFormat="1">
      <c r="A26" s="552">
        <f>'Exh. No. BGM-3 4'!A26</f>
        <v>10</v>
      </c>
      <c r="C26" s="557" t="str">
        <f>'Exh. No. BGM-3 4'!C26</f>
        <v>Regulatory Amortization</v>
      </c>
      <c r="D26" s="557"/>
      <c r="E26" s="557">
        <f>'Exh. No. BGM-3 4'!E26</f>
        <v>4310</v>
      </c>
      <c r="F26" s="566">
        <f>'Exh. No. BGM-3 4'!F26</f>
        <v>0</v>
      </c>
      <c r="G26" s="566">
        <f>'Exh. No. BGM-3 4'!G26</f>
        <v>0</v>
      </c>
      <c r="H26" s="566">
        <f>'Exh. No. BGM-3 4'!H26</f>
        <v>0</v>
      </c>
      <c r="I26" s="566">
        <f>'Exh. No. BGM-3 4'!I26</f>
        <v>0</v>
      </c>
      <c r="J26" s="566">
        <f>'Exh. No. BGM-3 4'!J26</f>
        <v>0</v>
      </c>
      <c r="K26" s="566">
        <f>'Exh. No. BGM-3 4'!K26</f>
        <v>0</v>
      </c>
      <c r="L26" s="566">
        <f>'Exh. No. BGM-3 4'!L26</f>
        <v>0</v>
      </c>
      <c r="M26" s="566">
        <f>'Exh. No. BGM-3 4'!M26</f>
        <v>0</v>
      </c>
      <c r="N26" s="566">
        <f>'Exh. No. BGM-3 4'!N26</f>
        <v>0</v>
      </c>
      <c r="O26" s="566">
        <f>'Exh. No. BGM-3 4'!O26</f>
        <v>0</v>
      </c>
      <c r="P26" s="566">
        <f>'Exh. No. BGM-3 4'!P26</f>
        <v>0</v>
      </c>
      <c r="Q26" s="566">
        <f>'Exh. No. BGM-3 4'!Q26</f>
        <v>0</v>
      </c>
      <c r="R26" s="566">
        <f>'Exh. No. BGM-3 4'!R26</f>
        <v>0</v>
      </c>
      <c r="S26" s="566">
        <f>'Exh. No. BGM-3 4'!S26</f>
        <v>395</v>
      </c>
      <c r="T26" s="566">
        <f>'Exh. No. BGM-3 4'!T26</f>
        <v>0</v>
      </c>
      <c r="U26" s="566">
        <f>'Exh. No. BGM-3 4'!U26</f>
        <v>0</v>
      </c>
      <c r="V26" s="566">
        <f>'Exh. No. BGM-3 4'!V26</f>
        <v>0</v>
      </c>
      <c r="W26" s="566">
        <f>'Exh. No. BGM-3 4'!W26</f>
        <v>0</v>
      </c>
      <c r="X26" s="566">
        <f>'Exh. No. BGM-3 4'!X26</f>
        <v>0</v>
      </c>
      <c r="Y26" s="566">
        <f>'Exh. No. BGM-3 4'!Y26</f>
        <v>0</v>
      </c>
      <c r="Z26" s="566">
        <f>'Exh. No. BGM-3 4'!Z26</f>
        <v>0</v>
      </c>
      <c r="AA26" s="566">
        <f>'Exh. No. BGM-3 4'!AD26</f>
        <v>0</v>
      </c>
      <c r="AB26" s="566">
        <f>'Exh. No. BGM-3 4'!AE26</f>
        <v>0</v>
      </c>
      <c r="AC26" s="566">
        <f>'Exh. No. BGM-3 4'!AF26</f>
        <v>0</v>
      </c>
      <c r="AD26" s="566">
        <f>'Exh. No. BGM-3 4'!AG26</f>
        <v>0</v>
      </c>
      <c r="AE26" s="566">
        <f>'Exh. No. BGM-3 4'!AH26</f>
        <v>0</v>
      </c>
      <c r="AF26" s="566">
        <f>'Exh. No. BGM-3 4'!AI26</f>
        <v>0</v>
      </c>
      <c r="AG26" s="566">
        <f>'Exh. No. BGM-3 4'!AJ26</f>
        <v>0</v>
      </c>
      <c r="AH26" s="566">
        <f>'Exh. No. BGM-3 4'!AK26</f>
        <v>0</v>
      </c>
      <c r="AI26" s="566">
        <f>'Exh. No. BGM-3 4'!AL26</f>
        <v>-1393</v>
      </c>
      <c r="AJ26" s="566">
        <f>'Exh. No. BGM-3 4'!AM26</f>
        <v>0</v>
      </c>
      <c r="AK26" s="566">
        <f>'Exh. No. BGM-3 4'!AN26</f>
        <v>0</v>
      </c>
      <c r="AL26" s="566">
        <f>'Exh. No. BGM-3 4'!AO26</f>
        <v>0</v>
      </c>
      <c r="AM26" s="566">
        <f>'Exh. No. BGM-3 4'!AP26</f>
        <v>0</v>
      </c>
      <c r="AN26" s="566">
        <f>'Exh. No. BGM-3 4'!AQ26</f>
        <v>0</v>
      </c>
      <c r="AO26" s="566">
        <f>'Exh. No. BGM-3 4'!AS26</f>
        <v>0</v>
      </c>
      <c r="AP26" s="566" t="e">
        <f>'Exh. No. BGM-3 4'!#REF!</f>
        <v>#REF!</v>
      </c>
    </row>
    <row r="27" spans="1:42" s="554" customFormat="1">
      <c r="A27" s="552">
        <f>'Exh. No. BGM-3 4'!A27</f>
        <v>11</v>
      </c>
      <c r="C27" s="554" t="str">
        <f>'Exh. No. BGM-3 4'!C27</f>
        <v xml:space="preserve">Taxes  </v>
      </c>
      <c r="E27" s="587">
        <f>'Exh. No. BGM-3 4'!E27</f>
        <v>14904</v>
      </c>
      <c r="F27" s="577">
        <f>'Exh. No. BGM-3 4'!F27</f>
        <v>0</v>
      </c>
      <c r="G27" s="577">
        <f>'Exh. No. BGM-3 4'!G27</f>
        <v>0</v>
      </c>
      <c r="H27" s="577">
        <f>'Exh. No. BGM-3 4'!H27</f>
        <v>0</v>
      </c>
      <c r="I27" s="577">
        <f>'Exh. No. BGM-3 4'!I27</f>
        <v>0</v>
      </c>
      <c r="J27" s="577">
        <f>'Exh. No. BGM-3 4'!J27</f>
        <v>86</v>
      </c>
      <c r="K27" s="577">
        <f>'Exh. No. BGM-3 4'!K27</f>
        <v>0</v>
      </c>
      <c r="L27" s="577">
        <f>'Exh. No. BGM-3 4'!L27</f>
        <v>0</v>
      </c>
      <c r="M27" s="577">
        <f>'Exh. No. BGM-3 4'!M27</f>
        <v>0</v>
      </c>
      <c r="N27" s="577">
        <f>'Exh. No. BGM-3 4'!N27</f>
        <v>0</v>
      </c>
      <c r="O27" s="577">
        <f>'Exh. No. BGM-3 4'!O27</f>
        <v>0</v>
      </c>
      <c r="P27" s="577">
        <f>'Exh. No. BGM-3 4'!P27</f>
        <v>0</v>
      </c>
      <c r="Q27" s="577">
        <f>'Exh. No. BGM-3 4'!Q27</f>
        <v>0</v>
      </c>
      <c r="R27" s="577">
        <f>'Exh. No. BGM-3 4'!R27</f>
        <v>0</v>
      </c>
      <c r="S27" s="577">
        <f>'Exh. No. BGM-3 4'!S27</f>
        <v>0</v>
      </c>
      <c r="T27" s="577">
        <f>'Exh. No. BGM-3 4'!T27</f>
        <v>0</v>
      </c>
      <c r="U27" s="577">
        <f>'Exh. No. BGM-3 4'!U27</f>
        <v>0</v>
      </c>
      <c r="V27" s="577">
        <f>'Exh. No. BGM-3 4'!V27</f>
        <v>0</v>
      </c>
      <c r="W27" s="577">
        <f>'Exh. No. BGM-3 4'!W27</f>
        <v>0</v>
      </c>
      <c r="X27" s="577">
        <f>'Exh. No. BGM-3 4'!X27</f>
        <v>0</v>
      </c>
      <c r="Y27" s="577">
        <f>'Exh. No. BGM-3 4'!Y27</f>
        <v>0</v>
      </c>
      <c r="Z27" s="577">
        <f>'Exh. No. BGM-3 4'!Z27</f>
        <v>0</v>
      </c>
      <c r="AA27" s="577">
        <f>'Exh. No. BGM-3 4'!AD27</f>
        <v>0</v>
      </c>
      <c r="AB27" s="577">
        <f>'Exh. No. BGM-3 4'!AE27</f>
        <v>0</v>
      </c>
      <c r="AC27" s="577">
        <f>'Exh. No. BGM-3 4'!AF27</f>
        <v>0</v>
      </c>
      <c r="AD27" s="577">
        <f>'Exh. No. BGM-3 4'!AG27</f>
        <v>0</v>
      </c>
      <c r="AE27" s="577">
        <f>'Exh. No. BGM-3 4'!AH27</f>
        <v>0</v>
      </c>
      <c r="AF27" s="577">
        <f>'Exh. No. BGM-3 4'!AI27</f>
        <v>1578</v>
      </c>
      <c r="AG27" s="577">
        <f>'Exh. No. BGM-3 4'!AJ27</f>
        <v>0</v>
      </c>
      <c r="AH27" s="577">
        <f>'Exh. No. BGM-3 4'!AK27</f>
        <v>0</v>
      </c>
      <c r="AI27" s="577">
        <f>'Exh. No. BGM-3 4'!AL27</f>
        <v>0</v>
      </c>
      <c r="AJ27" s="577">
        <f>'Exh. No. BGM-3 4'!AM27</f>
        <v>0</v>
      </c>
      <c r="AK27" s="577">
        <f>'Exh. No. BGM-3 4'!AN27</f>
        <v>0</v>
      </c>
      <c r="AL27" s="577">
        <f>'Exh. No. BGM-3 4'!AO27</f>
        <v>0</v>
      </c>
      <c r="AM27" s="577">
        <f>'Exh. No. BGM-3 4'!AP27</f>
        <v>0</v>
      </c>
      <c r="AN27" s="577">
        <f>'Exh. No. BGM-3 4'!AQ27</f>
        <v>0</v>
      </c>
      <c r="AO27" s="577">
        <f>'Exh. No. BGM-3 4'!AS27</f>
        <v>0</v>
      </c>
      <c r="AP27" s="577" t="e">
        <f>'Exh. No. BGM-3 4'!#REF!</f>
        <v>#REF!</v>
      </c>
    </row>
    <row r="28" spans="1:42" s="554" customFormat="1">
      <c r="A28" s="552">
        <f>'Exh. No. BGM-3 4'!A28</f>
        <v>12</v>
      </c>
      <c r="B28" s="554" t="str">
        <f>'Exh. No. BGM-3 4'!B28</f>
        <v xml:space="preserve">Total Production &amp; Transmission  </v>
      </c>
      <c r="E28" s="557">
        <f>'Exh. No. BGM-3 4'!E28</f>
        <v>327335</v>
      </c>
      <c r="F28" s="565">
        <f>'Exh. No. BGM-3 4'!F28</f>
        <v>0</v>
      </c>
      <c r="G28" s="565">
        <f>'Exh. No. BGM-3 4'!G28</f>
        <v>4</v>
      </c>
      <c r="H28" s="565">
        <f>'Exh. No. BGM-3 4'!H28</f>
        <v>0</v>
      </c>
      <c r="I28" s="565">
        <f>'Exh. No. BGM-3 4'!I28</f>
        <v>0</v>
      </c>
      <c r="J28" s="565">
        <f>'Exh. No. BGM-3 4'!J28</f>
        <v>86</v>
      </c>
      <c r="K28" s="565">
        <f>'Exh. No. BGM-3 4'!K28</f>
        <v>0</v>
      </c>
      <c r="L28" s="565">
        <f>'Exh. No. BGM-3 4'!L28</f>
        <v>0</v>
      </c>
      <c r="M28" s="565">
        <f>'Exh. No. BGM-3 4'!M28</f>
        <v>0</v>
      </c>
      <c r="N28" s="565">
        <f>'Exh. No. BGM-3 4'!N28</f>
        <v>0</v>
      </c>
      <c r="O28" s="565">
        <f>'Exh. No. BGM-3 4'!O28</f>
        <v>0</v>
      </c>
      <c r="P28" s="565">
        <f>'Exh. No. BGM-3 4'!P28</f>
        <v>0</v>
      </c>
      <c r="Q28" s="565">
        <f>'Exh. No. BGM-3 4'!Q28</f>
        <v>0</v>
      </c>
      <c r="R28" s="565">
        <f>'Exh. No. BGM-3 4'!R28</f>
        <v>0</v>
      </c>
      <c r="S28" s="565">
        <f>'Exh. No. BGM-3 4'!S28</f>
        <v>12</v>
      </c>
      <c r="T28" s="565">
        <f>'Exh. No. BGM-3 4'!T28</f>
        <v>-5</v>
      </c>
      <c r="U28" s="565">
        <f>'Exh. No. BGM-3 4'!U28</f>
        <v>-2270</v>
      </c>
      <c r="V28" s="565">
        <f>'Exh. No. BGM-3 4'!V28</f>
        <v>-4</v>
      </c>
      <c r="W28" s="565">
        <f>'Exh. No. BGM-3 4'!W28</f>
        <v>0</v>
      </c>
      <c r="X28" s="565">
        <f>'Exh. No. BGM-3 4'!X28</f>
        <v>-1174</v>
      </c>
      <c r="Y28" s="565">
        <f>'Exh. No. BGM-3 4'!Y28</f>
        <v>0</v>
      </c>
      <c r="Z28" s="565">
        <f>'Exh. No. BGM-3 4'!Z28</f>
        <v>-65881</v>
      </c>
      <c r="AA28" s="565">
        <f>'Exh. No. BGM-3 4'!AD28</f>
        <v>172</v>
      </c>
      <c r="AB28" s="565">
        <f>'Exh. No. BGM-3 4'!AE28</f>
        <v>538.34</v>
      </c>
      <c r="AC28" s="565">
        <f>'Exh. No. BGM-3 4'!AF28</f>
        <v>0</v>
      </c>
      <c r="AD28" s="565">
        <f>'Exh. No. BGM-3 4'!AG28</f>
        <v>-125</v>
      </c>
      <c r="AE28" s="565">
        <f>'Exh. No. BGM-3 4'!AH28</f>
        <v>0</v>
      </c>
      <c r="AF28" s="565">
        <f>'Exh. No. BGM-3 4'!AI28</f>
        <v>1578</v>
      </c>
      <c r="AG28" s="565">
        <f>'Exh. No. BGM-3 4'!AJ28</f>
        <v>0</v>
      </c>
      <c r="AH28" s="565">
        <f>'Exh. No. BGM-3 4'!AK28</f>
        <v>0</v>
      </c>
      <c r="AI28" s="565">
        <f>'Exh. No. BGM-3 4'!AL28</f>
        <v>-1641</v>
      </c>
      <c r="AJ28" s="565">
        <f>'Exh. No. BGM-3 4'!AM28</f>
        <v>129</v>
      </c>
      <c r="AK28" s="565">
        <f>'Exh. No. BGM-3 4'!AN28</f>
        <v>0</v>
      </c>
      <c r="AL28" s="565">
        <f>'Exh. No. BGM-3 4'!AO28</f>
        <v>0</v>
      </c>
      <c r="AM28" s="565">
        <f>'Exh. No. BGM-3 4'!AP28</f>
        <v>347</v>
      </c>
      <c r="AN28" s="565">
        <f>'Exh. No. BGM-3 4'!AQ28</f>
        <v>0</v>
      </c>
      <c r="AO28" s="565">
        <f>'Exh. No. BGM-3 4'!AS28</f>
        <v>0</v>
      </c>
      <c r="AP28" s="565" t="e">
        <f>'Exh. No. BGM-3 4'!#REF!</f>
        <v>#REF!</v>
      </c>
    </row>
    <row r="29" spans="1:42" s="554" customFormat="1" ht="6.75" customHeight="1">
      <c r="A29" s="552"/>
      <c r="E29" s="557"/>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row>
    <row r="30" spans="1:42" s="554" customFormat="1">
      <c r="A30" s="552"/>
      <c r="B30" s="554" t="str">
        <f>'Exh. No. BGM-3 4'!B30</f>
        <v xml:space="preserve">Distribution  </v>
      </c>
      <c r="E30" s="557"/>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row>
    <row r="31" spans="1:42" s="554" customFormat="1">
      <c r="A31" s="552">
        <f>'Exh. No. BGM-3 4'!A31</f>
        <v>13</v>
      </c>
      <c r="C31" s="554" t="str">
        <f>'Exh. No. BGM-3 4'!C31</f>
        <v xml:space="preserve">Operating Expenses  </v>
      </c>
      <c r="E31" s="561">
        <f>'Exh. No. BGM-3 4'!E31</f>
        <v>21420</v>
      </c>
      <c r="F31" s="565">
        <f>'Exh. No. BGM-3 4'!F31</f>
        <v>0</v>
      </c>
      <c r="G31" s="565">
        <f>'Exh. No. BGM-3 4'!G31</f>
        <v>0</v>
      </c>
      <c r="H31" s="565">
        <f>'Exh. No. BGM-3 4'!H31</f>
        <v>0</v>
      </c>
      <c r="I31" s="565">
        <f>'Exh. No. BGM-3 4'!I31</f>
        <v>0</v>
      </c>
      <c r="J31" s="565">
        <f>'Exh. No. BGM-3 4'!J31</f>
        <v>0</v>
      </c>
      <c r="K31" s="565">
        <f>'Exh. No. BGM-3 4'!K31</f>
        <v>0</v>
      </c>
      <c r="L31" s="565">
        <f>'Exh. No. BGM-3 4'!L31</f>
        <v>0</v>
      </c>
      <c r="M31" s="565">
        <f>'Exh. No. BGM-3 4'!M31</f>
        <v>0</v>
      </c>
      <c r="N31" s="565">
        <f>'Exh. No. BGM-3 4'!N31</f>
        <v>0</v>
      </c>
      <c r="O31" s="565">
        <f>'Exh. No. BGM-3 4'!O31</f>
        <v>0</v>
      </c>
      <c r="P31" s="565">
        <f>'Exh. No. BGM-3 4'!P31</f>
        <v>0</v>
      </c>
      <c r="Q31" s="565">
        <f>'Exh. No. BGM-3 4'!Q31</f>
        <v>0</v>
      </c>
      <c r="R31" s="565">
        <f>'Exh. No. BGM-3 4'!R31</f>
        <v>0</v>
      </c>
      <c r="S31" s="565">
        <f>'Exh. No. BGM-3 4'!S31</f>
        <v>0</v>
      </c>
      <c r="T31" s="565">
        <f>'Exh. No. BGM-3 4'!T31</f>
        <v>-2</v>
      </c>
      <c r="U31" s="565">
        <f>'Exh. No. BGM-3 4'!U31</f>
        <v>0</v>
      </c>
      <c r="V31" s="565">
        <f>'Exh. No. BGM-3 4'!V31</f>
        <v>0</v>
      </c>
      <c r="W31" s="565">
        <f>'Exh. No. BGM-3 4'!W31</f>
        <v>0</v>
      </c>
      <c r="X31" s="565">
        <f>'Exh. No. BGM-3 4'!X31</f>
        <v>0</v>
      </c>
      <c r="Y31" s="565">
        <f>'Exh. No. BGM-3 4'!Y31</f>
        <v>0</v>
      </c>
      <c r="Z31" s="565">
        <f>'Exh. No. BGM-3 4'!Z31</f>
        <v>0</v>
      </c>
      <c r="AA31" s="565">
        <f>'Exh. No. BGM-3 4'!AD31</f>
        <v>0</v>
      </c>
      <c r="AB31" s="565">
        <f>'Exh. No. BGM-3 4'!AE31</f>
        <v>327.46899999999999</v>
      </c>
      <c r="AC31" s="565">
        <f>'Exh. No. BGM-3 4'!AF31</f>
        <v>0</v>
      </c>
      <c r="AD31" s="565">
        <f>'Exh. No. BGM-3 4'!AG31</f>
        <v>-77</v>
      </c>
      <c r="AE31" s="565">
        <f>'Exh. No. BGM-3 4'!AH31</f>
        <v>0</v>
      </c>
      <c r="AF31" s="565">
        <f>'Exh. No. BGM-3 4'!AI31</f>
        <v>0</v>
      </c>
      <c r="AG31" s="565">
        <f>'Exh. No. BGM-3 4'!AJ31</f>
        <v>0</v>
      </c>
      <c r="AH31" s="565">
        <f>'Exh. No. BGM-3 4'!AK31</f>
        <v>0</v>
      </c>
      <c r="AI31" s="565">
        <f>'Exh. No. BGM-3 4'!AL31</f>
        <v>0</v>
      </c>
      <c r="AJ31" s="565">
        <f>'Exh. No. BGM-3 4'!AM31</f>
        <v>0</v>
      </c>
      <c r="AK31" s="565">
        <f>'Exh. No. BGM-3 4'!AN31</f>
        <v>0</v>
      </c>
      <c r="AL31" s="565">
        <f>'Exh. No. BGM-3 4'!AO31</f>
        <v>0</v>
      </c>
      <c r="AM31" s="565">
        <f>'Exh. No. BGM-3 4'!AP31</f>
        <v>0</v>
      </c>
      <c r="AN31" s="565">
        <f>'Exh. No. BGM-3 4'!AQ31</f>
        <v>532</v>
      </c>
      <c r="AO31" s="565">
        <f>'Exh. No. BGM-3 4'!AS31</f>
        <v>0</v>
      </c>
      <c r="AP31" s="565" t="e">
        <f>'Exh. No. BGM-3 4'!#REF!</f>
        <v>#REF!</v>
      </c>
    </row>
    <row r="32" spans="1:42" s="554" customFormat="1">
      <c r="A32" s="552">
        <f>'Exh. No. BGM-3 4'!A32</f>
        <v>14</v>
      </c>
      <c r="C32" s="554" t="str">
        <f>'Exh. No. BGM-3 4'!C32</f>
        <v>Depreciation/Amortization</v>
      </c>
      <c r="E32" s="561">
        <f>'Exh. No. BGM-3 4'!E32</f>
        <v>27913</v>
      </c>
      <c r="F32" s="565">
        <f>'Exh. No. BGM-3 4'!F32</f>
        <v>0</v>
      </c>
      <c r="G32" s="565">
        <f>'Exh. No. BGM-3 4'!G32</f>
        <v>0</v>
      </c>
      <c r="H32" s="565">
        <f>'Exh. No. BGM-3 4'!H32</f>
        <v>0</v>
      </c>
      <c r="I32" s="565">
        <f>'Exh. No. BGM-3 4'!I32</f>
        <v>0</v>
      </c>
      <c r="J32" s="565">
        <f>'Exh. No. BGM-3 4'!J32</f>
        <v>0</v>
      </c>
      <c r="K32" s="565">
        <f>'Exh. No. BGM-3 4'!K32</f>
        <v>0</v>
      </c>
      <c r="L32" s="565">
        <f>'Exh. No. BGM-3 4'!L32</f>
        <v>0</v>
      </c>
      <c r="M32" s="565">
        <f>'Exh. No. BGM-3 4'!M32</f>
        <v>0</v>
      </c>
      <c r="N32" s="565">
        <f>'Exh. No. BGM-3 4'!N32</f>
        <v>0</v>
      </c>
      <c r="O32" s="565">
        <f>'Exh. No. BGM-3 4'!O32</f>
        <v>0</v>
      </c>
      <c r="P32" s="565">
        <f>'Exh. No. BGM-3 4'!P32</f>
        <v>0</v>
      </c>
      <c r="Q32" s="565">
        <f>'Exh. No. BGM-3 4'!Q32</f>
        <v>-94</v>
      </c>
      <c r="R32" s="565">
        <f>'Exh. No. BGM-3 4'!R32</f>
        <v>0</v>
      </c>
      <c r="S32" s="565">
        <f>'Exh. No. BGM-3 4'!S32</f>
        <v>0</v>
      </c>
      <c r="T32" s="565">
        <f>'Exh. No. BGM-3 4'!T32</f>
        <v>0</v>
      </c>
      <c r="U32" s="565">
        <f>'Exh. No. BGM-3 4'!U32</f>
        <v>0</v>
      </c>
      <c r="V32" s="565">
        <f>'Exh. No. BGM-3 4'!V32</f>
        <v>0</v>
      </c>
      <c r="W32" s="565">
        <f>'Exh. No. BGM-3 4'!W32</f>
        <v>0</v>
      </c>
      <c r="X32" s="565">
        <f>'Exh. No. BGM-3 4'!X32</f>
        <v>0</v>
      </c>
      <c r="Y32" s="565">
        <f>'Exh. No. BGM-3 4'!Y32</f>
        <v>0</v>
      </c>
      <c r="Z32" s="565">
        <f>'Exh. No. BGM-3 4'!Z32</f>
        <v>0</v>
      </c>
      <c r="AA32" s="565">
        <f>'Exh. No. BGM-3 4'!AD32</f>
        <v>0</v>
      </c>
      <c r="AB32" s="565">
        <f>'Exh. No. BGM-3 4'!AE32</f>
        <v>0</v>
      </c>
      <c r="AC32" s="565">
        <f>'Exh. No. BGM-3 4'!AF32</f>
        <v>0</v>
      </c>
      <c r="AD32" s="565">
        <f>'Exh. No. BGM-3 4'!AG32</f>
        <v>0</v>
      </c>
      <c r="AE32" s="565">
        <f>'Exh. No. BGM-3 4'!AH32</f>
        <v>0</v>
      </c>
      <c r="AF32" s="565">
        <f>'Exh. No. BGM-3 4'!AI32</f>
        <v>0</v>
      </c>
      <c r="AG32" s="565">
        <f>'Exh. No. BGM-3 4'!AJ32</f>
        <v>0</v>
      </c>
      <c r="AH32" s="565">
        <f>'Exh. No. BGM-3 4'!AK32</f>
        <v>0</v>
      </c>
      <c r="AI32" s="565">
        <f>'Exh. No. BGM-3 4'!AL32</f>
        <v>0</v>
      </c>
      <c r="AJ32" s="565">
        <f>'Exh. No. BGM-3 4'!AM32</f>
        <v>0</v>
      </c>
      <c r="AK32" s="565">
        <f>'Exh. No. BGM-3 4'!AN32</f>
        <v>-875</v>
      </c>
      <c r="AL32" s="565">
        <f>'Exh. No. BGM-3 4'!AO32</f>
        <v>0</v>
      </c>
      <c r="AM32" s="565">
        <f>'Exh. No. BGM-3 4'!AP32</f>
        <v>0</v>
      </c>
      <c r="AN32" s="565">
        <f>'Exh. No. BGM-3 4'!AQ32</f>
        <v>0</v>
      </c>
      <c r="AO32" s="565">
        <f>'Exh. No. BGM-3 4'!AS32</f>
        <v>0</v>
      </c>
      <c r="AP32" s="565" t="e">
        <f>'Exh. No. BGM-3 4'!#REF!</f>
        <v>#REF!</v>
      </c>
    </row>
    <row r="33" spans="1:42" s="554" customFormat="1">
      <c r="A33" s="552">
        <f>'Exh. No. BGM-3 4'!A33</f>
        <v>15</v>
      </c>
      <c r="C33" s="554" t="str">
        <f>'Exh. No. BGM-3 4'!C33</f>
        <v>Regulatory Amortization</v>
      </c>
      <c r="E33" s="561">
        <f>'Exh. No. BGM-3 4'!E33</f>
        <v>0</v>
      </c>
      <c r="F33" s="565">
        <f>'Exh. No. BGM-3 4'!F33</f>
        <v>0</v>
      </c>
      <c r="G33" s="565">
        <f>'Exh. No. BGM-3 4'!G33</f>
        <v>0</v>
      </c>
      <c r="H33" s="565">
        <f>'Exh. No. BGM-3 4'!H33</f>
        <v>0</v>
      </c>
      <c r="I33" s="565">
        <f>'Exh. No. BGM-3 4'!I33</f>
        <v>0</v>
      </c>
      <c r="J33" s="565">
        <f>'Exh. No. BGM-3 4'!J33</f>
        <v>0</v>
      </c>
      <c r="K33" s="565">
        <f>'Exh. No. BGM-3 4'!K33</f>
        <v>0</v>
      </c>
      <c r="L33" s="565">
        <f>'Exh. No. BGM-3 4'!L33</f>
        <v>0</v>
      </c>
      <c r="M33" s="565">
        <f>'Exh. No. BGM-3 4'!M33</f>
        <v>0</v>
      </c>
      <c r="N33" s="565">
        <f>'Exh. No. BGM-3 4'!N33</f>
        <v>0</v>
      </c>
      <c r="O33" s="565">
        <f>'Exh. No. BGM-3 4'!O33</f>
        <v>0</v>
      </c>
      <c r="P33" s="565">
        <f>'Exh. No. BGM-3 4'!P33</f>
        <v>0</v>
      </c>
      <c r="Q33" s="565">
        <f>'Exh. No. BGM-3 4'!Q33</f>
        <v>0</v>
      </c>
      <c r="R33" s="565">
        <f>'Exh. No. BGM-3 4'!R33</f>
        <v>0</v>
      </c>
      <c r="S33" s="565">
        <f>'Exh. No. BGM-3 4'!S33</f>
        <v>0</v>
      </c>
      <c r="T33" s="565">
        <f>'Exh. No. BGM-3 4'!T33</f>
        <v>0</v>
      </c>
      <c r="U33" s="565">
        <f>'Exh. No. BGM-3 4'!U33</f>
        <v>0</v>
      </c>
      <c r="V33" s="565">
        <f>'Exh. No. BGM-3 4'!V33</f>
        <v>0</v>
      </c>
      <c r="W33" s="565">
        <f>'Exh. No. BGM-3 4'!W33</f>
        <v>0</v>
      </c>
      <c r="X33" s="565">
        <f>'Exh. No. BGM-3 4'!X33</f>
        <v>0</v>
      </c>
      <c r="Y33" s="565">
        <f>'Exh. No. BGM-3 4'!Y33</f>
        <v>0</v>
      </c>
      <c r="Z33" s="565">
        <f>'Exh. No. BGM-3 4'!Z33</f>
        <v>0</v>
      </c>
      <c r="AA33" s="565">
        <f>'Exh. No. BGM-3 4'!AD33</f>
        <v>0</v>
      </c>
      <c r="AB33" s="565">
        <f>'Exh. No. BGM-3 4'!AE33</f>
        <v>0</v>
      </c>
      <c r="AC33" s="565">
        <f>'Exh. No. BGM-3 4'!AF33</f>
        <v>0</v>
      </c>
      <c r="AD33" s="565">
        <f>'Exh. No. BGM-3 4'!AG33</f>
        <v>0</v>
      </c>
      <c r="AE33" s="565">
        <f>'Exh. No. BGM-3 4'!AH33</f>
        <v>0</v>
      </c>
      <c r="AF33" s="565">
        <f>'Exh. No. BGM-3 4'!AI33</f>
        <v>0</v>
      </c>
      <c r="AG33" s="565">
        <f>'Exh. No. BGM-3 4'!AJ33</f>
        <v>0</v>
      </c>
      <c r="AH33" s="565">
        <f>'Exh. No. BGM-3 4'!AK33</f>
        <v>0</v>
      </c>
      <c r="AI33" s="565">
        <f>'Exh. No. BGM-3 4'!AL33</f>
        <v>0</v>
      </c>
      <c r="AJ33" s="565">
        <f>'Exh. No. BGM-3 4'!AM33</f>
        <v>0</v>
      </c>
      <c r="AK33" s="565">
        <f>'Exh. No. BGM-3 4'!AN33</f>
        <v>0</v>
      </c>
      <c r="AL33" s="565">
        <f>'Exh. No. BGM-3 4'!AO33</f>
        <v>0</v>
      </c>
      <c r="AM33" s="565">
        <f>'Exh. No. BGM-3 4'!AP33</f>
        <v>0</v>
      </c>
      <c r="AN33" s="565">
        <f>'Exh. No. BGM-3 4'!AQ33</f>
        <v>0</v>
      </c>
      <c r="AO33" s="565">
        <f>'Exh. No. BGM-3 4'!AS33</f>
        <v>0</v>
      </c>
      <c r="AP33" s="565" t="e">
        <f>'Exh. No. BGM-3 4'!#REF!</f>
        <v>#REF!</v>
      </c>
    </row>
    <row r="34" spans="1:42" s="554" customFormat="1">
      <c r="A34" s="552">
        <f>'Exh. No. BGM-3 4'!A34</f>
        <v>16</v>
      </c>
      <c r="C34" s="554" t="str">
        <f>'Exh. No. BGM-3 4'!C34</f>
        <v xml:space="preserve">Taxes  </v>
      </c>
      <c r="E34" s="587">
        <f>'Exh. No. BGM-3 4'!E34</f>
        <v>45258</v>
      </c>
      <c r="F34" s="577">
        <f>'Exh. No. BGM-3 4'!F34</f>
        <v>0</v>
      </c>
      <c r="G34" s="577">
        <f>'Exh. No. BGM-3 4'!G34</f>
        <v>0</v>
      </c>
      <c r="H34" s="577">
        <f>'Exh. No. BGM-3 4'!H34</f>
        <v>0</v>
      </c>
      <c r="I34" s="577">
        <f>'Exh. No. BGM-3 4'!I34</f>
        <v>-17674</v>
      </c>
      <c r="J34" s="577">
        <f>'Exh. No. BGM-3 4'!J34</f>
        <v>-336</v>
      </c>
      <c r="K34" s="577">
        <f>'Exh. No. BGM-3 4'!K34</f>
        <v>0</v>
      </c>
      <c r="L34" s="577">
        <f>'Exh. No. BGM-3 4'!L34</f>
        <v>0</v>
      </c>
      <c r="M34" s="577">
        <f>'Exh. No. BGM-3 4'!M34</f>
        <v>0</v>
      </c>
      <c r="N34" s="577">
        <f>'Exh. No. BGM-3 4'!N34</f>
        <v>0</v>
      </c>
      <c r="O34" s="577">
        <f>'Exh. No. BGM-3 4'!O34</f>
        <v>0</v>
      </c>
      <c r="P34" s="577">
        <f>'Exh. No. BGM-3 4'!P34</f>
        <v>-62</v>
      </c>
      <c r="Q34" s="577">
        <f>'Exh. No. BGM-3 4'!Q34</f>
        <v>0</v>
      </c>
      <c r="R34" s="577">
        <f>'Exh. No. BGM-3 4'!R34</f>
        <v>284</v>
      </c>
      <c r="S34" s="577">
        <f>'Exh. No. BGM-3 4'!S34</f>
        <v>-700</v>
      </c>
      <c r="T34" s="577">
        <f>'Exh. No. BGM-3 4'!T34</f>
        <v>0</v>
      </c>
      <c r="U34" s="577">
        <f>'Exh. No. BGM-3 4'!U34</f>
        <v>181</v>
      </c>
      <c r="V34" s="577">
        <f>'Exh. No. BGM-3 4'!V34</f>
        <v>0</v>
      </c>
      <c r="W34" s="577">
        <f>'Exh. No. BGM-3 4'!W34</f>
        <v>0</v>
      </c>
      <c r="X34" s="577">
        <f>'Exh. No. BGM-3 4'!X34</f>
        <v>0</v>
      </c>
      <c r="Y34" s="577">
        <f>'Exh. No. BGM-3 4'!Y34</f>
        <v>0</v>
      </c>
      <c r="Z34" s="577">
        <f>'Exh. No. BGM-3 4'!Z34</f>
        <v>0</v>
      </c>
      <c r="AA34" s="577">
        <f>'Exh. No. BGM-3 4'!AD34</f>
        <v>0</v>
      </c>
      <c r="AB34" s="577">
        <f>'Exh. No. BGM-3 4'!AE34</f>
        <v>0</v>
      </c>
      <c r="AC34" s="577">
        <f>'Exh. No. BGM-3 4'!AF34</f>
        <v>0</v>
      </c>
      <c r="AD34" s="577">
        <f>'Exh. No. BGM-3 4'!AG34</f>
        <v>0</v>
      </c>
      <c r="AE34" s="577">
        <f>'Exh. No. BGM-3 4'!AH34</f>
        <v>0</v>
      </c>
      <c r="AF34" s="577">
        <f>'Exh. No. BGM-3 4'!AI34</f>
        <v>880</v>
      </c>
      <c r="AG34" s="577">
        <f>'Exh. No. BGM-3 4'!AJ34</f>
        <v>0</v>
      </c>
      <c r="AH34" s="577">
        <f>'Exh. No. BGM-3 4'!AK34</f>
        <v>-47</v>
      </c>
      <c r="AI34" s="577">
        <f>'Exh. No. BGM-3 4'!AL34</f>
        <v>0</v>
      </c>
      <c r="AJ34" s="577">
        <f>'Exh. No. BGM-3 4'!AM34</f>
        <v>0</v>
      </c>
      <c r="AK34" s="577">
        <f>'Exh. No. BGM-3 4'!AN34</f>
        <v>0</v>
      </c>
      <c r="AL34" s="577">
        <f>'Exh. No. BGM-3 4'!AO34</f>
        <v>0</v>
      </c>
      <c r="AM34" s="577">
        <f>'Exh. No. BGM-3 4'!AP34</f>
        <v>0</v>
      </c>
      <c r="AN34" s="577">
        <f>'Exh. No. BGM-3 4'!AQ34</f>
        <v>0</v>
      </c>
      <c r="AO34" s="577">
        <f>'Exh. No. BGM-3 4'!AS34</f>
        <v>0</v>
      </c>
      <c r="AP34" s="577" t="e">
        <f>'Exh. No. BGM-3 4'!#REF!</f>
        <v>#REF!</v>
      </c>
    </row>
    <row r="35" spans="1:42" s="554" customFormat="1">
      <c r="A35" s="552">
        <f>'Exh. No. BGM-3 4'!A35</f>
        <v>17</v>
      </c>
      <c r="B35" s="554" t="str">
        <f>'Exh. No. BGM-3 4'!B35</f>
        <v xml:space="preserve">Total Distribution  </v>
      </c>
      <c r="E35" s="557">
        <f>'Exh. No. BGM-3 4'!E35</f>
        <v>94591</v>
      </c>
      <c r="F35" s="565">
        <f>'Exh. No. BGM-3 4'!F35</f>
        <v>0</v>
      </c>
      <c r="G35" s="565">
        <f>'Exh. No. BGM-3 4'!G35</f>
        <v>0</v>
      </c>
      <c r="H35" s="565">
        <f>'Exh. No. BGM-3 4'!H35</f>
        <v>0</v>
      </c>
      <c r="I35" s="565">
        <f>'Exh. No. BGM-3 4'!I35</f>
        <v>-17674</v>
      </c>
      <c r="J35" s="565">
        <f>'Exh. No. BGM-3 4'!J35</f>
        <v>-336</v>
      </c>
      <c r="K35" s="565">
        <f>'Exh. No. BGM-3 4'!K35</f>
        <v>0</v>
      </c>
      <c r="L35" s="565">
        <f>'Exh. No. BGM-3 4'!L35</f>
        <v>0</v>
      </c>
      <c r="M35" s="565">
        <f>'Exh. No. BGM-3 4'!M35</f>
        <v>0</v>
      </c>
      <c r="N35" s="565">
        <f>'Exh. No. BGM-3 4'!N35</f>
        <v>0</v>
      </c>
      <c r="O35" s="565">
        <f>'Exh. No. BGM-3 4'!O35</f>
        <v>0</v>
      </c>
      <c r="P35" s="565">
        <f>'Exh. No. BGM-3 4'!P35</f>
        <v>-62</v>
      </c>
      <c r="Q35" s="565">
        <f>'Exh. No. BGM-3 4'!Q35</f>
        <v>-94</v>
      </c>
      <c r="R35" s="565">
        <f>'Exh. No. BGM-3 4'!R35</f>
        <v>284</v>
      </c>
      <c r="S35" s="565">
        <f>'Exh. No. BGM-3 4'!S35</f>
        <v>-700</v>
      </c>
      <c r="T35" s="565">
        <f>'Exh. No. BGM-3 4'!T35</f>
        <v>-2</v>
      </c>
      <c r="U35" s="565">
        <f>'Exh. No. BGM-3 4'!U35</f>
        <v>181</v>
      </c>
      <c r="V35" s="565">
        <f>'Exh. No. BGM-3 4'!V35</f>
        <v>0</v>
      </c>
      <c r="W35" s="565">
        <f>'Exh. No. BGM-3 4'!W35</f>
        <v>0</v>
      </c>
      <c r="X35" s="565">
        <f>'Exh. No. BGM-3 4'!X35</f>
        <v>0</v>
      </c>
      <c r="Y35" s="565">
        <f>'Exh. No. BGM-3 4'!Y35</f>
        <v>0</v>
      </c>
      <c r="Z35" s="565">
        <f>'Exh. No. BGM-3 4'!Z35</f>
        <v>0</v>
      </c>
      <c r="AA35" s="565">
        <f>'Exh. No. BGM-3 4'!AD35</f>
        <v>0</v>
      </c>
      <c r="AB35" s="565">
        <f>'Exh. No. BGM-3 4'!AE35</f>
        <v>327.46899999999999</v>
      </c>
      <c r="AC35" s="565">
        <f>'Exh. No. BGM-3 4'!AF35</f>
        <v>0</v>
      </c>
      <c r="AD35" s="565">
        <f>'Exh. No. BGM-3 4'!AG35</f>
        <v>-77</v>
      </c>
      <c r="AE35" s="565">
        <f>'Exh. No. BGM-3 4'!AH35</f>
        <v>0</v>
      </c>
      <c r="AF35" s="565">
        <f>'Exh. No. BGM-3 4'!AI35</f>
        <v>880</v>
      </c>
      <c r="AG35" s="565">
        <f>'Exh. No. BGM-3 4'!AJ35</f>
        <v>0</v>
      </c>
      <c r="AH35" s="565">
        <f>'Exh. No. BGM-3 4'!AK35</f>
        <v>-47</v>
      </c>
      <c r="AI35" s="565">
        <f>'Exh. No. BGM-3 4'!AL35</f>
        <v>0</v>
      </c>
      <c r="AJ35" s="565">
        <f>'Exh. No. BGM-3 4'!AM35</f>
        <v>0</v>
      </c>
      <c r="AK35" s="565">
        <f>'Exh. No. BGM-3 4'!AN35</f>
        <v>-875</v>
      </c>
      <c r="AL35" s="565">
        <f>'Exh. No. BGM-3 4'!AO35</f>
        <v>0</v>
      </c>
      <c r="AM35" s="565">
        <f>'Exh. No. BGM-3 4'!AP35</f>
        <v>0</v>
      </c>
      <c r="AN35" s="565">
        <f>'Exh. No. BGM-3 4'!AQ35</f>
        <v>532</v>
      </c>
      <c r="AO35" s="565">
        <f>'Exh. No. BGM-3 4'!AS35</f>
        <v>0</v>
      </c>
      <c r="AP35" s="565" t="e">
        <f>'Exh. No. BGM-3 4'!#REF!</f>
        <v>#REF!</v>
      </c>
    </row>
    <row r="36" spans="1:42" s="554" customFormat="1" ht="6" customHeight="1">
      <c r="E36" s="557"/>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row>
    <row r="37" spans="1:42" s="554" customFormat="1">
      <c r="A37" s="552">
        <f>'Exh. No. BGM-3 4'!A37</f>
        <v>18</v>
      </c>
      <c r="B37" s="554" t="str">
        <f>'Exh. No. BGM-3 4'!B37</f>
        <v xml:space="preserve">Customer Accounting  </v>
      </c>
      <c r="E37" s="561">
        <f>'Exh. No. BGM-3 4'!E37</f>
        <v>11733</v>
      </c>
      <c r="F37" s="565">
        <f>'Exh. No. BGM-3 4'!F37</f>
        <v>0</v>
      </c>
      <c r="G37" s="565">
        <f>'Exh. No. BGM-3 4'!G37</f>
        <v>8</v>
      </c>
      <c r="H37" s="565">
        <f>'Exh. No. BGM-3 4'!H37</f>
        <v>0</v>
      </c>
      <c r="I37" s="565">
        <f>'Exh. No. BGM-3 4'!I37</f>
        <v>0</v>
      </c>
      <c r="J37" s="565">
        <f>'Exh. No. BGM-3 4'!J37</f>
        <v>0</v>
      </c>
      <c r="K37" s="565">
        <v>1321</v>
      </c>
      <c r="L37" s="565">
        <f>'Exh. No. BGM-3 4'!L37</f>
        <v>0</v>
      </c>
      <c r="M37" s="565">
        <f>'Exh. No. BGM-3 4'!M37</f>
        <v>0</v>
      </c>
      <c r="N37" s="565">
        <f>'Exh. No. BGM-3 4'!N37</f>
        <v>0</v>
      </c>
      <c r="O37" s="565">
        <f>'Exh. No. BGM-3 4'!O37</f>
        <v>0</v>
      </c>
      <c r="P37" s="565">
        <f>'Exh. No. BGM-3 4'!P37</f>
        <v>0</v>
      </c>
      <c r="Q37" s="565">
        <f>'Exh. No. BGM-3 4'!Q37</f>
        <v>0</v>
      </c>
      <c r="R37" s="565">
        <f>'Exh. No. BGM-3 4'!R37</f>
        <v>49</v>
      </c>
      <c r="S37" s="565">
        <f>'Exh. No. BGM-3 4'!S37</f>
        <v>-120</v>
      </c>
      <c r="T37" s="565">
        <f>'Exh. No. BGM-3 4'!T37</f>
        <v>0</v>
      </c>
      <c r="U37" s="565">
        <f>'Exh. No. BGM-3 4'!U37</f>
        <v>30</v>
      </c>
      <c r="V37" s="565">
        <f>'Exh. No. BGM-3 4'!V37</f>
        <v>0</v>
      </c>
      <c r="W37" s="565">
        <f>'Exh. No. BGM-3 4'!W37</f>
        <v>0</v>
      </c>
      <c r="X37" s="565">
        <f>'Exh. No. BGM-3 4'!X37</f>
        <v>0</v>
      </c>
      <c r="Y37" s="565">
        <f>'Exh. No. BGM-3 4'!Y37</f>
        <v>0</v>
      </c>
      <c r="Z37" s="565">
        <f>'Exh. No. BGM-3 4'!Z37</f>
        <v>0</v>
      </c>
      <c r="AA37" s="565">
        <f>'Exh. No. BGM-3 4'!AD37</f>
        <v>0</v>
      </c>
      <c r="AB37" s="565">
        <f>'Exh. No. BGM-3 4'!AE37</f>
        <v>170.88800000000001</v>
      </c>
      <c r="AC37" s="565">
        <f>'Exh. No. BGM-3 4'!AF37</f>
        <v>0</v>
      </c>
      <c r="AD37" s="565">
        <f>'Exh. No. BGM-3 4'!AG37</f>
        <v>-41</v>
      </c>
      <c r="AE37" s="565">
        <f>'Exh. No. BGM-3 4'!AH37</f>
        <v>0</v>
      </c>
      <c r="AF37" s="565">
        <f>'Exh. No. BGM-3 4'!AI37</f>
        <v>0</v>
      </c>
      <c r="AG37" s="565">
        <f>'Exh. No. BGM-3 4'!AJ37</f>
        <v>0</v>
      </c>
      <c r="AH37" s="565">
        <f>'Exh. No. BGM-3 4'!AK37</f>
        <v>-8</v>
      </c>
      <c r="AI37" s="565">
        <f>'Exh. No. BGM-3 4'!AL37</f>
        <v>0</v>
      </c>
      <c r="AJ37" s="565">
        <f>'Exh. No. BGM-3 4'!AM37</f>
        <v>0</v>
      </c>
      <c r="AK37" s="565">
        <f>'Exh. No. BGM-3 4'!AN37</f>
        <v>0</v>
      </c>
      <c r="AL37" s="565">
        <f>'Exh. No. BGM-3 4'!AO37</f>
        <v>0</v>
      </c>
      <c r="AM37" s="565">
        <f>'Exh. No. BGM-3 4'!AP37</f>
        <v>0</v>
      </c>
      <c r="AN37" s="565">
        <f>'Exh. No. BGM-3 4'!AQ37</f>
        <v>0</v>
      </c>
      <c r="AO37" s="565">
        <f>'Exh. No. BGM-3 4'!AS37</f>
        <v>0</v>
      </c>
      <c r="AP37" s="565" t="e">
        <f>'Exh. No. BGM-3 4'!#REF!</f>
        <v>#REF!</v>
      </c>
    </row>
    <row r="38" spans="1:42" s="554" customFormat="1">
      <c r="A38" s="552">
        <f>'Exh. No. BGM-3 4'!A38</f>
        <v>19</v>
      </c>
      <c r="B38" s="554" t="str">
        <f>'Exh. No. BGM-3 4'!B38</f>
        <v xml:space="preserve">Customer Service &amp; Information  </v>
      </c>
      <c r="E38" s="561">
        <f>'Exh. No. BGM-3 4'!E38</f>
        <v>18081</v>
      </c>
      <c r="F38" s="565">
        <f>'Exh. No. BGM-3 4'!F38</f>
        <v>0</v>
      </c>
      <c r="G38" s="565">
        <f>'Exh. No. BGM-3 4'!G38</f>
        <v>0</v>
      </c>
      <c r="H38" s="565">
        <f>'Exh. No. BGM-3 4'!H38</f>
        <v>0</v>
      </c>
      <c r="I38" s="565">
        <f>'Exh. No. BGM-3 4'!I38</f>
        <v>0</v>
      </c>
      <c r="J38" s="565">
        <f>'Exh. No. BGM-3 4'!J38</f>
        <v>0</v>
      </c>
      <c r="K38" s="565">
        <f>'Exh. No. BGM-3 4'!K38</f>
        <v>0</v>
      </c>
      <c r="L38" s="565">
        <f>'Exh. No. BGM-3 4'!L38</f>
        <v>0</v>
      </c>
      <c r="M38" s="565">
        <f>'Exh. No. BGM-3 4'!M38</f>
        <v>0</v>
      </c>
      <c r="N38" s="565">
        <f>'Exh. No. BGM-3 4'!N38</f>
        <v>0</v>
      </c>
      <c r="O38" s="565">
        <f>'Exh. No. BGM-3 4'!O38</f>
        <v>0</v>
      </c>
      <c r="P38" s="565">
        <f>'Exh. No. BGM-3 4'!P38</f>
        <v>0</v>
      </c>
      <c r="Q38" s="565">
        <f>'Exh. No. BGM-3 4'!Q38</f>
        <v>0</v>
      </c>
      <c r="R38" s="565">
        <f>'Exh. No. BGM-3 4'!R38</f>
        <v>0</v>
      </c>
      <c r="S38" s="565">
        <f>'Exh. No. BGM-3 4'!S38</f>
        <v>-16675</v>
      </c>
      <c r="T38" s="565">
        <f>'Exh. No. BGM-3 4'!T38</f>
        <v>0</v>
      </c>
      <c r="U38" s="565">
        <f>'Exh. No. BGM-3 4'!U38</f>
        <v>0</v>
      </c>
      <c r="V38" s="565">
        <f>'Exh. No. BGM-3 4'!V38</f>
        <v>0</v>
      </c>
      <c r="W38" s="565">
        <f>'Exh. No. BGM-3 4'!W38</f>
        <v>0</v>
      </c>
      <c r="X38" s="565">
        <f>'Exh. No. BGM-3 4'!X38</f>
        <v>0</v>
      </c>
      <c r="Y38" s="565">
        <f>'Exh. No. BGM-3 4'!Y38</f>
        <v>0</v>
      </c>
      <c r="Z38" s="565">
        <f>'Exh. No. BGM-3 4'!Z38</f>
        <v>0</v>
      </c>
      <c r="AA38" s="565">
        <f>'Exh. No. BGM-3 4'!AD38</f>
        <v>0</v>
      </c>
      <c r="AB38" s="565">
        <f>'Exh. No. BGM-3 4'!AE38</f>
        <v>14.016999999999999</v>
      </c>
      <c r="AC38" s="565">
        <f>'Exh. No. BGM-3 4'!AF38</f>
        <v>0</v>
      </c>
      <c r="AD38" s="565">
        <f>'Exh. No. BGM-3 4'!AG38</f>
        <v>-3</v>
      </c>
      <c r="AE38" s="565">
        <f>'Exh. No. BGM-3 4'!AH38</f>
        <v>0</v>
      </c>
      <c r="AF38" s="565">
        <f>'Exh. No. BGM-3 4'!AI38</f>
        <v>0</v>
      </c>
      <c r="AG38" s="565">
        <f>'Exh. No. BGM-3 4'!AJ38</f>
        <v>0</v>
      </c>
      <c r="AH38" s="565">
        <f>'Exh. No. BGM-3 4'!AK38</f>
        <v>0</v>
      </c>
      <c r="AI38" s="565">
        <f>'Exh. No. BGM-3 4'!AL38</f>
        <v>0</v>
      </c>
      <c r="AJ38" s="565">
        <f>'Exh. No. BGM-3 4'!AM38</f>
        <v>0</v>
      </c>
      <c r="AK38" s="565">
        <f>'Exh. No. BGM-3 4'!AN38</f>
        <v>0</v>
      </c>
      <c r="AL38" s="565">
        <f>'Exh. No. BGM-3 4'!AO38</f>
        <v>0</v>
      </c>
      <c r="AM38" s="565">
        <f>'Exh. No. BGM-3 4'!AP38</f>
        <v>0</v>
      </c>
      <c r="AN38" s="565">
        <f>'Exh. No. BGM-3 4'!AQ38</f>
        <v>0</v>
      </c>
      <c r="AO38" s="565">
        <f>'Exh. No. BGM-3 4'!AS38</f>
        <v>0</v>
      </c>
      <c r="AP38" s="565" t="e">
        <f>'Exh. No. BGM-3 4'!#REF!</f>
        <v>#REF!</v>
      </c>
    </row>
    <row r="39" spans="1:42" s="554" customFormat="1">
      <c r="A39" s="552">
        <f>'Exh. No. BGM-3 4'!A39</f>
        <v>20</v>
      </c>
      <c r="B39" s="554" t="str">
        <f>'Exh. No. BGM-3 4'!B39</f>
        <v xml:space="preserve">Sales Expenses  </v>
      </c>
      <c r="E39" s="561">
        <f>'Exh. No. BGM-3 4'!E39</f>
        <v>0</v>
      </c>
      <c r="F39" s="565">
        <f>'Exh. No. BGM-3 4'!F39</f>
        <v>0</v>
      </c>
      <c r="G39" s="565">
        <f>'Exh. No. BGM-3 4'!G39</f>
        <v>0</v>
      </c>
      <c r="H39" s="565">
        <f>'Exh. No. BGM-3 4'!H39</f>
        <v>0</v>
      </c>
      <c r="I39" s="565">
        <f>'Exh. No. BGM-3 4'!I39</f>
        <v>0</v>
      </c>
      <c r="J39" s="565">
        <f>'Exh. No. BGM-3 4'!J39</f>
        <v>0</v>
      </c>
      <c r="K39" s="565">
        <f>'Exh. No. BGM-3 4'!K39</f>
        <v>0</v>
      </c>
      <c r="L39" s="565">
        <f>'Exh. No. BGM-3 4'!L39</f>
        <v>0</v>
      </c>
      <c r="M39" s="565">
        <f>'Exh. No. BGM-3 4'!M39</f>
        <v>0</v>
      </c>
      <c r="N39" s="565">
        <f>'Exh. No. BGM-3 4'!N39</f>
        <v>0</v>
      </c>
      <c r="O39" s="565">
        <f>'Exh. No. BGM-3 4'!O39</f>
        <v>0</v>
      </c>
      <c r="P39" s="565">
        <f>'Exh. No. BGM-3 4'!P39</f>
        <v>0</v>
      </c>
      <c r="Q39" s="565">
        <f>'Exh. No. BGM-3 4'!Q39</f>
        <v>0</v>
      </c>
      <c r="R39" s="565">
        <f>'Exh. No. BGM-3 4'!R39</f>
        <v>0</v>
      </c>
      <c r="S39" s="565">
        <f>'Exh. No. BGM-3 4'!S39</f>
        <v>0</v>
      </c>
      <c r="T39" s="565">
        <f>'Exh. No. BGM-3 4'!T39</f>
        <v>0</v>
      </c>
      <c r="U39" s="565">
        <f>'Exh. No. BGM-3 4'!U39</f>
        <v>0</v>
      </c>
      <c r="V39" s="565">
        <f>'Exh. No. BGM-3 4'!V39</f>
        <v>0</v>
      </c>
      <c r="W39" s="565">
        <f>'Exh. No. BGM-3 4'!W39</f>
        <v>0</v>
      </c>
      <c r="X39" s="565">
        <f>'Exh. No. BGM-3 4'!X39</f>
        <v>0</v>
      </c>
      <c r="Y39" s="565">
        <f>'Exh. No. BGM-3 4'!Y39</f>
        <v>0</v>
      </c>
      <c r="Z39" s="565">
        <f>'Exh. No. BGM-3 4'!Z39</f>
        <v>0</v>
      </c>
      <c r="AA39" s="565">
        <f>'Exh. No. BGM-3 4'!AD39</f>
        <v>0</v>
      </c>
      <c r="AB39" s="565">
        <f>'Exh. No. BGM-3 4'!AE39</f>
        <v>0</v>
      </c>
      <c r="AC39" s="565">
        <f>'Exh. No. BGM-3 4'!AF39</f>
        <v>0</v>
      </c>
      <c r="AD39" s="565">
        <f>'Exh. No. BGM-3 4'!AG39</f>
        <v>0</v>
      </c>
      <c r="AE39" s="565">
        <f>'Exh. No. BGM-3 4'!AH39</f>
        <v>0</v>
      </c>
      <c r="AF39" s="565">
        <f>'Exh. No. BGM-3 4'!AI39</f>
        <v>0</v>
      </c>
      <c r="AG39" s="565">
        <f>'Exh. No. BGM-3 4'!AJ39</f>
        <v>0</v>
      </c>
      <c r="AH39" s="565">
        <f>'Exh. No. BGM-3 4'!AK39</f>
        <v>0</v>
      </c>
      <c r="AI39" s="565">
        <f>'Exh. No. BGM-3 4'!AL39</f>
        <v>0</v>
      </c>
      <c r="AJ39" s="565">
        <f>'Exh. No. BGM-3 4'!AM39</f>
        <v>0</v>
      </c>
      <c r="AK39" s="565">
        <f>'Exh. No. BGM-3 4'!AN39</f>
        <v>0</v>
      </c>
      <c r="AL39" s="565">
        <f>'Exh. No. BGM-3 4'!AO39</f>
        <v>0</v>
      </c>
      <c r="AM39" s="565">
        <f>'Exh. No. BGM-3 4'!AP39</f>
        <v>0</v>
      </c>
      <c r="AN39" s="565">
        <f>'Exh. No. BGM-3 4'!AQ39</f>
        <v>0</v>
      </c>
      <c r="AO39" s="565">
        <f>'Exh. No. BGM-3 4'!AS39</f>
        <v>0</v>
      </c>
      <c r="AP39" s="565" t="e">
        <f>'Exh. No. BGM-3 4'!#REF!</f>
        <v>#REF!</v>
      </c>
    </row>
    <row r="40" spans="1:42" s="554" customFormat="1" ht="6" customHeight="1">
      <c r="A40" s="552"/>
      <c r="E40" s="557"/>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row>
    <row r="41" spans="1:42" s="554" customFormat="1">
      <c r="B41" s="554" t="str">
        <f>'Exh. No. BGM-3 4'!B41</f>
        <v xml:space="preserve">Administrative &amp; General  </v>
      </c>
      <c r="E41" s="557"/>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row>
    <row r="42" spans="1:42" s="554" customFormat="1">
      <c r="A42" s="552">
        <f>'Exh. No. BGM-3 4'!A42</f>
        <v>21</v>
      </c>
      <c r="C42" s="554" t="str">
        <f>'Exh. No. BGM-3 4'!C42</f>
        <v xml:space="preserve">Operating Expenses  </v>
      </c>
      <c r="E42" s="561">
        <f>'Exh. No. BGM-3 4'!E42</f>
        <v>50568</v>
      </c>
      <c r="F42" s="565">
        <f>'Exh. No. BGM-3 4'!F42</f>
        <v>0</v>
      </c>
      <c r="G42" s="565">
        <f>'Exh. No. BGM-3 4'!G42</f>
        <v>0</v>
      </c>
      <c r="H42" s="565">
        <f>'Exh. No. BGM-3 4'!H42</f>
        <v>0</v>
      </c>
      <c r="I42" s="565">
        <f>'Exh. No. BGM-3 4'!I42</f>
        <v>0</v>
      </c>
      <c r="J42" s="565">
        <f>'Exh. No. BGM-3 4'!J42</f>
        <v>0</v>
      </c>
      <c r="K42" s="565">
        <f>'Exh. No. BGM-3 4'!K42</f>
        <v>0</v>
      </c>
      <c r="L42" s="565">
        <f>'Exh. No. BGM-3 4'!L42</f>
        <v>7</v>
      </c>
      <c r="M42" s="565">
        <f>'Exh. No. BGM-3 4'!M42</f>
        <v>151</v>
      </c>
      <c r="N42" s="565">
        <f>'Exh. No. BGM-3 4'!N42</f>
        <v>0</v>
      </c>
      <c r="O42" s="565">
        <f>'Exh. No. BGM-3 4'!O42</f>
        <v>-31</v>
      </c>
      <c r="P42" s="565">
        <f>'Exh. No. BGM-3 4'!P42</f>
        <v>0</v>
      </c>
      <c r="Q42" s="565">
        <f>'Exh. No. BGM-3 4'!Q42</f>
        <v>0</v>
      </c>
      <c r="R42" s="565">
        <f>'Exh. No. BGM-3 4'!R42</f>
        <v>15</v>
      </c>
      <c r="S42" s="565">
        <f>'Exh. No. BGM-3 4'!S42</f>
        <v>-36</v>
      </c>
      <c r="T42" s="565">
        <f>'Exh. No. BGM-3 4'!T42</f>
        <v>-1068</v>
      </c>
      <c r="U42" s="565">
        <f>'Exh. No. BGM-3 4'!U42</f>
        <v>9</v>
      </c>
      <c r="V42" s="565">
        <f>'Exh. No. BGM-3 4'!V42</f>
        <v>0</v>
      </c>
      <c r="W42" s="565">
        <f>'Exh. No. BGM-3 4'!W42</f>
        <v>-626</v>
      </c>
      <c r="X42" s="565">
        <f>'Exh. No. BGM-3 4'!X42</f>
        <v>0</v>
      </c>
      <c r="Y42" s="565">
        <f>'Exh. No. BGM-3 4'!Y42</f>
        <v>0</v>
      </c>
      <c r="Z42" s="565">
        <f>'Exh. No. BGM-3 4'!Z42</f>
        <v>0</v>
      </c>
      <c r="AA42" s="565">
        <f>'Exh. No. BGM-3 4'!AD42</f>
        <v>0</v>
      </c>
      <c r="AB42" s="565">
        <f>'Exh. No. BGM-3 4'!AE42</f>
        <v>483.43</v>
      </c>
      <c r="AC42" s="565">
        <f>'Exh. No. BGM-3 4'!AF42</f>
        <v>-33</v>
      </c>
      <c r="AD42" s="565">
        <f>'Exh. No. BGM-3 4'!AG42</f>
        <v>-114</v>
      </c>
      <c r="AE42" s="565">
        <f>'Exh. No. BGM-3 4'!AH42</f>
        <v>119</v>
      </c>
      <c r="AF42" s="565">
        <f>'Exh. No. BGM-3 4'!AI42</f>
        <v>0</v>
      </c>
      <c r="AG42" s="565">
        <f>'Exh. No. BGM-3 4'!AJ42</f>
        <v>694</v>
      </c>
      <c r="AH42" s="565">
        <f>'Exh. No. BGM-3 4'!AK42</f>
        <v>-2</v>
      </c>
      <c r="AI42" s="565">
        <f>'Exh. No. BGM-3 4'!AL42</f>
        <v>0</v>
      </c>
      <c r="AJ42" s="565">
        <f>'Exh. No. BGM-3 4'!AM42</f>
        <v>0</v>
      </c>
      <c r="AK42" s="565">
        <f>'Exh. No. BGM-3 4'!AN42</f>
        <v>-112</v>
      </c>
      <c r="AL42" s="565">
        <f>'Exh. No. BGM-3 4'!AO42</f>
        <v>0</v>
      </c>
      <c r="AM42" s="565">
        <f>'Exh. No. BGM-3 4'!AP42</f>
        <v>0</v>
      </c>
      <c r="AN42" s="565">
        <f>'Exh. No. BGM-3 4'!AQ42</f>
        <v>0</v>
      </c>
      <c r="AO42" s="565">
        <f>'Exh. No. BGM-3 4'!AS42</f>
        <v>0</v>
      </c>
      <c r="AP42" s="565" t="e">
        <f>'Exh. No. BGM-3 4'!#REF!</f>
        <v>#REF!</v>
      </c>
    </row>
    <row r="43" spans="1:42" s="554" customFormat="1">
      <c r="A43" s="552">
        <f>'Exh. No. BGM-3 4'!A43</f>
        <v>22</v>
      </c>
      <c r="C43" s="554" t="str">
        <f>'Exh. No. BGM-3 4'!C43</f>
        <v>Depreciation/Amortization</v>
      </c>
      <c r="E43" s="561">
        <f>'Exh. No. BGM-3 4'!E43</f>
        <v>23877</v>
      </c>
      <c r="F43" s="565">
        <f>'Exh. No. BGM-3 4'!F43</f>
        <v>0</v>
      </c>
      <c r="G43" s="565">
        <f>'Exh. No. BGM-3 4'!G43</f>
        <v>0</v>
      </c>
      <c r="H43" s="565">
        <f>'Exh. No. BGM-3 4'!H43</f>
        <v>0</v>
      </c>
      <c r="I43" s="565">
        <f>'Exh. No. BGM-3 4'!I43</f>
        <v>0</v>
      </c>
      <c r="J43" s="565">
        <f>'Exh. No. BGM-3 4'!J43</f>
        <v>0</v>
      </c>
      <c r="K43" s="565">
        <f>'Exh. No. BGM-3 4'!K43</f>
        <v>0</v>
      </c>
      <c r="L43" s="565">
        <f>'Exh. No. BGM-3 4'!L43</f>
        <v>0</v>
      </c>
      <c r="M43" s="565">
        <f>'Exh. No. BGM-3 4'!M43</f>
        <v>0</v>
      </c>
      <c r="N43" s="565">
        <f>'Exh. No. BGM-3 4'!N43</f>
        <v>0</v>
      </c>
      <c r="O43" s="565">
        <f>'Exh. No. BGM-3 4'!O43</f>
        <v>0</v>
      </c>
      <c r="P43" s="565">
        <f>'Exh. No. BGM-3 4'!P43</f>
        <v>0</v>
      </c>
      <c r="Q43" s="565">
        <f>'Exh. No. BGM-3 4'!Q43</f>
        <v>0</v>
      </c>
      <c r="R43" s="565">
        <f>'Exh. No. BGM-3 4'!R43</f>
        <v>0</v>
      </c>
      <c r="S43" s="565">
        <f>'Exh. No. BGM-3 4'!S43</f>
        <v>0</v>
      </c>
      <c r="T43" s="565">
        <f>'Exh. No. BGM-3 4'!T43</f>
        <v>0</v>
      </c>
      <c r="U43" s="565">
        <f>'Exh. No. BGM-3 4'!U43</f>
        <v>0</v>
      </c>
      <c r="V43" s="565">
        <f>'Exh. No. BGM-3 4'!V43</f>
        <v>0</v>
      </c>
      <c r="W43" s="565">
        <f>'Exh. No. BGM-3 4'!W43</f>
        <v>0</v>
      </c>
      <c r="X43" s="565">
        <f>'Exh. No. BGM-3 4'!X43</f>
        <v>0</v>
      </c>
      <c r="Y43" s="565">
        <f>'Exh. No. BGM-3 4'!Y43</f>
        <v>0</v>
      </c>
      <c r="Z43" s="565">
        <f>'Exh. No. BGM-3 4'!Z43</f>
        <v>0</v>
      </c>
      <c r="AA43" s="565">
        <f>'Exh. No. BGM-3 4'!AD43</f>
        <v>0</v>
      </c>
      <c r="AB43" s="565">
        <f>'Exh. No. BGM-3 4'!AE43</f>
        <v>0</v>
      </c>
      <c r="AC43" s="565">
        <f>'Exh. No. BGM-3 4'!AF43</f>
        <v>0</v>
      </c>
      <c r="AD43" s="565">
        <f>'Exh. No. BGM-3 4'!AG43</f>
        <v>0</v>
      </c>
      <c r="AE43" s="565">
        <f>'Exh. No. BGM-3 4'!AH43</f>
        <v>0</v>
      </c>
      <c r="AF43" s="565">
        <f>'Exh. No. BGM-3 4'!AI43</f>
        <v>0</v>
      </c>
      <c r="AG43" s="565">
        <f>'Exh. No. BGM-3 4'!AJ43</f>
        <v>0</v>
      </c>
      <c r="AH43" s="565">
        <f>'Exh. No. BGM-3 4'!AK43</f>
        <v>0</v>
      </c>
      <c r="AI43" s="565">
        <f>'Exh. No. BGM-3 4'!AL43</f>
        <v>0</v>
      </c>
      <c r="AJ43" s="565">
        <f>'Exh. No. BGM-3 4'!AM43</f>
        <v>0</v>
      </c>
      <c r="AK43" s="565">
        <f>'Exh. No. BGM-3 4'!AN43</f>
        <v>0</v>
      </c>
      <c r="AL43" s="565">
        <f>'Exh. No. BGM-3 4'!AO43</f>
        <v>0</v>
      </c>
      <c r="AM43" s="565">
        <f>'Exh. No. BGM-3 4'!AP43</f>
        <v>0</v>
      </c>
      <c r="AN43" s="565">
        <f>'Exh. No. BGM-3 4'!AQ43</f>
        <v>0</v>
      </c>
      <c r="AO43" s="565">
        <f>'Exh. No. BGM-3 4'!AS43</f>
        <v>0</v>
      </c>
      <c r="AP43" s="565" t="e">
        <f>'Exh. No. BGM-3 4'!#REF!</f>
        <v>#REF!</v>
      </c>
    </row>
    <row r="44" spans="1:42" s="554" customFormat="1">
      <c r="A44" s="581">
        <f>'Exh. No. BGM-3 4'!A44</f>
        <v>23</v>
      </c>
      <c r="C44" s="554" t="str">
        <f>'Exh. No. BGM-3 4'!C44</f>
        <v xml:space="preserve">Taxes  </v>
      </c>
      <c r="E44" s="587">
        <f>'Exh. No. BGM-3 4'!E44</f>
        <v>0</v>
      </c>
      <c r="F44" s="577">
        <f>'Exh. No. BGM-3 4'!F44</f>
        <v>0</v>
      </c>
      <c r="G44" s="577">
        <f>'Exh. No. BGM-3 4'!G44</f>
        <v>0</v>
      </c>
      <c r="H44" s="577">
        <f>'Exh. No. BGM-3 4'!H44</f>
        <v>0</v>
      </c>
      <c r="I44" s="577">
        <f>'Exh. No. BGM-3 4'!I44</f>
        <v>0</v>
      </c>
      <c r="J44" s="577">
        <f>'Exh. No. BGM-3 4'!J44</f>
        <v>0</v>
      </c>
      <c r="K44" s="577">
        <f>'Exh. No. BGM-3 4'!K44</f>
        <v>0</v>
      </c>
      <c r="L44" s="577">
        <f>'Exh. No. BGM-3 4'!L44</f>
        <v>0</v>
      </c>
      <c r="M44" s="577">
        <f>'Exh. No. BGM-3 4'!M44</f>
        <v>0</v>
      </c>
      <c r="N44" s="577">
        <f>'Exh. No. BGM-3 4'!N44</f>
        <v>0</v>
      </c>
      <c r="O44" s="577">
        <f>'Exh. No. BGM-3 4'!O44</f>
        <v>0</v>
      </c>
      <c r="P44" s="577">
        <f>'Exh. No. BGM-3 4'!P44</f>
        <v>0</v>
      </c>
      <c r="Q44" s="577">
        <f>'Exh. No. BGM-3 4'!Q44</f>
        <v>0</v>
      </c>
      <c r="R44" s="577">
        <f>'Exh. No. BGM-3 4'!R44</f>
        <v>0</v>
      </c>
      <c r="S44" s="577">
        <f>'Exh. No. BGM-3 4'!S44</f>
        <v>0</v>
      </c>
      <c r="T44" s="577">
        <f>'Exh. No. BGM-3 4'!T44</f>
        <v>0</v>
      </c>
      <c r="U44" s="577">
        <f>'Exh. No. BGM-3 4'!U44</f>
        <v>0</v>
      </c>
      <c r="V44" s="577">
        <f>'Exh. No. BGM-3 4'!V44</f>
        <v>0</v>
      </c>
      <c r="W44" s="577">
        <f>'Exh. No. BGM-3 4'!W44</f>
        <v>0</v>
      </c>
      <c r="X44" s="577">
        <f>'Exh. No. BGM-3 4'!X44</f>
        <v>0</v>
      </c>
      <c r="Y44" s="577">
        <f>'Exh. No. BGM-3 4'!Y44</f>
        <v>0</v>
      </c>
      <c r="Z44" s="577">
        <f>'Exh. No. BGM-3 4'!Z44</f>
        <v>0</v>
      </c>
      <c r="AA44" s="577">
        <f>'Exh. No. BGM-3 4'!AD44</f>
        <v>0</v>
      </c>
      <c r="AB44" s="577">
        <f>'Exh. No. BGM-3 4'!AE44</f>
        <v>0</v>
      </c>
      <c r="AC44" s="577">
        <f>'Exh. No. BGM-3 4'!AF44</f>
        <v>0</v>
      </c>
      <c r="AD44" s="577">
        <f>'Exh. No. BGM-3 4'!AG44</f>
        <v>0</v>
      </c>
      <c r="AE44" s="577">
        <f>'Exh. No. BGM-3 4'!AH44</f>
        <v>0</v>
      </c>
      <c r="AF44" s="577">
        <f>'Exh. No. BGM-3 4'!AI44</f>
        <v>0</v>
      </c>
      <c r="AG44" s="577">
        <f>'Exh. No. BGM-3 4'!AJ44</f>
        <v>0</v>
      </c>
      <c r="AH44" s="577">
        <f>'Exh. No. BGM-3 4'!AK44</f>
        <v>0</v>
      </c>
      <c r="AI44" s="577">
        <f>'Exh. No. BGM-3 4'!AL44</f>
        <v>0</v>
      </c>
      <c r="AJ44" s="577">
        <f>'Exh. No. BGM-3 4'!AM44</f>
        <v>0</v>
      </c>
      <c r="AK44" s="577">
        <f>'Exh. No. BGM-3 4'!AN44</f>
        <v>0</v>
      </c>
      <c r="AL44" s="577">
        <f>'Exh. No. BGM-3 4'!AO44</f>
        <v>0</v>
      </c>
      <c r="AM44" s="577">
        <f>'Exh. No. BGM-3 4'!AP44</f>
        <v>0</v>
      </c>
      <c r="AN44" s="577">
        <f>'Exh. No. BGM-3 4'!AQ44</f>
        <v>0</v>
      </c>
      <c r="AO44" s="577">
        <f>'Exh. No. BGM-3 4'!AS44</f>
        <v>0</v>
      </c>
      <c r="AP44" s="577" t="e">
        <f>'Exh. No. BGM-3 4'!#REF!</f>
        <v>#REF!</v>
      </c>
    </row>
    <row r="45" spans="1:42" s="554" customFormat="1">
      <c r="A45" s="552">
        <f>'Exh. No. BGM-3 4'!A45</f>
        <v>24</v>
      </c>
      <c r="B45" s="554" t="str">
        <f>'Exh. No. BGM-3 4'!B45</f>
        <v xml:space="preserve">Total Admin. &amp; General  </v>
      </c>
      <c r="E45" s="587">
        <f>'Exh. No. BGM-3 4'!E45</f>
        <v>74445</v>
      </c>
      <c r="F45" s="577">
        <f>'Exh. No. BGM-3 4'!F45</f>
        <v>0</v>
      </c>
      <c r="G45" s="577">
        <f>'Exh. No. BGM-3 4'!G45</f>
        <v>0</v>
      </c>
      <c r="H45" s="577">
        <f>'Exh. No. BGM-3 4'!H45</f>
        <v>0</v>
      </c>
      <c r="I45" s="577">
        <f>'Exh. No. BGM-3 4'!I45</f>
        <v>0</v>
      </c>
      <c r="J45" s="577">
        <f>'Exh. No. BGM-3 4'!J45</f>
        <v>0</v>
      </c>
      <c r="K45" s="577">
        <f>'Exh. No. BGM-3 4'!K45</f>
        <v>0</v>
      </c>
      <c r="L45" s="577">
        <f>'Exh. No. BGM-3 4'!L45</f>
        <v>7</v>
      </c>
      <c r="M45" s="577">
        <f>'Exh. No. BGM-3 4'!M45</f>
        <v>151</v>
      </c>
      <c r="N45" s="577">
        <f>'Exh. No. BGM-3 4'!N45</f>
        <v>0</v>
      </c>
      <c r="O45" s="577">
        <f>'Exh. No. BGM-3 4'!O45</f>
        <v>-31</v>
      </c>
      <c r="P45" s="577">
        <f>'Exh. No. BGM-3 4'!P45</f>
        <v>0</v>
      </c>
      <c r="Q45" s="577">
        <f>'Exh. No. BGM-3 4'!Q45</f>
        <v>0</v>
      </c>
      <c r="R45" s="577">
        <f>'Exh. No. BGM-3 4'!R45</f>
        <v>15</v>
      </c>
      <c r="S45" s="577">
        <f>'Exh. No. BGM-3 4'!S45</f>
        <v>-36</v>
      </c>
      <c r="T45" s="577">
        <f>'Exh. No. BGM-3 4'!T45</f>
        <v>-1068</v>
      </c>
      <c r="U45" s="577">
        <f>'Exh. No. BGM-3 4'!U45</f>
        <v>9</v>
      </c>
      <c r="V45" s="577">
        <f>'Exh. No. BGM-3 4'!V45</f>
        <v>0</v>
      </c>
      <c r="W45" s="577">
        <f>'Exh. No. BGM-3 4'!W45</f>
        <v>-626</v>
      </c>
      <c r="X45" s="577">
        <f>'Exh. No. BGM-3 4'!X45</f>
        <v>0</v>
      </c>
      <c r="Y45" s="577">
        <f>'Exh. No. BGM-3 4'!Y45</f>
        <v>0</v>
      </c>
      <c r="Z45" s="577">
        <f>'Exh. No. BGM-3 4'!Z45</f>
        <v>0</v>
      </c>
      <c r="AA45" s="577">
        <f>'Exh. No. BGM-3 4'!AD45</f>
        <v>0</v>
      </c>
      <c r="AB45" s="577">
        <f>'Exh. No. BGM-3 4'!AE45</f>
        <v>483.43</v>
      </c>
      <c r="AC45" s="577">
        <f>'Exh. No. BGM-3 4'!AF45</f>
        <v>-33</v>
      </c>
      <c r="AD45" s="577">
        <f>'Exh. No. BGM-3 4'!AG45</f>
        <v>-114</v>
      </c>
      <c r="AE45" s="577">
        <f>'Exh. No. BGM-3 4'!AH45</f>
        <v>119</v>
      </c>
      <c r="AF45" s="577">
        <f>'Exh. No. BGM-3 4'!AI45</f>
        <v>0</v>
      </c>
      <c r="AG45" s="577">
        <f>'Exh. No. BGM-3 4'!AJ45</f>
        <v>694</v>
      </c>
      <c r="AH45" s="577">
        <f>'Exh. No. BGM-3 4'!AK45</f>
        <v>-2</v>
      </c>
      <c r="AI45" s="577">
        <f>'Exh. No. BGM-3 4'!AL45</f>
        <v>0</v>
      </c>
      <c r="AJ45" s="577">
        <f>'Exh. No. BGM-3 4'!AM45</f>
        <v>0</v>
      </c>
      <c r="AK45" s="577">
        <f>'Exh. No. BGM-3 4'!AN45</f>
        <v>-112</v>
      </c>
      <c r="AL45" s="577">
        <f>'Exh. No. BGM-3 4'!AO45</f>
        <v>0</v>
      </c>
      <c r="AM45" s="577">
        <f>'Exh. No. BGM-3 4'!AP45</f>
        <v>0</v>
      </c>
      <c r="AN45" s="577">
        <f>'Exh. No. BGM-3 4'!AQ45</f>
        <v>0</v>
      </c>
      <c r="AO45" s="577">
        <f>'Exh. No. BGM-3 4'!AS45</f>
        <v>0</v>
      </c>
      <c r="AP45" s="577" t="e">
        <f>'Exh. No. BGM-3 4'!#REF!</f>
        <v>#REF!</v>
      </c>
    </row>
    <row r="46" spans="1:42" s="554" customFormat="1">
      <c r="A46" s="552">
        <f>'Exh. No. BGM-3 4'!A46</f>
        <v>25</v>
      </c>
      <c r="B46" s="554" t="str">
        <f>'Exh. No. BGM-3 4'!B46</f>
        <v xml:space="preserve">Total Electric Expenses  </v>
      </c>
      <c r="E46" s="587">
        <f>'Exh. No. BGM-3 4'!E46</f>
        <v>526185</v>
      </c>
      <c r="F46" s="577">
        <f>'Exh. No. BGM-3 4'!F46</f>
        <v>0</v>
      </c>
      <c r="G46" s="577">
        <f>'Exh. No. BGM-3 4'!G46</f>
        <v>12</v>
      </c>
      <c r="H46" s="577">
        <f>'Exh. No. BGM-3 4'!H46</f>
        <v>0</v>
      </c>
      <c r="I46" s="577">
        <f>'Exh. No. BGM-3 4'!I46</f>
        <v>-17674</v>
      </c>
      <c r="J46" s="577">
        <f>'Exh. No. BGM-3 4'!J46</f>
        <v>-250</v>
      </c>
      <c r="K46" s="577">
        <f>'Exh. No. BGM-3 4'!K46</f>
        <v>1321</v>
      </c>
      <c r="L46" s="577">
        <f>'Exh. No. BGM-3 4'!L46</f>
        <v>7</v>
      </c>
      <c r="M46" s="577">
        <f>'Exh. No. BGM-3 4'!M46</f>
        <v>151</v>
      </c>
      <c r="N46" s="577">
        <f>'Exh. No. BGM-3 4'!N46</f>
        <v>0</v>
      </c>
      <c r="O46" s="577">
        <f>'Exh. No. BGM-3 4'!O46</f>
        <v>-31</v>
      </c>
      <c r="P46" s="577">
        <f>'Exh. No. BGM-3 4'!P46</f>
        <v>-62</v>
      </c>
      <c r="Q46" s="577">
        <f>'Exh. No. BGM-3 4'!Q46</f>
        <v>-94</v>
      </c>
      <c r="R46" s="577">
        <f>'Exh. No. BGM-3 4'!R46</f>
        <v>348</v>
      </c>
      <c r="S46" s="577">
        <f>'Exh. No. BGM-3 4'!S46</f>
        <v>-17519</v>
      </c>
      <c r="T46" s="577">
        <f>'Exh. No. BGM-3 4'!T46</f>
        <v>-1075</v>
      </c>
      <c r="U46" s="577">
        <f>'Exh. No. BGM-3 4'!U46</f>
        <v>-2050</v>
      </c>
      <c r="V46" s="577">
        <f>'Exh. No. BGM-3 4'!V46</f>
        <v>-4</v>
      </c>
      <c r="W46" s="577">
        <f>'Exh. No. BGM-3 4'!W46</f>
        <v>-626</v>
      </c>
      <c r="X46" s="577">
        <f>'Exh. No. BGM-3 4'!X46</f>
        <v>-1174</v>
      </c>
      <c r="Y46" s="577">
        <f>'Exh. No. BGM-3 4'!Y46</f>
        <v>0</v>
      </c>
      <c r="Z46" s="577">
        <f>'Exh. No. BGM-3 4'!Z46</f>
        <v>-65881</v>
      </c>
      <c r="AA46" s="577">
        <f>'Exh. No. BGM-3 4'!AD46</f>
        <v>172</v>
      </c>
      <c r="AB46" s="577">
        <f>'Exh. No. BGM-3 4'!AE46</f>
        <v>1534.1440000000002</v>
      </c>
      <c r="AC46" s="577">
        <f>'Exh. No. BGM-3 4'!AF46</f>
        <v>-33</v>
      </c>
      <c r="AD46" s="577">
        <f>'Exh. No. BGM-3 4'!AG46</f>
        <v>-360</v>
      </c>
      <c r="AE46" s="577">
        <f>'Exh. No. BGM-3 4'!AH46</f>
        <v>119</v>
      </c>
      <c r="AF46" s="577">
        <f>'Exh. No. BGM-3 4'!AI46</f>
        <v>2458</v>
      </c>
      <c r="AG46" s="577">
        <f>'Exh. No. BGM-3 4'!AJ46</f>
        <v>694</v>
      </c>
      <c r="AH46" s="577">
        <f>'Exh. No. BGM-3 4'!AK46</f>
        <v>-57</v>
      </c>
      <c r="AI46" s="577">
        <f>'Exh. No. BGM-3 4'!AL46</f>
        <v>-1641</v>
      </c>
      <c r="AJ46" s="577">
        <f>'Exh. No. BGM-3 4'!AM46</f>
        <v>129</v>
      </c>
      <c r="AK46" s="577">
        <f>'Exh. No. BGM-3 4'!AN46</f>
        <v>-987</v>
      </c>
      <c r="AL46" s="577">
        <f>'Exh. No. BGM-3 4'!AO46</f>
        <v>0</v>
      </c>
      <c r="AM46" s="577">
        <f>'Exh. No. BGM-3 4'!AP46</f>
        <v>347</v>
      </c>
      <c r="AN46" s="577">
        <f>'Exh. No. BGM-3 4'!AQ46</f>
        <v>532</v>
      </c>
      <c r="AO46" s="577">
        <f>'Exh. No. BGM-3 4'!AS46</f>
        <v>0</v>
      </c>
      <c r="AP46" s="577" t="e">
        <f>'Exh. No. BGM-3 4'!#REF!</f>
        <v>#REF!</v>
      </c>
    </row>
    <row r="47" spans="1:42" s="554" customFormat="1" ht="6.75" customHeight="1">
      <c r="E47" s="557"/>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row>
    <row r="48" spans="1:42" s="554" customFormat="1">
      <c r="A48" s="552">
        <f>'Exh. No. BGM-3 4'!A48</f>
        <v>26</v>
      </c>
      <c r="B48" s="554" t="str">
        <f>'Exh. No. BGM-3 4'!B48</f>
        <v xml:space="preserve">OPERATING INCOME BEFORE FIT  </v>
      </c>
      <c r="E48" s="557">
        <f>'Exh. No. BGM-3 4'!E48</f>
        <v>150927</v>
      </c>
      <c r="F48" s="565">
        <f>'Exh. No. BGM-3 4'!F48</f>
        <v>0</v>
      </c>
      <c r="G48" s="565">
        <f>'Exh. No. BGM-3 4'!G48</f>
        <v>-12</v>
      </c>
      <c r="H48" s="565">
        <f>'Exh. No. BGM-3 4'!H48</f>
        <v>0</v>
      </c>
      <c r="I48" s="565">
        <f>'Exh. No. BGM-3 4'!I48</f>
        <v>-147</v>
      </c>
      <c r="J48" s="565">
        <f>'Exh. No. BGM-3 4'!J48</f>
        <v>250</v>
      </c>
      <c r="K48" s="565">
        <f>'Exh. No. BGM-3 4'!K48</f>
        <v>-1321</v>
      </c>
      <c r="L48" s="565">
        <f>'Exh. No. BGM-3 4'!L48</f>
        <v>-7</v>
      </c>
      <c r="M48" s="565">
        <f>'Exh. No. BGM-3 4'!M48</f>
        <v>-151</v>
      </c>
      <c r="N48" s="565">
        <f>'Exh. No. BGM-3 4'!N48</f>
        <v>0</v>
      </c>
      <c r="O48" s="565">
        <f>'Exh. No. BGM-3 4'!O48</f>
        <v>31</v>
      </c>
      <c r="P48" s="565">
        <f>'Exh. No. BGM-3 4'!P48</f>
        <v>62</v>
      </c>
      <c r="Q48" s="565">
        <f>'Exh. No. BGM-3 4'!Q48</f>
        <v>94</v>
      </c>
      <c r="R48" s="565">
        <f>'Exh. No. BGM-3 4'!R48</f>
        <v>1269</v>
      </c>
      <c r="S48" s="565">
        <f>'Exh. No. BGM-3 4'!S48</f>
        <v>0</v>
      </c>
      <c r="T48" s="565">
        <f>'Exh. No. BGM-3 4'!T48</f>
        <v>-1491</v>
      </c>
      <c r="U48" s="565">
        <f>'Exh. No. BGM-3 4'!U48</f>
        <v>6748</v>
      </c>
      <c r="V48" s="565">
        <f>'Exh. No. BGM-3 4'!V48</f>
        <v>4</v>
      </c>
      <c r="W48" s="565">
        <f>'Exh. No. BGM-3 4'!W48</f>
        <v>626</v>
      </c>
      <c r="X48" s="565">
        <f>'Exh. No. BGM-3 4'!X48</f>
        <v>1174</v>
      </c>
      <c r="Y48" s="565">
        <f>'Exh. No. BGM-3 4'!Y48</f>
        <v>0</v>
      </c>
      <c r="Z48" s="565">
        <f>'Exh. No. BGM-3 4'!Z48</f>
        <v>-11840</v>
      </c>
      <c r="AA48" s="565">
        <f>'Exh. No. BGM-3 4'!AD48</f>
        <v>-101</v>
      </c>
      <c r="AB48" s="565">
        <f>'Exh. No. BGM-3 4'!AE48</f>
        <v>-1534.1440000000002</v>
      </c>
      <c r="AC48" s="565">
        <f>'Exh. No. BGM-3 4'!AF48</f>
        <v>33</v>
      </c>
      <c r="AD48" s="565">
        <f>'Exh. No. BGM-3 4'!AG48</f>
        <v>360</v>
      </c>
      <c r="AE48" s="565">
        <f>'Exh. No. BGM-3 4'!AH48</f>
        <v>-119</v>
      </c>
      <c r="AF48" s="565">
        <f>'Exh. No. BGM-3 4'!AI48</f>
        <v>-2458</v>
      </c>
      <c r="AG48" s="565">
        <f>'Exh. No. BGM-3 4'!AJ48</f>
        <v>-694</v>
      </c>
      <c r="AH48" s="565">
        <f>'Exh. No. BGM-3 4'!AK48</f>
        <v>-5055</v>
      </c>
      <c r="AI48" s="565">
        <f>'Exh. No. BGM-3 4'!AL48</f>
        <v>1641</v>
      </c>
      <c r="AJ48" s="565">
        <f>'Exh. No. BGM-3 4'!AM48</f>
        <v>-129</v>
      </c>
      <c r="AK48" s="565">
        <f>'Exh. No. BGM-3 4'!AN48</f>
        <v>987</v>
      </c>
      <c r="AL48" s="565">
        <f>'Exh. No. BGM-3 4'!AO48</f>
        <v>0</v>
      </c>
      <c r="AM48" s="565">
        <f>'Exh. No. BGM-3 4'!AP48</f>
        <v>-347</v>
      </c>
      <c r="AN48" s="565">
        <f>'Exh. No. BGM-3 4'!AQ48</f>
        <v>-532</v>
      </c>
      <c r="AO48" s="565">
        <f>'Exh. No. BGM-3 4'!AS48</f>
        <v>0</v>
      </c>
      <c r="AP48" s="565" t="e">
        <f>'Exh. No. BGM-3 4'!#REF!</f>
        <v>#REF!</v>
      </c>
    </row>
    <row r="49" spans="1:42" s="554" customFormat="1" ht="6.75" customHeight="1">
      <c r="A49" s="552"/>
      <c r="E49" s="557"/>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row>
    <row r="50" spans="1:42" s="554" customFormat="1">
      <c r="A50" s="556"/>
      <c r="B50" s="554" t="str">
        <f>'Exh. No. BGM-3 4'!B50</f>
        <v xml:space="preserve">FEDERAL INCOME TAX  </v>
      </c>
      <c r="E50" s="557">
        <f>'Exh. No. BGM-3 4'!E50</f>
        <v>0</v>
      </c>
      <c r="F50" s="565">
        <f>'Exh. No. BGM-3 4'!F50</f>
        <v>0</v>
      </c>
      <c r="G50" s="565">
        <f>'Exh. No. BGM-3 4'!G50</f>
        <v>0</v>
      </c>
      <c r="H50" s="565">
        <f>'Exh. No. BGM-3 4'!H50</f>
        <v>0</v>
      </c>
      <c r="I50" s="565">
        <f>'Exh. No. BGM-3 4'!I50</f>
        <v>0</v>
      </c>
      <c r="J50" s="565">
        <f>'Exh. No. BGM-3 4'!J50</f>
        <v>0</v>
      </c>
      <c r="K50" s="565">
        <f>'Exh. No. BGM-3 4'!K50</f>
        <v>0</v>
      </c>
      <c r="L50" s="565">
        <f>'Exh. No. BGM-3 4'!L50</f>
        <v>0</v>
      </c>
      <c r="M50" s="565">
        <f>'Exh. No. BGM-3 4'!M50</f>
        <v>0</v>
      </c>
      <c r="N50" s="565">
        <f>'Exh. No. BGM-3 4'!N50</f>
        <v>0</v>
      </c>
      <c r="O50" s="565">
        <f>'Exh. No. BGM-3 4'!O50</f>
        <v>0</v>
      </c>
      <c r="P50" s="565">
        <f>'Exh. No. BGM-3 4'!P50</f>
        <v>0</v>
      </c>
      <c r="Q50" s="565">
        <f>'Exh. No. BGM-3 4'!Q50</f>
        <v>0</v>
      </c>
      <c r="R50" s="565">
        <f>'Exh. No. BGM-3 4'!R50</f>
        <v>0</v>
      </c>
      <c r="S50" s="565">
        <f>'Exh. No. BGM-3 4'!S50</f>
        <v>0</v>
      </c>
      <c r="T50" s="565">
        <f>'Exh. No. BGM-3 4'!T50</f>
        <v>0</v>
      </c>
      <c r="U50" s="565">
        <f>'Exh. No. BGM-3 4'!U50</f>
        <v>0</v>
      </c>
      <c r="V50" s="565">
        <f>'Exh. No. BGM-3 4'!V50</f>
        <v>0</v>
      </c>
      <c r="W50" s="565">
        <f>'Exh. No. BGM-3 4'!W50</f>
        <v>0</v>
      </c>
      <c r="X50" s="565">
        <f>'Exh. No. BGM-3 4'!X50</f>
        <v>0</v>
      </c>
      <c r="Y50" s="565">
        <f>'Exh. No. BGM-3 4'!Y50</f>
        <v>0</v>
      </c>
      <c r="Z50" s="565">
        <f>'Exh. No. BGM-3 4'!Z50</f>
        <v>0</v>
      </c>
      <c r="AA50" s="565">
        <f>'Exh. No. BGM-3 4'!AD50</f>
        <v>0</v>
      </c>
      <c r="AB50" s="565">
        <f>'Exh. No. BGM-3 4'!AE50</f>
        <v>0</v>
      </c>
      <c r="AC50" s="565">
        <f>'Exh. No. BGM-3 4'!AF50</f>
        <v>0</v>
      </c>
      <c r="AD50" s="565">
        <f>'Exh. No. BGM-3 4'!AG50</f>
        <v>0</v>
      </c>
      <c r="AE50" s="565">
        <f>'Exh. No. BGM-3 4'!AH50</f>
        <v>0</v>
      </c>
      <c r="AF50" s="565">
        <f>'Exh. No. BGM-3 4'!AI50</f>
        <v>0</v>
      </c>
      <c r="AG50" s="565">
        <f>'Exh. No. BGM-3 4'!AJ50</f>
        <v>0</v>
      </c>
      <c r="AH50" s="565">
        <f>'Exh. No. BGM-3 4'!AK50</f>
        <v>0</v>
      </c>
      <c r="AI50" s="565">
        <f>'Exh. No. BGM-3 4'!AL50</f>
        <v>0</v>
      </c>
      <c r="AJ50" s="565">
        <f>'Exh. No. BGM-3 4'!AM50</f>
        <v>0</v>
      </c>
      <c r="AK50" s="565">
        <f>'Exh. No. BGM-3 4'!AN50</f>
        <v>0</v>
      </c>
      <c r="AL50" s="565">
        <f>'Exh. No. BGM-3 4'!AO50</f>
        <v>0</v>
      </c>
      <c r="AM50" s="565">
        <f>'Exh. No. BGM-3 4'!AP50</f>
        <v>0</v>
      </c>
      <c r="AN50" s="565">
        <f>'Exh. No. BGM-3 4'!AQ50</f>
        <v>0</v>
      </c>
      <c r="AO50" s="565">
        <f>'Exh. No. BGM-3 4'!AS50</f>
        <v>0</v>
      </c>
      <c r="AP50" s="565" t="e">
        <f>'Exh. No. BGM-3 4'!#REF!</f>
        <v>#REF!</v>
      </c>
    </row>
    <row r="51" spans="1:42" s="554" customFormat="1">
      <c r="A51" s="581">
        <f>'Exh. No. BGM-3 4'!A51</f>
        <v>27</v>
      </c>
      <c r="B51" s="554" t="str">
        <f>'Exh. No. BGM-3 4'!B51</f>
        <v xml:space="preserve">Current Accrual </v>
      </c>
      <c r="E51" s="561">
        <f>'Exh. No. BGM-3 4'!E51</f>
        <v>-25741</v>
      </c>
      <c r="F51" s="565">
        <f>'Exh. No. BGM-3 4'!F51</f>
        <v>0</v>
      </c>
      <c r="G51" s="565">
        <f>'Exh. No. BGM-3 4'!G51</f>
        <v>-4.1999999999999993</v>
      </c>
      <c r="H51" s="565">
        <f>'Exh. No. BGM-3 4'!H51</f>
        <v>0</v>
      </c>
      <c r="I51" s="565">
        <f>'Exh. No. BGM-3 4'!I51</f>
        <v>-51.449999999999996</v>
      </c>
      <c r="J51" s="565">
        <f>'Exh. No. BGM-3 4'!J51</f>
        <v>87.5</v>
      </c>
      <c r="K51" s="565">
        <f>'Exh. No. BGM-3 4'!K51</f>
        <v>-462.34999999999997</v>
      </c>
      <c r="L51" s="565">
        <f>'Exh. No. BGM-3 4'!L51</f>
        <v>-2.4499999999999997</v>
      </c>
      <c r="M51" s="565">
        <f>'Exh. No. BGM-3 4'!M51</f>
        <v>-52.849999999999994</v>
      </c>
      <c r="N51" s="565">
        <f>'Exh. No. BGM-3 4'!N51</f>
        <v>110</v>
      </c>
      <c r="O51" s="565">
        <f>'Exh. No. BGM-3 4'!O51</f>
        <v>10.85</v>
      </c>
      <c r="P51" s="565">
        <f>'Exh. No. BGM-3 4'!P51</f>
        <v>21.7</v>
      </c>
      <c r="Q51" s="565">
        <f>'Exh. No. BGM-3 4'!Q51</f>
        <v>32.9</v>
      </c>
      <c r="R51" s="565">
        <f>'Exh. No. BGM-3 4'!R51</f>
        <v>444.15</v>
      </c>
      <c r="S51" s="565">
        <f>'Exh. No. BGM-3 4'!S51</f>
        <v>0</v>
      </c>
      <c r="T51" s="565">
        <f>'Exh. No. BGM-3 4'!T51</f>
        <v>-521.85</v>
      </c>
      <c r="U51" s="565">
        <f>'Exh. No. BGM-3 4'!U51</f>
        <v>1567</v>
      </c>
      <c r="V51" s="565">
        <f>'Exh. No. BGM-3 4'!V51</f>
        <v>1.4</v>
      </c>
      <c r="W51" s="565">
        <f>'Exh. No. BGM-3 4'!W51</f>
        <v>219.1</v>
      </c>
      <c r="X51" s="565">
        <f>'Exh. No. BGM-3 4'!X51</f>
        <v>410.9</v>
      </c>
      <c r="Y51" s="565">
        <f>'Exh. No. BGM-3 4'!Y51</f>
        <v>202</v>
      </c>
      <c r="Z51" s="565">
        <f>'Exh. No. BGM-3 4'!Z51</f>
        <v>-4144</v>
      </c>
      <c r="AA51" s="565">
        <f>'Exh. No. BGM-3 4'!AD51</f>
        <v>-35.349999999999994</v>
      </c>
      <c r="AB51" s="565">
        <f>'Exh. No. BGM-3 4'!AE51</f>
        <v>-536.95040000000006</v>
      </c>
      <c r="AC51" s="565">
        <f>'Exh. No. BGM-3 4'!AF51</f>
        <v>11.549999999999999</v>
      </c>
      <c r="AD51" s="565">
        <f>'Exh. No. BGM-3 4'!AG51</f>
        <v>125.99999999999999</v>
      </c>
      <c r="AE51" s="565">
        <f>'Exh. No. BGM-3 4'!AH51</f>
        <v>-41.65</v>
      </c>
      <c r="AF51" s="565">
        <f>'Exh. No. BGM-3 4'!AI51</f>
        <v>-860.3</v>
      </c>
      <c r="AG51" s="565">
        <f>'Exh. No. BGM-3 4'!AJ51</f>
        <v>-242.89999999999998</v>
      </c>
      <c r="AH51" s="565">
        <f>'Exh. No. BGM-3 4'!AK51</f>
        <v>-1769.25</v>
      </c>
      <c r="AI51" s="565">
        <f>'Exh. No. BGM-3 4'!AL51</f>
        <v>574.34999999999991</v>
      </c>
      <c r="AJ51" s="565">
        <f>'Exh. No. BGM-3 4'!AM51</f>
        <v>-45.15</v>
      </c>
      <c r="AK51" s="565">
        <f>'Exh. No. BGM-3 4'!AN51</f>
        <v>345.45</v>
      </c>
      <c r="AL51" s="565">
        <f>'Exh. No. BGM-3 4'!AO51</f>
        <v>0</v>
      </c>
      <c r="AM51" s="565">
        <f>'Exh. No. BGM-3 4'!AP51</f>
        <v>-121.44999999999999</v>
      </c>
      <c r="AN51" s="565">
        <f>'Exh. No. BGM-3 4'!AQ51</f>
        <v>-186.2</v>
      </c>
      <c r="AO51" s="565">
        <f>'Exh. No. BGM-3 4'!AS51</f>
        <v>0</v>
      </c>
      <c r="AP51" s="565" t="e">
        <f>'Exh. No. BGM-3 4'!#REF!</f>
        <v>#REF!</v>
      </c>
    </row>
    <row r="52" spans="1:42" s="557" customFormat="1">
      <c r="A52" s="552">
        <f>'Exh. No. BGM-3 4'!A52</f>
        <v>28</v>
      </c>
      <c r="B52" s="557" t="str">
        <f>'Exh. No. BGM-3 4'!B52</f>
        <v>Debt Interest</v>
      </c>
      <c r="E52" s="561">
        <f>'Exh. No. BGM-3 4'!E52</f>
        <v>0</v>
      </c>
      <c r="F52" s="566">
        <f>'Exh. No. BGM-3 4'!F52</f>
        <v>-7.5602799999999997</v>
      </c>
      <c r="G52" s="566">
        <f>'Exh. No. BGM-3 4'!G52</f>
        <v>0</v>
      </c>
      <c r="H52" s="566">
        <f>'Exh. No. BGM-3 4'!H52</f>
        <v>28.196279999999998</v>
      </c>
      <c r="I52" s="566">
        <f>'Exh. No. BGM-3 4'!I52</f>
        <v>0</v>
      </c>
      <c r="J52" s="566">
        <f>'Exh. No. BGM-3 4'!J52</f>
        <v>0</v>
      </c>
      <c r="K52" s="566">
        <f>'Exh. No. BGM-3 4'!K52</f>
        <v>0</v>
      </c>
      <c r="L52" s="566">
        <f>'Exh. No. BGM-3 4'!L52</f>
        <v>0</v>
      </c>
      <c r="M52" s="566">
        <f>'Exh. No. BGM-3 4'!M52</f>
        <v>0</v>
      </c>
      <c r="N52" s="566">
        <f>'Exh. No. BGM-3 4'!N52</f>
        <v>0</v>
      </c>
      <c r="O52" s="566">
        <f>'Exh. No. BGM-3 4'!O52</f>
        <v>0</v>
      </c>
      <c r="P52" s="566">
        <f>'Exh. No. BGM-3 4'!P52</f>
        <v>0</v>
      </c>
      <c r="Q52" s="566">
        <f>'Exh. No. BGM-3 4'!Q52</f>
        <v>0</v>
      </c>
      <c r="R52" s="566">
        <f>'Exh. No. BGM-3 4'!R52</f>
        <v>0</v>
      </c>
      <c r="S52" s="566">
        <f>'Exh. No. BGM-3 4'!S52</f>
        <v>0</v>
      </c>
      <c r="T52" s="566">
        <f>'Exh. No. BGM-3 4'!T52</f>
        <v>0</v>
      </c>
      <c r="U52" s="566">
        <f>'Exh. No. BGM-3 4'!U52</f>
        <v>0</v>
      </c>
      <c r="V52" s="566">
        <f>'Exh. No. BGM-3 4'!V52</f>
        <v>0</v>
      </c>
      <c r="W52" s="566">
        <f>'Exh. No. BGM-3 4'!W52</f>
        <v>0</v>
      </c>
      <c r="X52" s="566">
        <f>'Exh. No. BGM-3 4'!X52</f>
        <v>0</v>
      </c>
      <c r="Y52" s="566">
        <f>'Exh. No. BGM-3 4'!Y52</f>
        <v>0</v>
      </c>
      <c r="Z52" s="566">
        <f>'Exh. No. BGM-3 4'!Z52</f>
        <v>0</v>
      </c>
      <c r="AA52" s="566">
        <f>'Exh. No. BGM-3 4'!AD52</f>
        <v>0</v>
      </c>
      <c r="AB52" s="566">
        <f>'Exh. No. BGM-3 4'!AE52</f>
        <v>0</v>
      </c>
      <c r="AC52" s="566">
        <f>'Exh. No. BGM-3 4'!AF52</f>
        <v>0</v>
      </c>
      <c r="AD52" s="566">
        <f>'Exh. No. BGM-3 4'!AG52</f>
        <v>0</v>
      </c>
      <c r="AE52" s="566">
        <f>'Exh. No. BGM-3 4'!AH52</f>
        <v>0</v>
      </c>
      <c r="AF52" s="566">
        <f>'Exh. No. BGM-3 4'!AI52</f>
        <v>0</v>
      </c>
      <c r="AG52" s="566">
        <f>'Exh. No. BGM-3 4'!AJ52</f>
        <v>0</v>
      </c>
      <c r="AH52" s="566">
        <f>'Exh. No. BGM-3 4'!AK52</f>
        <v>0</v>
      </c>
      <c r="AI52" s="566">
        <f>'Exh. No. BGM-3 4'!AL52</f>
        <v>50.145480000000006</v>
      </c>
      <c r="AJ52" s="566">
        <f>'Exh. No. BGM-3 4'!AM52</f>
        <v>-52.199699999999993</v>
      </c>
      <c r="AK52" s="566">
        <f>'Exh. No. BGM-3 4'!AN52</f>
        <v>0</v>
      </c>
      <c r="AL52" s="566">
        <f>'Exh. No. BGM-3 4'!AO52</f>
        <v>0</v>
      </c>
      <c r="AM52" s="566">
        <f>'Exh. No. BGM-3 4'!AP52</f>
        <v>0</v>
      </c>
      <c r="AN52" s="566">
        <f>'Exh. No. BGM-3 4'!AQ52</f>
        <v>0</v>
      </c>
      <c r="AO52" s="566">
        <f>'Exh. No. BGM-3 4'!AS52</f>
        <v>0</v>
      </c>
      <c r="AP52" s="566" t="e">
        <f>'Exh. No. BGM-3 4'!#REF!</f>
        <v>#REF!</v>
      </c>
    </row>
    <row r="53" spans="1:42" s="554" customFormat="1">
      <c r="A53" s="552">
        <f>'Exh. No. BGM-3 4'!A53</f>
        <v>29</v>
      </c>
      <c r="B53" s="554" t="str">
        <f>'Exh. No. BGM-3 4'!B53</f>
        <v xml:space="preserve">Deferred Income Taxes  </v>
      </c>
      <c r="E53" s="561">
        <f>'Exh. No. BGM-3 4'!E53</f>
        <v>66436</v>
      </c>
      <c r="F53" s="565">
        <f>'Exh. No. BGM-3 4'!F53</f>
        <v>0</v>
      </c>
      <c r="G53" s="565">
        <f>'Exh. No. BGM-3 4'!G53</f>
        <v>0</v>
      </c>
      <c r="H53" s="565">
        <f>'Exh. No. BGM-3 4'!H53</f>
        <v>0</v>
      </c>
      <c r="I53" s="565">
        <f>'Exh. No. BGM-3 4'!I53</f>
        <v>0</v>
      </c>
      <c r="J53" s="565">
        <f>'Exh. No. BGM-3 4'!J53</f>
        <v>0</v>
      </c>
      <c r="K53" s="565">
        <f>'Exh. No. BGM-3 4'!K53</f>
        <v>0</v>
      </c>
      <c r="L53" s="565">
        <f>'Exh. No. BGM-3 4'!L53</f>
        <v>0</v>
      </c>
      <c r="M53" s="565">
        <f>'Exh. No. BGM-3 4'!M53</f>
        <v>0</v>
      </c>
      <c r="N53" s="565">
        <f>'Exh. No. BGM-3 4'!N53</f>
        <v>-40</v>
      </c>
      <c r="O53" s="565">
        <f>'Exh. No. BGM-3 4'!O53</f>
        <v>0</v>
      </c>
      <c r="P53" s="565">
        <f>'Exh. No. BGM-3 4'!P53</f>
        <v>0</v>
      </c>
      <c r="Q53" s="565">
        <f>'Exh. No. BGM-3 4'!Q53</f>
        <v>0</v>
      </c>
      <c r="R53" s="565">
        <f>'Exh. No. BGM-3 4'!R53</f>
        <v>0</v>
      </c>
      <c r="S53" s="565">
        <f>'Exh. No. BGM-3 4'!S53</f>
        <v>0</v>
      </c>
      <c r="T53" s="565">
        <f>'Exh. No. BGM-3 4'!T53</f>
        <v>0</v>
      </c>
      <c r="U53" s="565">
        <f>'Exh. No. BGM-3 4'!U53</f>
        <v>795</v>
      </c>
      <c r="V53" s="565">
        <f>'Exh. No. BGM-3 4'!V53</f>
        <v>0</v>
      </c>
      <c r="W53" s="565">
        <f>'Exh. No. BGM-3 4'!W53</f>
        <v>0</v>
      </c>
      <c r="X53" s="565">
        <f>'Exh. No. BGM-3 4'!X53</f>
        <v>0</v>
      </c>
      <c r="Y53" s="565">
        <f>'Exh. No. BGM-3 4'!Y53</f>
        <v>0</v>
      </c>
      <c r="Z53" s="565">
        <f>'Exh. No. BGM-3 4'!Z53</f>
        <v>0</v>
      </c>
      <c r="AA53" s="565">
        <f>'Exh. No. BGM-3 4'!AD53</f>
        <v>0</v>
      </c>
      <c r="AB53" s="565">
        <f>'Exh. No. BGM-3 4'!AE53</f>
        <v>0</v>
      </c>
      <c r="AC53" s="565">
        <f>'Exh. No. BGM-3 4'!AF53</f>
        <v>0</v>
      </c>
      <c r="AD53" s="565">
        <f>'Exh. No. BGM-3 4'!AG53</f>
        <v>0</v>
      </c>
      <c r="AE53" s="565">
        <f>'Exh. No. BGM-3 4'!AH53</f>
        <v>0</v>
      </c>
      <c r="AF53" s="565">
        <f>'Exh. No. BGM-3 4'!AI53</f>
        <v>0</v>
      </c>
      <c r="AG53" s="565">
        <f>'Exh. No. BGM-3 4'!AJ53</f>
        <v>0</v>
      </c>
      <c r="AH53" s="565">
        <f>'Exh. No. BGM-3 4'!AK53</f>
        <v>0</v>
      </c>
      <c r="AI53" s="565">
        <f>'Exh. No. BGM-3 4'!AL53</f>
        <v>0</v>
      </c>
      <c r="AJ53" s="565">
        <f>'Exh. No. BGM-3 4'!AM53</f>
        <v>0</v>
      </c>
      <c r="AK53" s="565">
        <f>'Exh. No. BGM-3 4'!AN53</f>
        <v>0</v>
      </c>
      <c r="AL53" s="565">
        <f>'Exh. No. BGM-3 4'!AO53</f>
        <v>0</v>
      </c>
      <c r="AM53" s="565">
        <f>'Exh. No. BGM-3 4'!AP53</f>
        <v>0</v>
      </c>
      <c r="AN53" s="565">
        <f>'Exh. No. BGM-3 4'!AQ53</f>
        <v>0</v>
      </c>
      <c r="AO53" s="565">
        <f>'Exh. No. BGM-3 4'!AS53</f>
        <v>0</v>
      </c>
      <c r="AP53" s="565" t="e">
        <f>'Exh. No. BGM-3 4'!#REF!</f>
        <v>#REF!</v>
      </c>
    </row>
    <row r="54" spans="1:42" s="554" customFormat="1">
      <c r="A54" s="556">
        <f>'Exh. No. BGM-3 4'!A54</f>
        <v>30</v>
      </c>
      <c r="B54" s="554" t="str">
        <f>'Exh. No. BGM-3 4'!B54</f>
        <v>Amortized ITC - Noxon</v>
      </c>
      <c r="E54" s="587">
        <f>'Exh. No. BGM-3 4'!E54</f>
        <v>-325</v>
      </c>
      <c r="F54" s="577">
        <f>'Exh. No. BGM-3 4'!F54</f>
        <v>0</v>
      </c>
      <c r="G54" s="577">
        <f>'Exh. No. BGM-3 4'!G54</f>
        <v>0</v>
      </c>
      <c r="H54" s="577">
        <f>'Exh. No. BGM-3 4'!H54</f>
        <v>0</v>
      </c>
      <c r="I54" s="577">
        <f>'Exh. No. BGM-3 4'!I54</f>
        <v>0</v>
      </c>
      <c r="J54" s="577">
        <f>'Exh. No. BGM-3 4'!J54</f>
        <v>0</v>
      </c>
      <c r="K54" s="577">
        <f>'Exh. No. BGM-3 4'!K54</f>
        <v>0</v>
      </c>
      <c r="L54" s="577">
        <f>'Exh. No. BGM-3 4'!L54</f>
        <v>0</v>
      </c>
      <c r="M54" s="577">
        <f>'Exh. No. BGM-3 4'!M54</f>
        <v>0</v>
      </c>
      <c r="N54" s="577">
        <f>'Exh. No. BGM-3 4'!N54</f>
        <v>-1</v>
      </c>
      <c r="O54" s="577">
        <f>'Exh. No. BGM-3 4'!O54</f>
        <v>0</v>
      </c>
      <c r="P54" s="577">
        <f>'Exh. No. BGM-3 4'!P54</f>
        <v>0</v>
      </c>
      <c r="Q54" s="577">
        <f>'Exh. No. BGM-3 4'!Q54</f>
        <v>0</v>
      </c>
      <c r="R54" s="577">
        <f>'Exh. No. BGM-3 4'!R54</f>
        <v>0</v>
      </c>
      <c r="S54" s="577">
        <f>'Exh. No. BGM-3 4'!S54</f>
        <v>0</v>
      </c>
      <c r="T54" s="577">
        <f>'Exh. No. BGM-3 4'!T54</f>
        <v>0</v>
      </c>
      <c r="U54" s="577">
        <f>'Exh. No. BGM-3 4'!U54</f>
        <v>0</v>
      </c>
      <c r="V54" s="577">
        <f>'Exh. No. BGM-3 4'!V54</f>
        <v>0</v>
      </c>
      <c r="W54" s="577">
        <f>'Exh. No. BGM-3 4'!W54</f>
        <v>0</v>
      </c>
      <c r="X54" s="577">
        <f>'Exh. No. BGM-3 4'!X54</f>
        <v>0</v>
      </c>
      <c r="Y54" s="577">
        <f>'Exh. No. BGM-3 4'!Y54</f>
        <v>0</v>
      </c>
      <c r="Z54" s="577">
        <f>'Exh. No. BGM-3 4'!Z54</f>
        <v>0</v>
      </c>
      <c r="AA54" s="577">
        <f>'Exh. No. BGM-3 4'!AD54</f>
        <v>0</v>
      </c>
      <c r="AB54" s="577">
        <f>'Exh. No. BGM-3 4'!AE54</f>
        <v>0</v>
      </c>
      <c r="AC54" s="577">
        <f>'Exh. No. BGM-3 4'!AF54</f>
        <v>0</v>
      </c>
      <c r="AD54" s="577">
        <f>'Exh. No. BGM-3 4'!AG54</f>
        <v>0</v>
      </c>
      <c r="AE54" s="577">
        <f>'Exh. No. BGM-3 4'!AH54</f>
        <v>0</v>
      </c>
      <c r="AF54" s="577">
        <f>'Exh. No. BGM-3 4'!AI54</f>
        <v>0</v>
      </c>
      <c r="AG54" s="577">
        <f>'Exh. No. BGM-3 4'!AJ54</f>
        <v>0</v>
      </c>
      <c r="AH54" s="577">
        <f>'Exh. No. BGM-3 4'!AK54</f>
        <v>0</v>
      </c>
      <c r="AI54" s="577">
        <f>'Exh. No. BGM-3 4'!AL54</f>
        <v>0</v>
      </c>
      <c r="AJ54" s="577">
        <f>'Exh. No. BGM-3 4'!AM54</f>
        <v>0</v>
      </c>
      <c r="AK54" s="577">
        <f>'Exh. No. BGM-3 4'!AN54</f>
        <v>0</v>
      </c>
      <c r="AL54" s="577">
        <f>'Exh. No. BGM-3 4'!AO54</f>
        <v>0</v>
      </c>
      <c r="AM54" s="577">
        <f>'Exh. No. BGM-3 4'!AP54</f>
        <v>0</v>
      </c>
      <c r="AN54" s="577">
        <f>'Exh. No. BGM-3 4'!AQ54</f>
        <v>0</v>
      </c>
      <c r="AO54" s="577">
        <f>'Exh. No. BGM-3 4'!AS54</f>
        <v>0</v>
      </c>
      <c r="AP54" s="577" t="e">
        <f>'Exh. No. BGM-3 4'!#REF!</f>
        <v>#REF!</v>
      </c>
    </row>
    <row r="55" spans="1:42" ht="6.75" customHeight="1"/>
    <row r="56" spans="1:42" s="553" customFormat="1" ht="12.75" thickBot="1">
      <c r="A56" s="555">
        <f>'Exh. No. BGM-3 4'!A56</f>
        <v>31</v>
      </c>
      <c r="B56" s="553" t="str">
        <f>'Exh. No. BGM-3 4'!B56</f>
        <v xml:space="preserve">NET OPERATING INCOME  </v>
      </c>
      <c r="E56" s="588">
        <f>'Exh. No. BGM-3 4'!E56</f>
        <v>110557</v>
      </c>
      <c r="F56" s="589">
        <f>'Exh. No. BGM-3 4'!F56</f>
        <v>7.5602799999999997</v>
      </c>
      <c r="G56" s="589">
        <f>'Exh. No. BGM-3 4'!G56</f>
        <v>-7.8000000000000007</v>
      </c>
      <c r="H56" s="589">
        <f>'Exh. No. BGM-3 4'!H56</f>
        <v>-28.196279999999998</v>
      </c>
      <c r="I56" s="589">
        <f>'Exh. No. BGM-3 4'!I56</f>
        <v>-95.550000000000011</v>
      </c>
      <c r="J56" s="589">
        <f>'Exh. No. BGM-3 4'!J56</f>
        <v>162.5</v>
      </c>
      <c r="K56" s="589">
        <f>'Exh. No. BGM-3 4'!K56</f>
        <v>-858.65000000000009</v>
      </c>
      <c r="L56" s="589">
        <f>'Exh. No. BGM-3 4'!L56</f>
        <v>-4.5500000000000007</v>
      </c>
      <c r="M56" s="589">
        <f>'Exh. No. BGM-3 4'!M56</f>
        <v>-98.15</v>
      </c>
      <c r="N56" s="589">
        <f>'Exh. No. BGM-3 4'!N56</f>
        <v>-69</v>
      </c>
      <c r="O56" s="589">
        <f>'Exh. No. BGM-3 4'!O56</f>
        <v>20.149999999999999</v>
      </c>
      <c r="P56" s="589">
        <f>'Exh. No. BGM-3 4'!P56</f>
        <v>40.299999999999997</v>
      </c>
      <c r="Q56" s="589">
        <f>'Exh. No. BGM-3 4'!Q56</f>
        <v>61.1</v>
      </c>
      <c r="R56" s="589">
        <f>'Exh. No. BGM-3 4'!R56</f>
        <v>824.85</v>
      </c>
      <c r="S56" s="589">
        <f>'Exh. No. BGM-3 4'!S56</f>
        <v>0</v>
      </c>
      <c r="T56" s="589">
        <f>'Exh. No. BGM-3 4'!T56</f>
        <v>-969.15</v>
      </c>
      <c r="U56" s="589">
        <f>'Exh. No. BGM-3 4'!U56</f>
        <v>4386</v>
      </c>
      <c r="V56" s="589">
        <f>'Exh. No. BGM-3 4'!V56</f>
        <v>2.6</v>
      </c>
      <c r="W56" s="589">
        <f>'Exh. No. BGM-3 4'!W56</f>
        <v>406.9</v>
      </c>
      <c r="X56" s="589">
        <f>'Exh. No. BGM-3 4'!X56</f>
        <v>763.1</v>
      </c>
      <c r="Y56" s="589">
        <f>'Exh. No. BGM-3 4'!Y56</f>
        <v>-202</v>
      </c>
      <c r="Z56" s="589">
        <f>'Exh. No. BGM-3 4'!Z56</f>
        <v>-7696</v>
      </c>
      <c r="AA56" s="589">
        <f>'Exh. No. BGM-3 4'!AD56</f>
        <v>-65.650000000000006</v>
      </c>
      <c r="AB56" s="589">
        <f>'Exh. No. BGM-3 4'!AE56</f>
        <v>-997.19360000000017</v>
      </c>
      <c r="AC56" s="589">
        <f>'Exh. No. BGM-3 4'!AF56</f>
        <v>21.450000000000003</v>
      </c>
      <c r="AD56" s="589">
        <f>'Exh. No. BGM-3 4'!AG56</f>
        <v>234</v>
      </c>
      <c r="AE56" s="589">
        <f>'Exh. No. BGM-3 4'!AH56</f>
        <v>-77.349999999999994</v>
      </c>
      <c r="AF56" s="589">
        <f>'Exh. No. BGM-3 4'!AI56</f>
        <v>-1597.7</v>
      </c>
      <c r="AG56" s="589">
        <f>'Exh. No. BGM-3 4'!AJ56</f>
        <v>-451.1</v>
      </c>
      <c r="AH56" s="589">
        <f>'Exh. No. BGM-3 4'!AK56</f>
        <v>-3285.75</v>
      </c>
      <c r="AI56" s="589">
        <f>'Exh. No. BGM-3 4'!AL56</f>
        <v>1016.5045200000001</v>
      </c>
      <c r="AJ56" s="589">
        <f>'Exh. No. BGM-3 4'!AM56</f>
        <v>-31.650300000000016</v>
      </c>
      <c r="AK56" s="589">
        <f>'Exh. No. BGM-3 4'!AN56</f>
        <v>641.54999999999995</v>
      </c>
      <c r="AL56" s="589">
        <f>'Exh. No. BGM-3 4'!AO56</f>
        <v>0</v>
      </c>
      <c r="AM56" s="589">
        <f>'Exh. No. BGM-3 4'!AP56</f>
        <v>-225.55</v>
      </c>
      <c r="AN56" s="589">
        <f>'Exh. No. BGM-3 4'!AQ56</f>
        <v>-345.8</v>
      </c>
      <c r="AO56" s="589">
        <f>'Exh. No. BGM-3 4'!AS56</f>
        <v>0</v>
      </c>
      <c r="AP56" s="589" t="e">
        <f>'Exh. No. BGM-3 4'!#REF!</f>
        <v>#REF!</v>
      </c>
    </row>
    <row r="57" spans="1:42" ht="8.25" customHeight="1" thickTop="1">
      <c r="A57" s="555"/>
    </row>
    <row r="58" spans="1:42">
      <c r="A58" s="555"/>
      <c r="B58" s="539" t="str">
        <f>'Exh. No. BGM-3 4'!B58</f>
        <v xml:space="preserve">RATE BASE  </v>
      </c>
    </row>
    <row r="59" spans="1:42">
      <c r="B59" s="539" t="str">
        <f>'Exh. No. BGM-3 4'!B59</f>
        <v xml:space="preserve">PLANT IN SERVICE  </v>
      </c>
    </row>
    <row r="60" spans="1:42" s="553" customFormat="1">
      <c r="A60" s="585">
        <f>'Exh. No. BGM-3 4'!A60</f>
        <v>32</v>
      </c>
      <c r="C60" s="553" t="str">
        <f>'Exh. No. BGM-3 4'!C60</f>
        <v xml:space="preserve">Intangible  </v>
      </c>
      <c r="E60" s="562">
        <f>'Exh. No. BGM-3 4'!E60</f>
        <v>156057</v>
      </c>
      <c r="F60" s="553">
        <f>'Exh. No. BGM-3 4'!F60</f>
        <v>0</v>
      </c>
      <c r="G60" s="553">
        <f>'Exh. No. BGM-3 4'!G60</f>
        <v>0</v>
      </c>
      <c r="H60" s="553">
        <f>'Exh. No. BGM-3 4'!H60</f>
        <v>0</v>
      </c>
      <c r="I60" s="553">
        <f>'Exh. No. BGM-3 4'!I60</f>
        <v>0</v>
      </c>
      <c r="J60" s="553">
        <f>'Exh. No. BGM-3 4'!J60</f>
        <v>0</v>
      </c>
      <c r="K60" s="553">
        <f>'Exh. No. BGM-3 4'!K60</f>
        <v>0</v>
      </c>
      <c r="L60" s="553">
        <f>'Exh. No. BGM-3 4'!L60</f>
        <v>0</v>
      </c>
      <c r="M60" s="553">
        <f>'Exh. No. BGM-3 4'!M60</f>
        <v>0</v>
      </c>
      <c r="N60" s="553">
        <f>'Exh. No. BGM-3 4'!N60</f>
        <v>0</v>
      </c>
      <c r="O60" s="553">
        <f>'Exh. No. BGM-3 4'!O60</f>
        <v>0</v>
      </c>
      <c r="P60" s="553">
        <f>'Exh. No. BGM-3 4'!P60</f>
        <v>0</v>
      </c>
      <c r="Q60" s="553">
        <f>'Exh. No. BGM-3 4'!Q60</f>
        <v>0</v>
      </c>
      <c r="R60" s="553">
        <f>'Exh. No. BGM-3 4'!R60</f>
        <v>0</v>
      </c>
      <c r="S60" s="553">
        <f>'Exh. No. BGM-3 4'!S60</f>
        <v>0</v>
      </c>
      <c r="T60" s="553">
        <f>'Exh. No. BGM-3 4'!T60</f>
        <v>0</v>
      </c>
      <c r="U60" s="553">
        <f>'Exh. No. BGM-3 4'!U60</f>
        <v>0</v>
      </c>
      <c r="V60" s="553">
        <f>'Exh. No. BGM-3 4'!V60</f>
        <v>0</v>
      </c>
      <c r="W60" s="553">
        <f>'Exh. No. BGM-3 4'!W60</f>
        <v>0</v>
      </c>
      <c r="X60" s="553">
        <f>'Exh. No. BGM-3 4'!X60</f>
        <v>0</v>
      </c>
      <c r="Y60" s="553">
        <f>'Exh. No. BGM-3 4'!Y60</f>
        <v>0</v>
      </c>
      <c r="Z60" s="553">
        <f>'Exh. No. BGM-3 4'!Z60</f>
        <v>0</v>
      </c>
      <c r="AA60" s="553">
        <f>'Exh. No. BGM-3 4'!AD60</f>
        <v>0</v>
      </c>
      <c r="AB60" s="553">
        <f>'Exh. No. BGM-3 4'!AE60</f>
        <v>0</v>
      </c>
      <c r="AC60" s="553">
        <f>'Exh. No. BGM-3 4'!AF60</f>
        <v>0</v>
      </c>
      <c r="AD60" s="553">
        <f>'Exh. No. BGM-3 4'!AG60</f>
        <v>0</v>
      </c>
      <c r="AE60" s="553">
        <f>'Exh. No. BGM-3 4'!AH60</f>
        <v>0</v>
      </c>
      <c r="AF60" s="553">
        <f>'Exh. No. BGM-3 4'!AI60</f>
        <v>0</v>
      </c>
      <c r="AG60" s="553">
        <f>'Exh. No. BGM-3 4'!AJ60</f>
        <v>0</v>
      </c>
      <c r="AH60" s="553">
        <f>'Exh. No. BGM-3 4'!AK60</f>
        <v>0</v>
      </c>
      <c r="AI60" s="553">
        <f>'Exh. No. BGM-3 4'!AL60</f>
        <v>0</v>
      </c>
      <c r="AJ60" s="553">
        <f>'Exh. No. BGM-3 4'!AM60</f>
        <v>0</v>
      </c>
      <c r="AK60" s="553">
        <f>'Exh. No. BGM-3 4'!AN60</f>
        <v>0</v>
      </c>
      <c r="AL60" s="553">
        <f>'Exh. No. BGM-3 4'!AO60</f>
        <v>0</v>
      </c>
      <c r="AM60" s="553">
        <f>'Exh. No. BGM-3 4'!AP60</f>
        <v>0</v>
      </c>
      <c r="AN60" s="553">
        <f>'Exh. No. BGM-3 4'!AQ60</f>
        <v>0</v>
      </c>
      <c r="AO60" s="553">
        <f>'Exh. No. BGM-3 4'!AS60</f>
        <v>0</v>
      </c>
      <c r="AP60" s="553" t="e">
        <f>'Exh. No. BGM-3 4'!#REF!</f>
        <v>#REF!</v>
      </c>
    </row>
    <row r="61" spans="1:42" s="554" customFormat="1">
      <c r="A61" s="555">
        <f>'Exh. No. BGM-3 4'!A61</f>
        <v>33</v>
      </c>
      <c r="C61" s="554" t="str">
        <f>'Exh. No. BGM-3 4'!C61</f>
        <v xml:space="preserve">Production  </v>
      </c>
      <c r="E61" s="561">
        <f>'Exh. No. BGM-3 4'!E61</f>
        <v>832833</v>
      </c>
      <c r="F61" s="565">
        <f>'Exh. No. BGM-3 4'!F61</f>
        <v>0</v>
      </c>
      <c r="G61" s="565">
        <f>'Exh. No. BGM-3 4'!G61</f>
        <v>0</v>
      </c>
      <c r="H61" s="565">
        <f>'Exh. No. BGM-3 4'!H61</f>
        <v>0</v>
      </c>
      <c r="I61" s="565">
        <f>'Exh. No. BGM-3 4'!I61</f>
        <v>0</v>
      </c>
      <c r="J61" s="565">
        <f>'Exh. No. BGM-3 4'!J61</f>
        <v>0</v>
      </c>
      <c r="K61" s="565">
        <f>'Exh. No. BGM-3 4'!K61</f>
        <v>0</v>
      </c>
      <c r="L61" s="565">
        <f>'Exh. No. BGM-3 4'!L61</f>
        <v>0</v>
      </c>
      <c r="M61" s="565">
        <f>'Exh. No. BGM-3 4'!M61</f>
        <v>0</v>
      </c>
      <c r="N61" s="565">
        <f>'Exh. No. BGM-3 4'!N61</f>
        <v>0</v>
      </c>
      <c r="O61" s="565">
        <f>'Exh. No. BGM-3 4'!O61</f>
        <v>0</v>
      </c>
      <c r="P61" s="565">
        <f>'Exh. No. BGM-3 4'!P61</f>
        <v>0</v>
      </c>
      <c r="Q61" s="565">
        <f>'Exh. No. BGM-3 4'!Q61</f>
        <v>0</v>
      </c>
      <c r="R61" s="565">
        <f>'Exh. No. BGM-3 4'!R61</f>
        <v>0</v>
      </c>
      <c r="S61" s="565">
        <f>'Exh. No. BGM-3 4'!S61</f>
        <v>0</v>
      </c>
      <c r="T61" s="565">
        <f>'Exh. No. BGM-3 4'!T61</f>
        <v>0</v>
      </c>
      <c r="U61" s="565">
        <f>'Exh. No. BGM-3 4'!U61</f>
        <v>0</v>
      </c>
      <c r="V61" s="565">
        <f>'Exh. No. BGM-3 4'!V61</f>
        <v>0</v>
      </c>
      <c r="W61" s="565">
        <f>'Exh. No. BGM-3 4'!W61</f>
        <v>0</v>
      </c>
      <c r="X61" s="565">
        <f>'Exh. No. BGM-3 4'!X61</f>
        <v>0</v>
      </c>
      <c r="Y61" s="565">
        <f>'Exh. No. BGM-3 4'!Y61</f>
        <v>0</v>
      </c>
      <c r="Z61" s="565">
        <f>'Exh. No. BGM-3 4'!Z61</f>
        <v>0</v>
      </c>
      <c r="AA61" s="565">
        <f>'Exh. No. BGM-3 4'!AD61</f>
        <v>0</v>
      </c>
      <c r="AB61" s="565">
        <f>'Exh. No. BGM-3 4'!AE61</f>
        <v>0</v>
      </c>
      <c r="AC61" s="565">
        <f>'Exh. No. BGM-3 4'!AF61</f>
        <v>0</v>
      </c>
      <c r="AD61" s="565">
        <f>'Exh. No. BGM-3 4'!AG61</f>
        <v>0</v>
      </c>
      <c r="AE61" s="565">
        <f>'Exh. No. BGM-3 4'!AH61</f>
        <v>0</v>
      </c>
      <c r="AF61" s="565">
        <f>'Exh. No. BGM-3 4'!AI61</f>
        <v>0</v>
      </c>
      <c r="AG61" s="565">
        <f>'Exh. No. BGM-3 4'!AJ61</f>
        <v>0</v>
      </c>
      <c r="AH61" s="565">
        <f>'Exh. No. BGM-3 4'!AK61</f>
        <v>0</v>
      </c>
      <c r="AI61" s="565">
        <f>'Exh. No. BGM-3 4'!AL61</f>
        <v>0</v>
      </c>
      <c r="AJ61" s="565">
        <f>'Exh. No. BGM-3 4'!AM61</f>
        <v>6889</v>
      </c>
      <c r="AK61" s="565">
        <f>'Exh. No. BGM-3 4'!AN61</f>
        <v>0</v>
      </c>
      <c r="AL61" s="565">
        <f>'Exh. No. BGM-3 4'!AO61</f>
        <v>0</v>
      </c>
      <c r="AM61" s="565">
        <f>'Exh. No. BGM-3 4'!AP61</f>
        <v>0</v>
      </c>
      <c r="AN61" s="565">
        <f>'Exh. No. BGM-3 4'!AQ61</f>
        <v>0</v>
      </c>
      <c r="AO61" s="565">
        <f>'Exh. No. BGM-3 4'!AS61</f>
        <v>0</v>
      </c>
      <c r="AP61" s="565" t="e">
        <f>'Exh. No. BGM-3 4'!#REF!</f>
        <v>#REF!</v>
      </c>
    </row>
    <row r="62" spans="1:42" s="554" customFormat="1">
      <c r="A62" s="555">
        <f>'Exh. No. BGM-3 4'!A62</f>
        <v>34</v>
      </c>
      <c r="C62" s="554" t="str">
        <f>'Exh. No. BGM-3 4'!C62</f>
        <v xml:space="preserve">Transmission  </v>
      </c>
      <c r="E62" s="561">
        <f>'Exh. No. BGM-3 4'!E62</f>
        <v>430613</v>
      </c>
      <c r="F62" s="565">
        <f>'Exh. No. BGM-3 4'!F62</f>
        <v>0</v>
      </c>
      <c r="G62" s="565">
        <f>'Exh. No. BGM-3 4'!G62</f>
        <v>0</v>
      </c>
      <c r="H62" s="565">
        <f>'Exh. No. BGM-3 4'!H62</f>
        <v>0</v>
      </c>
      <c r="I62" s="565">
        <f>'Exh. No. BGM-3 4'!I62</f>
        <v>0</v>
      </c>
      <c r="J62" s="565">
        <f>'Exh. No. BGM-3 4'!J62</f>
        <v>0</v>
      </c>
      <c r="K62" s="565">
        <f>'Exh. No. BGM-3 4'!K62</f>
        <v>0</v>
      </c>
      <c r="L62" s="565">
        <f>'Exh. No. BGM-3 4'!L62</f>
        <v>0</v>
      </c>
      <c r="M62" s="565">
        <f>'Exh. No. BGM-3 4'!M62</f>
        <v>0</v>
      </c>
      <c r="N62" s="565">
        <f>'Exh. No. BGM-3 4'!N62</f>
        <v>0</v>
      </c>
      <c r="O62" s="565">
        <f>'Exh. No. BGM-3 4'!O62</f>
        <v>0</v>
      </c>
      <c r="P62" s="565">
        <f>'Exh. No. BGM-3 4'!P62</f>
        <v>0</v>
      </c>
      <c r="Q62" s="565">
        <f>'Exh. No. BGM-3 4'!Q62</f>
        <v>0</v>
      </c>
      <c r="R62" s="565">
        <f>'Exh. No. BGM-3 4'!R62</f>
        <v>0</v>
      </c>
      <c r="S62" s="565">
        <f>'Exh. No. BGM-3 4'!S62</f>
        <v>0</v>
      </c>
      <c r="T62" s="565">
        <f>'Exh. No. BGM-3 4'!T62</f>
        <v>0</v>
      </c>
      <c r="U62" s="565">
        <f>'Exh. No. BGM-3 4'!U62</f>
        <v>0</v>
      </c>
      <c r="V62" s="565">
        <f>'Exh. No. BGM-3 4'!V62</f>
        <v>0</v>
      </c>
      <c r="W62" s="565">
        <f>'Exh. No. BGM-3 4'!W62</f>
        <v>0</v>
      </c>
      <c r="X62" s="565">
        <f>'Exh. No. BGM-3 4'!X62</f>
        <v>0</v>
      </c>
      <c r="Y62" s="565">
        <f>'Exh. No. BGM-3 4'!Y62</f>
        <v>0</v>
      </c>
      <c r="Z62" s="565">
        <f>'Exh. No. BGM-3 4'!Z62</f>
        <v>0</v>
      </c>
      <c r="AA62" s="565">
        <f>'Exh. No. BGM-3 4'!AD62</f>
        <v>0</v>
      </c>
      <c r="AB62" s="565">
        <f>'Exh. No. BGM-3 4'!AE62</f>
        <v>0</v>
      </c>
      <c r="AC62" s="565">
        <f>'Exh. No. BGM-3 4'!AF62</f>
        <v>0</v>
      </c>
      <c r="AD62" s="565">
        <f>'Exh. No. BGM-3 4'!AG62</f>
        <v>0</v>
      </c>
      <c r="AE62" s="565">
        <f>'Exh. No. BGM-3 4'!AH62</f>
        <v>0</v>
      </c>
      <c r="AF62" s="565">
        <f>'Exh. No. BGM-3 4'!AI62</f>
        <v>0</v>
      </c>
      <c r="AG62" s="565">
        <f>'Exh. No. BGM-3 4'!AJ62</f>
        <v>0</v>
      </c>
      <c r="AH62" s="565">
        <f>'Exh. No. BGM-3 4'!AK62</f>
        <v>0</v>
      </c>
      <c r="AI62" s="565">
        <f>'Exh. No. BGM-3 4'!AL62</f>
        <v>0</v>
      </c>
      <c r="AJ62" s="565">
        <f>'Exh. No. BGM-3 4'!AM62</f>
        <v>0</v>
      </c>
      <c r="AK62" s="565">
        <f>'Exh. No. BGM-3 4'!AN62</f>
        <v>0</v>
      </c>
      <c r="AL62" s="565">
        <f>'Exh. No. BGM-3 4'!AO62</f>
        <v>0</v>
      </c>
      <c r="AM62" s="565">
        <f>'Exh. No. BGM-3 4'!AP62</f>
        <v>0</v>
      </c>
      <c r="AN62" s="565">
        <f>'Exh. No. BGM-3 4'!AQ62</f>
        <v>0</v>
      </c>
      <c r="AO62" s="565">
        <f>'Exh. No. BGM-3 4'!AS62</f>
        <v>0</v>
      </c>
      <c r="AP62" s="565" t="e">
        <f>'Exh. No. BGM-3 4'!#REF!</f>
        <v>#REF!</v>
      </c>
    </row>
    <row r="63" spans="1:42" s="554" customFormat="1">
      <c r="A63" s="555">
        <f>'Exh. No. BGM-3 4'!A63</f>
        <v>35</v>
      </c>
      <c r="C63" s="554" t="str">
        <f>'Exh. No. BGM-3 4'!C63</f>
        <v xml:space="preserve">Distribution  </v>
      </c>
      <c r="E63" s="561">
        <f>'Exh. No. BGM-3 4'!E63</f>
        <v>970455</v>
      </c>
      <c r="F63" s="565">
        <f>'Exh. No. BGM-3 4'!F63</f>
        <v>0</v>
      </c>
      <c r="G63" s="565">
        <f>'Exh. No. BGM-3 4'!G63</f>
        <v>0</v>
      </c>
      <c r="H63" s="565">
        <f>'Exh. No. BGM-3 4'!H63</f>
        <v>0</v>
      </c>
      <c r="I63" s="565">
        <f>'Exh. No. BGM-3 4'!I63</f>
        <v>0</v>
      </c>
      <c r="J63" s="565">
        <f>'Exh. No. BGM-3 4'!J63</f>
        <v>0</v>
      </c>
      <c r="K63" s="565">
        <f>'Exh. No. BGM-3 4'!K63</f>
        <v>0</v>
      </c>
      <c r="L63" s="565">
        <f>'Exh. No. BGM-3 4'!L63</f>
        <v>0</v>
      </c>
      <c r="M63" s="565">
        <f>'Exh. No. BGM-3 4'!M63</f>
        <v>0</v>
      </c>
      <c r="N63" s="565">
        <f>'Exh. No. BGM-3 4'!N63</f>
        <v>0</v>
      </c>
      <c r="O63" s="565">
        <f>'Exh. No. BGM-3 4'!O63</f>
        <v>0</v>
      </c>
      <c r="P63" s="565">
        <f>'Exh. No. BGM-3 4'!P63</f>
        <v>0</v>
      </c>
      <c r="Q63" s="565">
        <f>'Exh. No. BGM-3 4'!Q63</f>
        <v>0</v>
      </c>
      <c r="R63" s="565">
        <f>'Exh. No. BGM-3 4'!R63</f>
        <v>0</v>
      </c>
      <c r="S63" s="565">
        <f>'Exh. No. BGM-3 4'!S63</f>
        <v>0</v>
      </c>
      <c r="T63" s="565">
        <f>'Exh. No. BGM-3 4'!T63</f>
        <v>0</v>
      </c>
      <c r="U63" s="565">
        <f>'Exh. No. BGM-3 4'!U63</f>
        <v>0</v>
      </c>
      <c r="V63" s="565">
        <f>'Exh. No. BGM-3 4'!V63</f>
        <v>0</v>
      </c>
      <c r="W63" s="565">
        <f>'Exh. No. BGM-3 4'!W63</f>
        <v>0</v>
      </c>
      <c r="X63" s="565">
        <f>'Exh. No. BGM-3 4'!X63</f>
        <v>0</v>
      </c>
      <c r="Y63" s="565">
        <f>'Exh. No. BGM-3 4'!Y63</f>
        <v>0</v>
      </c>
      <c r="Z63" s="565">
        <f>'Exh. No. BGM-3 4'!Z63</f>
        <v>0</v>
      </c>
      <c r="AA63" s="565">
        <f>'Exh. No. BGM-3 4'!AD63</f>
        <v>0</v>
      </c>
      <c r="AB63" s="565">
        <f>'Exh. No. BGM-3 4'!AE63</f>
        <v>0</v>
      </c>
      <c r="AC63" s="565">
        <f>'Exh. No. BGM-3 4'!AF63</f>
        <v>0</v>
      </c>
      <c r="AD63" s="565">
        <f>'Exh. No. BGM-3 4'!AG63</f>
        <v>0</v>
      </c>
      <c r="AE63" s="565">
        <f>'Exh. No. BGM-3 4'!AH63</f>
        <v>0</v>
      </c>
      <c r="AF63" s="565">
        <f>'Exh. No. BGM-3 4'!AI63</f>
        <v>0</v>
      </c>
      <c r="AG63" s="565">
        <f>'Exh. No. BGM-3 4'!AJ63</f>
        <v>0</v>
      </c>
      <c r="AH63" s="565">
        <f>'Exh. No. BGM-3 4'!AK63</f>
        <v>0</v>
      </c>
      <c r="AI63" s="565">
        <f>'Exh. No. BGM-3 4'!AL63</f>
        <v>0</v>
      </c>
      <c r="AJ63" s="565">
        <f>'Exh. No. BGM-3 4'!AM63</f>
        <v>0</v>
      </c>
      <c r="AK63" s="565">
        <f>'Exh. No. BGM-3 4'!AN63</f>
        <v>0</v>
      </c>
      <c r="AL63" s="565">
        <f>'Exh. No. BGM-3 4'!AO63</f>
        <v>0</v>
      </c>
      <c r="AM63" s="565">
        <f>'Exh. No. BGM-3 4'!AP63</f>
        <v>0</v>
      </c>
      <c r="AN63" s="565">
        <f>'Exh. No. BGM-3 4'!AQ63</f>
        <v>0</v>
      </c>
      <c r="AO63" s="565">
        <f>'Exh. No. BGM-3 4'!AS63</f>
        <v>0</v>
      </c>
      <c r="AP63" s="565" t="e">
        <f>'Exh. No. BGM-3 4'!#REF!</f>
        <v>#REF!</v>
      </c>
    </row>
    <row r="64" spans="1:42" s="554" customFormat="1">
      <c r="A64" s="555">
        <f>'Exh. No. BGM-3 4'!A64</f>
        <v>36</v>
      </c>
      <c r="C64" s="554" t="str">
        <f>'Exh. No. BGM-3 4'!C64</f>
        <v xml:space="preserve">General  </v>
      </c>
      <c r="E64" s="587">
        <f>'Exh. No. BGM-3 4'!E64</f>
        <v>233266</v>
      </c>
      <c r="F64" s="577">
        <f>'Exh. No. BGM-3 4'!F64</f>
        <v>0</v>
      </c>
      <c r="G64" s="577">
        <f>'Exh. No. BGM-3 4'!G64</f>
        <v>0</v>
      </c>
      <c r="H64" s="577">
        <f>'Exh. No. BGM-3 4'!H64</f>
        <v>0</v>
      </c>
      <c r="I64" s="577">
        <f>'Exh. No. BGM-3 4'!I64</f>
        <v>0</v>
      </c>
      <c r="J64" s="577">
        <f>'Exh. No. BGM-3 4'!J64</f>
        <v>0</v>
      </c>
      <c r="K64" s="577">
        <f>'Exh. No. BGM-3 4'!K64</f>
        <v>0</v>
      </c>
      <c r="L64" s="577">
        <f>'Exh. No. BGM-3 4'!L64</f>
        <v>0</v>
      </c>
      <c r="M64" s="577">
        <f>'Exh. No. BGM-3 4'!M64</f>
        <v>0</v>
      </c>
      <c r="N64" s="577">
        <f>'Exh. No. BGM-3 4'!N64</f>
        <v>0</v>
      </c>
      <c r="O64" s="577">
        <f>'Exh. No. BGM-3 4'!O64</f>
        <v>0</v>
      </c>
      <c r="P64" s="577">
        <f>'Exh. No. BGM-3 4'!P64</f>
        <v>0</v>
      </c>
      <c r="Q64" s="577">
        <f>'Exh. No. BGM-3 4'!Q64</f>
        <v>0</v>
      </c>
      <c r="R64" s="577">
        <f>'Exh. No. BGM-3 4'!R64</f>
        <v>0</v>
      </c>
      <c r="S64" s="577">
        <f>'Exh. No. BGM-3 4'!S64</f>
        <v>0</v>
      </c>
      <c r="T64" s="577">
        <f>'Exh. No. BGM-3 4'!T64</f>
        <v>0</v>
      </c>
      <c r="U64" s="577">
        <f>'Exh. No. BGM-3 4'!U64</f>
        <v>0</v>
      </c>
      <c r="V64" s="577">
        <f>'Exh. No. BGM-3 4'!V64</f>
        <v>0</v>
      </c>
      <c r="W64" s="577">
        <f>'Exh. No. BGM-3 4'!W64</f>
        <v>0</v>
      </c>
      <c r="X64" s="577">
        <f>'Exh. No. BGM-3 4'!X64</f>
        <v>0</v>
      </c>
      <c r="Y64" s="577">
        <f>'Exh. No. BGM-3 4'!Y64</f>
        <v>0</v>
      </c>
      <c r="Z64" s="577">
        <f>'Exh. No. BGM-3 4'!Z64</f>
        <v>0</v>
      </c>
      <c r="AA64" s="577">
        <f>'Exh. No. BGM-3 4'!AD64</f>
        <v>0</v>
      </c>
      <c r="AB64" s="577">
        <f>'Exh. No. BGM-3 4'!AE64</f>
        <v>0</v>
      </c>
      <c r="AC64" s="577">
        <f>'Exh. No. BGM-3 4'!AF64</f>
        <v>0</v>
      </c>
      <c r="AD64" s="577">
        <f>'Exh. No. BGM-3 4'!AG64</f>
        <v>0</v>
      </c>
      <c r="AE64" s="577">
        <f>'Exh. No. BGM-3 4'!AH64</f>
        <v>0</v>
      </c>
      <c r="AF64" s="577">
        <f>'Exh. No. BGM-3 4'!AI64</f>
        <v>0</v>
      </c>
      <c r="AG64" s="577">
        <f>'Exh. No. BGM-3 4'!AJ64</f>
        <v>0</v>
      </c>
      <c r="AH64" s="577">
        <f>'Exh. No. BGM-3 4'!AK64</f>
        <v>0</v>
      </c>
      <c r="AI64" s="577">
        <f>'Exh. No. BGM-3 4'!AL64</f>
        <v>0</v>
      </c>
      <c r="AJ64" s="577">
        <f>'Exh. No. BGM-3 4'!AM64</f>
        <v>0</v>
      </c>
      <c r="AK64" s="577">
        <f>'Exh. No. BGM-3 4'!AN64</f>
        <v>0</v>
      </c>
      <c r="AL64" s="577">
        <f>'Exh. No. BGM-3 4'!AO64</f>
        <v>0</v>
      </c>
      <c r="AM64" s="577">
        <f>'Exh. No. BGM-3 4'!AP64</f>
        <v>0</v>
      </c>
      <c r="AN64" s="577">
        <f>'Exh. No. BGM-3 4'!AQ64</f>
        <v>0</v>
      </c>
      <c r="AO64" s="577">
        <f>'Exh. No. BGM-3 4'!AS64</f>
        <v>0</v>
      </c>
      <c r="AP64" s="577" t="e">
        <f>'Exh. No. BGM-3 4'!#REF!</f>
        <v>#REF!</v>
      </c>
    </row>
    <row r="65" spans="1:42" s="554" customFormat="1">
      <c r="A65" s="555">
        <f>'Exh. No. BGM-3 4'!A65</f>
        <v>37</v>
      </c>
      <c r="B65" s="554" t="str">
        <f>'Exh. No. BGM-3 4'!B65</f>
        <v xml:space="preserve">Total Plant in Service  </v>
      </c>
      <c r="E65" s="566">
        <f>'Exh. No. BGM-3 4'!E65</f>
        <v>2623224</v>
      </c>
      <c r="F65" s="565">
        <f>'Exh. No. BGM-3 4'!F65</f>
        <v>0</v>
      </c>
      <c r="G65" s="565">
        <f>'Exh. No. BGM-3 4'!G65</f>
        <v>0</v>
      </c>
      <c r="H65" s="565">
        <f>'Exh. No. BGM-3 4'!H65</f>
        <v>0</v>
      </c>
      <c r="I65" s="565">
        <f>'Exh. No. BGM-3 4'!I65</f>
        <v>0</v>
      </c>
      <c r="J65" s="565">
        <f>'Exh. No. BGM-3 4'!J65</f>
        <v>0</v>
      </c>
      <c r="K65" s="565">
        <f>'Exh. No. BGM-3 4'!K65</f>
        <v>0</v>
      </c>
      <c r="L65" s="565">
        <f>'Exh. No. BGM-3 4'!L65</f>
        <v>0</v>
      </c>
      <c r="M65" s="565">
        <f>'Exh. No. BGM-3 4'!M65</f>
        <v>0</v>
      </c>
      <c r="N65" s="565">
        <f>'Exh. No. BGM-3 4'!N65</f>
        <v>0</v>
      </c>
      <c r="O65" s="565">
        <f>'Exh. No. BGM-3 4'!O65</f>
        <v>0</v>
      </c>
      <c r="P65" s="565">
        <f>'Exh. No. BGM-3 4'!P65</f>
        <v>0</v>
      </c>
      <c r="Q65" s="565">
        <f>'Exh. No. BGM-3 4'!Q65</f>
        <v>0</v>
      </c>
      <c r="R65" s="565">
        <f>'Exh. No. BGM-3 4'!R65</f>
        <v>0</v>
      </c>
      <c r="S65" s="565">
        <f>'Exh. No. BGM-3 4'!S65</f>
        <v>0</v>
      </c>
      <c r="T65" s="565">
        <f>'Exh. No. BGM-3 4'!T65</f>
        <v>0</v>
      </c>
      <c r="U65" s="565">
        <f>'Exh. No. BGM-3 4'!U65</f>
        <v>0</v>
      </c>
      <c r="V65" s="565">
        <f>'Exh. No. BGM-3 4'!V65</f>
        <v>0</v>
      </c>
      <c r="W65" s="565">
        <f>'Exh. No. BGM-3 4'!W65</f>
        <v>0</v>
      </c>
      <c r="X65" s="565">
        <f>'Exh. No. BGM-3 4'!X65</f>
        <v>0</v>
      </c>
      <c r="Y65" s="565">
        <f>'Exh. No. BGM-3 4'!Y65</f>
        <v>0</v>
      </c>
      <c r="Z65" s="565">
        <f>'Exh. No. BGM-3 4'!Z65</f>
        <v>0</v>
      </c>
      <c r="AA65" s="565">
        <f>'Exh. No. BGM-3 4'!AD65</f>
        <v>0</v>
      </c>
      <c r="AB65" s="565">
        <f>'Exh. No. BGM-3 4'!AE65</f>
        <v>0</v>
      </c>
      <c r="AC65" s="565">
        <f>'Exh. No. BGM-3 4'!AF65</f>
        <v>0</v>
      </c>
      <c r="AD65" s="565">
        <f>'Exh. No. BGM-3 4'!AG65</f>
        <v>0</v>
      </c>
      <c r="AE65" s="565">
        <f>'Exh. No. BGM-3 4'!AH65</f>
        <v>0</v>
      </c>
      <c r="AF65" s="565">
        <f>'Exh. No. BGM-3 4'!AI65</f>
        <v>0</v>
      </c>
      <c r="AG65" s="565">
        <f>'Exh. No. BGM-3 4'!AJ65</f>
        <v>0</v>
      </c>
      <c r="AH65" s="565">
        <f>'Exh. No. BGM-3 4'!AK65</f>
        <v>0</v>
      </c>
      <c r="AI65" s="565">
        <f>'Exh. No. BGM-3 4'!AL65</f>
        <v>0</v>
      </c>
      <c r="AJ65" s="565">
        <f>'Exh. No. BGM-3 4'!AM65</f>
        <v>6889</v>
      </c>
      <c r="AK65" s="565">
        <f>'Exh. No. BGM-3 4'!AN65</f>
        <v>0</v>
      </c>
      <c r="AL65" s="565">
        <f>'Exh. No. BGM-3 4'!AO65</f>
        <v>0</v>
      </c>
      <c r="AM65" s="565">
        <f>'Exh. No. BGM-3 4'!AP65</f>
        <v>0</v>
      </c>
      <c r="AN65" s="565">
        <f>'Exh. No. BGM-3 4'!AQ65</f>
        <v>0</v>
      </c>
      <c r="AO65" s="565">
        <f>'Exh. No. BGM-3 4'!AS65</f>
        <v>0</v>
      </c>
      <c r="AP65" s="565" t="e">
        <f>'Exh. No. BGM-3 4'!#REF!</f>
        <v>#REF!</v>
      </c>
    </row>
    <row r="66" spans="1:42" s="554" customFormat="1">
      <c r="A66" s="555"/>
      <c r="B66" s="554" t="str">
        <f>'Exh. No. BGM-3 4'!B66</f>
        <v>ACCUMULATED DEPRECIATION/AMORT</v>
      </c>
      <c r="E66" s="566"/>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row>
    <row r="67" spans="1:42" s="554" customFormat="1">
      <c r="A67" s="555">
        <f>'Exh. No. BGM-3 4'!A67</f>
        <v>38</v>
      </c>
      <c r="C67" s="553" t="str">
        <f>'Exh. No. BGM-3 4'!C67</f>
        <v xml:space="preserve">Intangible  </v>
      </c>
      <c r="E67" s="561">
        <f>'Exh. No. BGM-3 4'!E67</f>
        <v>-30914</v>
      </c>
      <c r="F67" s="565">
        <f>'Exh. No. BGM-3 4'!F67</f>
        <v>0</v>
      </c>
      <c r="G67" s="565">
        <f>'Exh. No. BGM-3 4'!G67</f>
        <v>0</v>
      </c>
      <c r="H67" s="565">
        <f>'Exh. No. BGM-3 4'!H67</f>
        <v>0</v>
      </c>
      <c r="I67" s="565">
        <f>'Exh. No. BGM-3 4'!I67</f>
        <v>0</v>
      </c>
      <c r="J67" s="565">
        <f>'Exh. No. BGM-3 4'!J67</f>
        <v>0</v>
      </c>
      <c r="K67" s="565">
        <f>'Exh. No. BGM-3 4'!K67</f>
        <v>0</v>
      </c>
      <c r="L67" s="565">
        <f>'Exh. No. BGM-3 4'!L67</f>
        <v>0</v>
      </c>
      <c r="M67" s="565">
        <f>'Exh. No. BGM-3 4'!M67</f>
        <v>0</v>
      </c>
      <c r="N67" s="565">
        <f>'Exh. No. BGM-3 4'!N67</f>
        <v>0</v>
      </c>
      <c r="O67" s="565">
        <f>'Exh. No. BGM-3 4'!O67</f>
        <v>0</v>
      </c>
      <c r="P67" s="565">
        <f>'Exh. No. BGM-3 4'!P67</f>
        <v>0</v>
      </c>
      <c r="Q67" s="565">
        <f>'Exh. No. BGM-3 4'!Q67</f>
        <v>0</v>
      </c>
      <c r="R67" s="565">
        <f>'Exh. No. BGM-3 4'!R67</f>
        <v>0</v>
      </c>
      <c r="S67" s="565">
        <f>'Exh. No. BGM-3 4'!S67</f>
        <v>0</v>
      </c>
      <c r="T67" s="565">
        <f>'Exh. No. BGM-3 4'!T67</f>
        <v>0</v>
      </c>
      <c r="U67" s="565">
        <f>'Exh. No. BGM-3 4'!U67</f>
        <v>0</v>
      </c>
      <c r="V67" s="565">
        <f>'Exh. No. BGM-3 4'!V67</f>
        <v>0</v>
      </c>
      <c r="W67" s="565">
        <f>'Exh. No. BGM-3 4'!W67</f>
        <v>0</v>
      </c>
      <c r="X67" s="565">
        <f>'Exh. No. BGM-3 4'!X67</f>
        <v>0</v>
      </c>
      <c r="Y67" s="565">
        <f>'Exh. No. BGM-3 4'!Y67</f>
        <v>0</v>
      </c>
      <c r="Z67" s="565">
        <f>'Exh. No. BGM-3 4'!Z67</f>
        <v>0</v>
      </c>
      <c r="AA67" s="565">
        <f>'Exh. No. BGM-3 4'!AD67</f>
        <v>0</v>
      </c>
      <c r="AB67" s="565">
        <f>'Exh. No. BGM-3 4'!AE67</f>
        <v>0</v>
      </c>
      <c r="AC67" s="565">
        <f>'Exh. No. BGM-3 4'!AF67</f>
        <v>0</v>
      </c>
      <c r="AD67" s="565">
        <f>'Exh. No. BGM-3 4'!AG67</f>
        <v>0</v>
      </c>
      <c r="AE67" s="565">
        <f>'Exh. No. BGM-3 4'!AH67</f>
        <v>0</v>
      </c>
      <c r="AF67" s="565">
        <f>'Exh. No. BGM-3 4'!AI67</f>
        <v>0</v>
      </c>
      <c r="AG67" s="565">
        <f>'Exh. No. BGM-3 4'!AJ67</f>
        <v>0</v>
      </c>
      <c r="AH67" s="565">
        <f>'Exh. No. BGM-3 4'!AK67</f>
        <v>0</v>
      </c>
      <c r="AI67" s="565">
        <f>'Exh. No. BGM-3 4'!AL67</f>
        <v>0</v>
      </c>
      <c r="AJ67" s="565">
        <f>'Exh. No. BGM-3 4'!AM67</f>
        <v>0</v>
      </c>
      <c r="AK67" s="565">
        <f>'Exh. No. BGM-3 4'!AN67</f>
        <v>0</v>
      </c>
      <c r="AL67" s="565">
        <f>'Exh. No. BGM-3 4'!AO67</f>
        <v>0</v>
      </c>
      <c r="AM67" s="565">
        <f>'Exh. No. BGM-3 4'!AP67</f>
        <v>0</v>
      </c>
      <c r="AN67" s="565">
        <f>'Exh. No. BGM-3 4'!AQ67</f>
        <v>0</v>
      </c>
      <c r="AO67" s="565">
        <f>'Exh. No. BGM-3 4'!AS67</f>
        <v>0</v>
      </c>
      <c r="AP67" s="565" t="e">
        <f>'Exh. No. BGM-3 4'!#REF!</f>
        <v>#REF!</v>
      </c>
    </row>
    <row r="68" spans="1:42" s="554" customFormat="1">
      <c r="A68" s="555">
        <f>'Exh. No. BGM-3 4'!A68</f>
        <v>39</v>
      </c>
      <c r="C68" s="554" t="str">
        <f>'Exh. No. BGM-3 4'!C68</f>
        <v xml:space="preserve">Production  </v>
      </c>
      <c r="E68" s="561">
        <f>'Exh. No. BGM-3 4'!E68</f>
        <v>-351625</v>
      </c>
      <c r="F68" s="565">
        <f>'Exh. No. BGM-3 4'!F68</f>
        <v>0</v>
      </c>
      <c r="G68" s="565">
        <f>'Exh. No. BGM-3 4'!G68</f>
        <v>0</v>
      </c>
      <c r="H68" s="565">
        <f>'Exh. No. BGM-3 4'!H68</f>
        <v>0</v>
      </c>
      <c r="I68" s="565">
        <f>'Exh. No. BGM-3 4'!I68</f>
        <v>0</v>
      </c>
      <c r="J68" s="565">
        <f>'Exh. No. BGM-3 4'!J68</f>
        <v>0</v>
      </c>
      <c r="K68" s="565">
        <f>'Exh. No. BGM-3 4'!K68</f>
        <v>0</v>
      </c>
      <c r="L68" s="565">
        <f>'Exh. No. BGM-3 4'!L68</f>
        <v>0</v>
      </c>
      <c r="M68" s="565">
        <f>'Exh. No. BGM-3 4'!M68</f>
        <v>0</v>
      </c>
      <c r="N68" s="565">
        <f>'Exh. No. BGM-3 4'!N68</f>
        <v>0</v>
      </c>
      <c r="O68" s="565">
        <f>'Exh. No. BGM-3 4'!O68</f>
        <v>0</v>
      </c>
      <c r="P68" s="565">
        <f>'Exh. No. BGM-3 4'!P68</f>
        <v>0</v>
      </c>
      <c r="Q68" s="565">
        <f>'Exh. No. BGM-3 4'!Q68</f>
        <v>0</v>
      </c>
      <c r="R68" s="565">
        <f>'Exh. No. BGM-3 4'!R68</f>
        <v>0</v>
      </c>
      <c r="S68" s="565">
        <f>'Exh. No. BGM-3 4'!S68</f>
        <v>0</v>
      </c>
      <c r="T68" s="565">
        <f>'Exh. No. BGM-3 4'!T68</f>
        <v>0</v>
      </c>
      <c r="U68" s="565">
        <f>'Exh. No. BGM-3 4'!U68</f>
        <v>0</v>
      </c>
      <c r="V68" s="565">
        <f>'Exh. No. BGM-3 4'!V68</f>
        <v>0</v>
      </c>
      <c r="W68" s="565">
        <f>'Exh. No. BGM-3 4'!W68</f>
        <v>0</v>
      </c>
      <c r="X68" s="565">
        <f>'Exh. No. BGM-3 4'!X68</f>
        <v>0</v>
      </c>
      <c r="Y68" s="565">
        <f>'Exh. No. BGM-3 4'!Y68</f>
        <v>0</v>
      </c>
      <c r="Z68" s="565">
        <f>'Exh. No. BGM-3 4'!Z68</f>
        <v>0</v>
      </c>
      <c r="AA68" s="565">
        <f>'Exh. No. BGM-3 4'!AD68</f>
        <v>0</v>
      </c>
      <c r="AB68" s="565">
        <f>'Exh. No. BGM-3 4'!AE68</f>
        <v>0</v>
      </c>
      <c r="AC68" s="565">
        <f>'Exh. No. BGM-3 4'!AF68</f>
        <v>0</v>
      </c>
      <c r="AD68" s="565">
        <f>'Exh. No. BGM-3 4'!AG68</f>
        <v>0</v>
      </c>
      <c r="AE68" s="565">
        <f>'Exh. No. BGM-3 4'!AH68</f>
        <v>0</v>
      </c>
      <c r="AF68" s="565">
        <f>'Exh. No. BGM-3 4'!AI68</f>
        <v>0</v>
      </c>
      <c r="AG68" s="565">
        <f>'Exh. No. BGM-3 4'!AJ68</f>
        <v>0</v>
      </c>
      <c r="AH68" s="565">
        <f>'Exh. No. BGM-3 4'!AK68</f>
        <v>0</v>
      </c>
      <c r="AI68" s="565">
        <f>'Exh. No. BGM-3 4'!AL68</f>
        <v>0</v>
      </c>
      <c r="AJ68" s="565">
        <f>'Exh. No. BGM-3 4'!AM68</f>
        <v>-95</v>
      </c>
      <c r="AK68" s="565">
        <f>'Exh. No. BGM-3 4'!AN68</f>
        <v>0</v>
      </c>
      <c r="AL68" s="565">
        <f>'Exh. No. BGM-3 4'!AO68</f>
        <v>0</v>
      </c>
      <c r="AM68" s="565">
        <f>'Exh. No. BGM-3 4'!AP68</f>
        <v>0</v>
      </c>
      <c r="AN68" s="565">
        <f>'Exh. No. BGM-3 4'!AQ68</f>
        <v>0</v>
      </c>
      <c r="AO68" s="565">
        <f>'Exh. No. BGM-3 4'!AS68</f>
        <v>0</v>
      </c>
      <c r="AP68" s="565" t="e">
        <f>'Exh. No. BGM-3 4'!#REF!</f>
        <v>#REF!</v>
      </c>
    </row>
    <row r="69" spans="1:42" s="554" customFormat="1">
      <c r="A69" s="555">
        <f>'Exh. No. BGM-3 4'!A69</f>
        <v>40</v>
      </c>
      <c r="C69" s="554" t="str">
        <f>'Exh. No. BGM-3 4'!C69</f>
        <v xml:space="preserve">Transmission  </v>
      </c>
      <c r="E69" s="561">
        <f>'Exh. No. BGM-3 4'!E69</f>
        <v>-135624</v>
      </c>
      <c r="F69" s="565">
        <f>'Exh. No. BGM-3 4'!F69</f>
        <v>0</v>
      </c>
      <c r="G69" s="565">
        <f>'Exh. No. BGM-3 4'!G69</f>
        <v>0</v>
      </c>
      <c r="H69" s="565">
        <f>'Exh. No. BGM-3 4'!H69</f>
        <v>0</v>
      </c>
      <c r="I69" s="565">
        <f>'Exh. No. BGM-3 4'!I69</f>
        <v>0</v>
      </c>
      <c r="J69" s="565">
        <f>'Exh. No. BGM-3 4'!J69</f>
        <v>0</v>
      </c>
      <c r="K69" s="565">
        <f>'Exh. No. BGM-3 4'!K69</f>
        <v>0</v>
      </c>
      <c r="L69" s="565">
        <f>'Exh. No. BGM-3 4'!L69</f>
        <v>0</v>
      </c>
      <c r="M69" s="565">
        <f>'Exh. No. BGM-3 4'!M69</f>
        <v>0</v>
      </c>
      <c r="N69" s="565">
        <f>'Exh. No. BGM-3 4'!N69</f>
        <v>0</v>
      </c>
      <c r="O69" s="565">
        <f>'Exh. No. BGM-3 4'!O69</f>
        <v>0</v>
      </c>
      <c r="P69" s="565">
        <f>'Exh. No. BGM-3 4'!P69</f>
        <v>0</v>
      </c>
      <c r="Q69" s="565">
        <f>'Exh. No. BGM-3 4'!Q69</f>
        <v>0</v>
      </c>
      <c r="R69" s="565">
        <f>'Exh. No. BGM-3 4'!R69</f>
        <v>0</v>
      </c>
      <c r="S69" s="565">
        <f>'Exh. No. BGM-3 4'!S69</f>
        <v>0</v>
      </c>
      <c r="T69" s="565">
        <f>'Exh. No. BGM-3 4'!T69</f>
        <v>0</v>
      </c>
      <c r="U69" s="565">
        <f>'Exh. No. BGM-3 4'!U69</f>
        <v>0</v>
      </c>
      <c r="V69" s="565">
        <f>'Exh. No. BGM-3 4'!V69</f>
        <v>0</v>
      </c>
      <c r="W69" s="565">
        <f>'Exh. No. BGM-3 4'!W69</f>
        <v>0</v>
      </c>
      <c r="X69" s="565">
        <f>'Exh. No. BGM-3 4'!X69</f>
        <v>0</v>
      </c>
      <c r="Y69" s="565">
        <f>'Exh. No. BGM-3 4'!Y69</f>
        <v>0</v>
      </c>
      <c r="Z69" s="565">
        <f>'Exh. No. BGM-3 4'!Z69</f>
        <v>0</v>
      </c>
      <c r="AA69" s="565">
        <f>'Exh. No. BGM-3 4'!AD69</f>
        <v>0</v>
      </c>
      <c r="AB69" s="565">
        <f>'Exh. No. BGM-3 4'!AE69</f>
        <v>0</v>
      </c>
      <c r="AC69" s="565">
        <f>'Exh. No. BGM-3 4'!AF69</f>
        <v>0</v>
      </c>
      <c r="AD69" s="565">
        <f>'Exh. No. BGM-3 4'!AG69</f>
        <v>0</v>
      </c>
      <c r="AE69" s="565">
        <f>'Exh. No. BGM-3 4'!AH69</f>
        <v>0</v>
      </c>
      <c r="AF69" s="565">
        <f>'Exh. No. BGM-3 4'!AI69</f>
        <v>0</v>
      </c>
      <c r="AG69" s="565">
        <f>'Exh. No. BGM-3 4'!AJ69</f>
        <v>0</v>
      </c>
      <c r="AH69" s="565">
        <f>'Exh. No. BGM-3 4'!AK69</f>
        <v>0</v>
      </c>
      <c r="AI69" s="565">
        <f>'Exh. No. BGM-3 4'!AL69</f>
        <v>0</v>
      </c>
      <c r="AJ69" s="565">
        <f>'Exh. No. BGM-3 4'!AM69</f>
        <v>0</v>
      </c>
      <c r="AK69" s="565">
        <f>'Exh. No. BGM-3 4'!AN69</f>
        <v>0</v>
      </c>
      <c r="AL69" s="565">
        <f>'Exh. No. BGM-3 4'!AO69</f>
        <v>0</v>
      </c>
      <c r="AM69" s="565">
        <f>'Exh. No. BGM-3 4'!AP69</f>
        <v>0</v>
      </c>
      <c r="AN69" s="565">
        <f>'Exh. No. BGM-3 4'!AQ69</f>
        <v>0</v>
      </c>
      <c r="AO69" s="565">
        <f>'Exh. No. BGM-3 4'!AS69</f>
        <v>0</v>
      </c>
      <c r="AP69" s="565" t="e">
        <f>'Exh. No. BGM-3 4'!#REF!</f>
        <v>#REF!</v>
      </c>
    </row>
    <row r="70" spans="1:42" s="554" customFormat="1">
      <c r="A70" s="555">
        <f>'Exh. No. BGM-3 4'!A70</f>
        <v>41</v>
      </c>
      <c r="C70" s="554" t="str">
        <f>'Exh. No. BGM-3 4'!C70</f>
        <v xml:space="preserve">Distribution  </v>
      </c>
      <c r="E70" s="561">
        <f>'Exh. No. BGM-3 4'!E70</f>
        <v>-295383</v>
      </c>
      <c r="F70" s="565">
        <f>'Exh. No. BGM-3 4'!F70</f>
        <v>0</v>
      </c>
      <c r="G70" s="565">
        <f>'Exh. No. BGM-3 4'!G70</f>
        <v>0</v>
      </c>
      <c r="H70" s="565">
        <f>'Exh. No. BGM-3 4'!H70</f>
        <v>0</v>
      </c>
      <c r="I70" s="565">
        <f>'Exh. No. BGM-3 4'!I70</f>
        <v>0</v>
      </c>
      <c r="J70" s="565">
        <f>'Exh. No. BGM-3 4'!J70</f>
        <v>0</v>
      </c>
      <c r="K70" s="565">
        <f>'Exh. No. BGM-3 4'!K70</f>
        <v>0</v>
      </c>
      <c r="L70" s="565">
        <f>'Exh. No. BGM-3 4'!L70</f>
        <v>0</v>
      </c>
      <c r="M70" s="565">
        <f>'Exh. No. BGM-3 4'!M70</f>
        <v>0</v>
      </c>
      <c r="N70" s="565">
        <f>'Exh. No. BGM-3 4'!N70</f>
        <v>0</v>
      </c>
      <c r="O70" s="565">
        <f>'Exh. No. BGM-3 4'!O70</f>
        <v>0</v>
      </c>
      <c r="P70" s="565">
        <f>'Exh. No. BGM-3 4'!P70</f>
        <v>0</v>
      </c>
      <c r="Q70" s="565">
        <f>'Exh. No. BGM-3 4'!Q70</f>
        <v>0</v>
      </c>
      <c r="R70" s="565">
        <f>'Exh. No. BGM-3 4'!R70</f>
        <v>0</v>
      </c>
      <c r="S70" s="565">
        <f>'Exh. No. BGM-3 4'!S70</f>
        <v>0</v>
      </c>
      <c r="T70" s="565">
        <f>'Exh. No. BGM-3 4'!T70</f>
        <v>0</v>
      </c>
      <c r="U70" s="565">
        <f>'Exh. No. BGM-3 4'!U70</f>
        <v>0</v>
      </c>
      <c r="V70" s="565">
        <f>'Exh. No. BGM-3 4'!V70</f>
        <v>0</v>
      </c>
      <c r="W70" s="565">
        <f>'Exh. No. BGM-3 4'!W70</f>
        <v>0</v>
      </c>
      <c r="X70" s="565">
        <f>'Exh. No. BGM-3 4'!X70</f>
        <v>0</v>
      </c>
      <c r="Y70" s="565">
        <f>'Exh. No. BGM-3 4'!Y70</f>
        <v>0</v>
      </c>
      <c r="Z70" s="565">
        <f>'Exh. No. BGM-3 4'!Z70</f>
        <v>0</v>
      </c>
      <c r="AA70" s="565">
        <f>'Exh. No. BGM-3 4'!AD70</f>
        <v>0</v>
      </c>
      <c r="AB70" s="565">
        <f>'Exh. No. BGM-3 4'!AE70</f>
        <v>0</v>
      </c>
      <c r="AC70" s="565">
        <f>'Exh. No. BGM-3 4'!AF70</f>
        <v>0</v>
      </c>
      <c r="AD70" s="565">
        <f>'Exh. No. BGM-3 4'!AG70</f>
        <v>0</v>
      </c>
      <c r="AE70" s="565">
        <f>'Exh. No. BGM-3 4'!AH70</f>
        <v>0</v>
      </c>
      <c r="AF70" s="565">
        <f>'Exh. No. BGM-3 4'!AI70</f>
        <v>0</v>
      </c>
      <c r="AG70" s="565">
        <f>'Exh. No. BGM-3 4'!AJ70</f>
        <v>0</v>
      </c>
      <c r="AH70" s="565">
        <f>'Exh. No. BGM-3 4'!AK70</f>
        <v>0</v>
      </c>
      <c r="AI70" s="565">
        <f>'Exh. No. BGM-3 4'!AL70</f>
        <v>0</v>
      </c>
      <c r="AJ70" s="565">
        <f>'Exh. No. BGM-3 4'!AM70</f>
        <v>0</v>
      </c>
      <c r="AK70" s="565">
        <f>'Exh. No. BGM-3 4'!AN70</f>
        <v>0</v>
      </c>
      <c r="AL70" s="565">
        <f>'Exh. No. BGM-3 4'!AO70</f>
        <v>0</v>
      </c>
      <c r="AM70" s="565">
        <f>'Exh. No. BGM-3 4'!AP70</f>
        <v>0</v>
      </c>
      <c r="AN70" s="565">
        <f>'Exh. No. BGM-3 4'!AQ70</f>
        <v>0</v>
      </c>
      <c r="AO70" s="565">
        <f>'Exh. No. BGM-3 4'!AS70</f>
        <v>0</v>
      </c>
      <c r="AP70" s="565" t="e">
        <f>'Exh. No. BGM-3 4'!#REF!</f>
        <v>#REF!</v>
      </c>
    </row>
    <row r="71" spans="1:42" s="554" customFormat="1">
      <c r="A71" s="555">
        <f>'Exh. No. BGM-3 4'!A71</f>
        <v>42</v>
      </c>
      <c r="C71" s="554" t="str">
        <f>'Exh. No. BGM-3 4'!C71</f>
        <v xml:space="preserve">General  </v>
      </c>
      <c r="E71" s="561">
        <f>'Exh. No. BGM-3 4'!E71</f>
        <v>-80093</v>
      </c>
      <c r="F71" s="565">
        <f>'Exh. No. BGM-3 4'!F71</f>
        <v>0</v>
      </c>
      <c r="G71" s="565">
        <f>'Exh. No. BGM-3 4'!G71</f>
        <v>0</v>
      </c>
      <c r="H71" s="565">
        <f>'Exh. No. BGM-3 4'!H71</f>
        <v>0</v>
      </c>
      <c r="I71" s="565">
        <f>'Exh. No. BGM-3 4'!I71</f>
        <v>0</v>
      </c>
      <c r="J71" s="565">
        <f>'Exh. No. BGM-3 4'!J71</f>
        <v>0</v>
      </c>
      <c r="K71" s="565">
        <f>'Exh. No. BGM-3 4'!K71</f>
        <v>0</v>
      </c>
      <c r="L71" s="565">
        <f>'Exh. No. BGM-3 4'!L71</f>
        <v>0</v>
      </c>
      <c r="M71" s="565">
        <f>'Exh. No. BGM-3 4'!M71</f>
        <v>0</v>
      </c>
      <c r="N71" s="565">
        <f>'Exh. No. BGM-3 4'!N71</f>
        <v>0</v>
      </c>
      <c r="O71" s="565">
        <f>'Exh. No. BGM-3 4'!O71</f>
        <v>0</v>
      </c>
      <c r="P71" s="565">
        <f>'Exh. No. BGM-3 4'!P71</f>
        <v>0</v>
      </c>
      <c r="Q71" s="565">
        <f>'Exh. No. BGM-3 4'!Q71</f>
        <v>0</v>
      </c>
      <c r="R71" s="565">
        <f>'Exh. No. BGM-3 4'!R71</f>
        <v>0</v>
      </c>
      <c r="S71" s="565">
        <f>'Exh. No. BGM-3 4'!S71</f>
        <v>0</v>
      </c>
      <c r="T71" s="565">
        <f>'Exh. No. BGM-3 4'!T71</f>
        <v>0</v>
      </c>
      <c r="U71" s="565">
        <f>'Exh. No. BGM-3 4'!U71</f>
        <v>0</v>
      </c>
      <c r="V71" s="565">
        <f>'Exh. No. BGM-3 4'!V71</f>
        <v>0</v>
      </c>
      <c r="W71" s="565">
        <f>'Exh. No. BGM-3 4'!W71</f>
        <v>0</v>
      </c>
      <c r="X71" s="565">
        <f>'Exh. No. BGM-3 4'!X71</f>
        <v>0</v>
      </c>
      <c r="Y71" s="565">
        <f>'Exh. No. BGM-3 4'!Y71</f>
        <v>0</v>
      </c>
      <c r="Z71" s="565">
        <f>'Exh. No. BGM-3 4'!Z71</f>
        <v>0</v>
      </c>
      <c r="AA71" s="565">
        <f>'Exh. No. BGM-3 4'!AD71</f>
        <v>0</v>
      </c>
      <c r="AB71" s="565">
        <f>'Exh. No. BGM-3 4'!AE71</f>
        <v>0</v>
      </c>
      <c r="AC71" s="565">
        <f>'Exh. No. BGM-3 4'!AF71</f>
        <v>0</v>
      </c>
      <c r="AD71" s="565">
        <f>'Exh. No. BGM-3 4'!AG71</f>
        <v>0</v>
      </c>
      <c r="AE71" s="565">
        <f>'Exh. No. BGM-3 4'!AH71</f>
        <v>0</v>
      </c>
      <c r="AF71" s="565">
        <f>'Exh. No. BGM-3 4'!AI71</f>
        <v>0</v>
      </c>
      <c r="AG71" s="565">
        <f>'Exh. No. BGM-3 4'!AJ71</f>
        <v>0</v>
      </c>
      <c r="AH71" s="565">
        <f>'Exh. No. BGM-3 4'!AK71</f>
        <v>0</v>
      </c>
      <c r="AI71" s="565">
        <f>'Exh. No. BGM-3 4'!AL71</f>
        <v>0</v>
      </c>
      <c r="AJ71" s="565">
        <f>'Exh. No. BGM-3 4'!AM71</f>
        <v>0</v>
      </c>
      <c r="AK71" s="565">
        <f>'Exh. No. BGM-3 4'!AN71</f>
        <v>0</v>
      </c>
      <c r="AL71" s="565">
        <f>'Exh. No. BGM-3 4'!AO71</f>
        <v>0</v>
      </c>
      <c r="AM71" s="565">
        <f>'Exh. No. BGM-3 4'!AP71</f>
        <v>0</v>
      </c>
      <c r="AN71" s="565">
        <f>'Exh. No. BGM-3 4'!AQ71</f>
        <v>0</v>
      </c>
      <c r="AO71" s="565">
        <f>'Exh. No. BGM-3 4'!AS71</f>
        <v>0</v>
      </c>
      <c r="AP71" s="565" t="e">
        <f>'Exh. No. BGM-3 4'!#REF!</f>
        <v>#REF!</v>
      </c>
    </row>
    <row r="72" spans="1:42" s="554" customFormat="1">
      <c r="A72" s="555">
        <f>'Exh. No. BGM-3 4'!A72</f>
        <v>43</v>
      </c>
      <c r="B72" s="554" t="str">
        <f>'Exh. No. BGM-3 4'!B72</f>
        <v>Total Accumulated Depreciation</v>
      </c>
      <c r="E72" s="586">
        <f>'Exh. No. BGM-3 4'!E72</f>
        <v>-893639</v>
      </c>
      <c r="F72" s="586">
        <f>'Exh. No. BGM-3 4'!F72</f>
        <v>0</v>
      </c>
      <c r="G72" s="586">
        <f>'Exh. No. BGM-3 4'!G72</f>
        <v>0</v>
      </c>
      <c r="H72" s="586">
        <f>'Exh. No. BGM-3 4'!H72</f>
        <v>0</v>
      </c>
      <c r="I72" s="586">
        <f>'Exh. No. BGM-3 4'!I72</f>
        <v>0</v>
      </c>
      <c r="J72" s="586">
        <f>'Exh. No. BGM-3 4'!J72</f>
        <v>0</v>
      </c>
      <c r="K72" s="586">
        <f>'Exh. No. BGM-3 4'!K72</f>
        <v>0</v>
      </c>
      <c r="L72" s="586">
        <f>'Exh. No. BGM-3 4'!L72</f>
        <v>0</v>
      </c>
      <c r="M72" s="586">
        <f>'Exh. No. BGM-3 4'!M72</f>
        <v>0</v>
      </c>
      <c r="N72" s="586">
        <f>'Exh. No. BGM-3 4'!N72</f>
        <v>0</v>
      </c>
      <c r="O72" s="586">
        <f>'Exh. No. BGM-3 4'!O72</f>
        <v>0</v>
      </c>
      <c r="P72" s="586">
        <f>'Exh. No. BGM-3 4'!P72</f>
        <v>0</v>
      </c>
      <c r="Q72" s="586">
        <f>'Exh. No. BGM-3 4'!Q72</f>
        <v>0</v>
      </c>
      <c r="R72" s="586">
        <f>'Exh. No. BGM-3 4'!R72</f>
        <v>0</v>
      </c>
      <c r="S72" s="586">
        <f>'Exh. No. BGM-3 4'!S72</f>
        <v>0</v>
      </c>
      <c r="T72" s="586">
        <f>'Exh. No. BGM-3 4'!T72</f>
        <v>0</v>
      </c>
      <c r="U72" s="586">
        <f>'Exh. No. BGM-3 4'!U72</f>
        <v>0</v>
      </c>
      <c r="V72" s="586">
        <f>'Exh. No. BGM-3 4'!V72</f>
        <v>0</v>
      </c>
      <c r="W72" s="586">
        <f>'Exh. No. BGM-3 4'!W72</f>
        <v>0</v>
      </c>
      <c r="X72" s="586">
        <f>'Exh. No. BGM-3 4'!X72</f>
        <v>0</v>
      </c>
      <c r="Y72" s="586">
        <f>'Exh. No. BGM-3 4'!Y72</f>
        <v>0</v>
      </c>
      <c r="Z72" s="586">
        <f>'Exh. No. BGM-3 4'!Z72</f>
        <v>0</v>
      </c>
      <c r="AA72" s="586">
        <f>'Exh. No. BGM-3 4'!AD72</f>
        <v>0</v>
      </c>
      <c r="AB72" s="586">
        <f>'Exh. No. BGM-3 4'!AE72</f>
        <v>0</v>
      </c>
      <c r="AC72" s="586">
        <f>'Exh. No. BGM-3 4'!AF72</f>
        <v>0</v>
      </c>
      <c r="AD72" s="586">
        <f>'Exh. No. BGM-3 4'!AG72</f>
        <v>0</v>
      </c>
      <c r="AE72" s="586">
        <f>'Exh. No. BGM-3 4'!AH72</f>
        <v>0</v>
      </c>
      <c r="AF72" s="586">
        <f>'Exh. No. BGM-3 4'!AI72</f>
        <v>0</v>
      </c>
      <c r="AG72" s="586">
        <f>'Exh. No. BGM-3 4'!AJ72</f>
        <v>0</v>
      </c>
      <c r="AH72" s="586">
        <f>'Exh. No. BGM-3 4'!AK72</f>
        <v>0</v>
      </c>
      <c r="AI72" s="586">
        <f>'Exh. No. BGM-3 4'!AL72</f>
        <v>0</v>
      </c>
      <c r="AJ72" s="586">
        <f>'Exh. No. BGM-3 4'!AM72</f>
        <v>-95</v>
      </c>
      <c r="AK72" s="586">
        <f>'Exh. No. BGM-3 4'!AN72</f>
        <v>0</v>
      </c>
      <c r="AL72" s="586">
        <f>'Exh. No. BGM-3 4'!AO72</f>
        <v>0</v>
      </c>
      <c r="AM72" s="586">
        <f>'Exh. No. BGM-3 4'!AP72</f>
        <v>0</v>
      </c>
      <c r="AN72" s="586">
        <f>'Exh. No. BGM-3 4'!AQ72</f>
        <v>0</v>
      </c>
      <c r="AO72" s="586">
        <f>'Exh. No. BGM-3 4'!AS72</f>
        <v>0</v>
      </c>
      <c r="AP72" s="586" t="e">
        <f>'Exh. No. BGM-3 4'!#REF!</f>
        <v>#REF!</v>
      </c>
    </row>
    <row r="73" spans="1:42" s="554" customFormat="1">
      <c r="A73" s="555">
        <f>'Exh. No. BGM-3 4'!A73</f>
        <v>44</v>
      </c>
      <c r="B73" s="554" t="str">
        <f>'Exh. No. BGM-3 4'!B73</f>
        <v xml:space="preserve">NET PLANT </v>
      </c>
      <c r="E73" s="586">
        <f>'Exh. No. BGM-3 4'!E73</f>
        <v>1729585</v>
      </c>
      <c r="F73" s="586">
        <f>'Exh. No. BGM-3 4'!F73</f>
        <v>0</v>
      </c>
      <c r="G73" s="586">
        <f>'Exh. No. BGM-3 4'!G73</f>
        <v>0</v>
      </c>
      <c r="H73" s="586">
        <f>'Exh. No. BGM-3 4'!H73</f>
        <v>0</v>
      </c>
      <c r="I73" s="586">
        <f>'Exh. No. BGM-3 4'!I73</f>
        <v>0</v>
      </c>
      <c r="J73" s="586">
        <f>'Exh. No. BGM-3 4'!J73</f>
        <v>0</v>
      </c>
      <c r="K73" s="586">
        <f>'Exh. No. BGM-3 4'!K73</f>
        <v>0</v>
      </c>
      <c r="L73" s="586">
        <f>'Exh. No. BGM-3 4'!L73</f>
        <v>0</v>
      </c>
      <c r="M73" s="586">
        <f>'Exh. No. BGM-3 4'!M73</f>
        <v>0</v>
      </c>
      <c r="N73" s="586">
        <f>'Exh. No. BGM-3 4'!N73</f>
        <v>0</v>
      </c>
      <c r="O73" s="586">
        <f>'Exh. No. BGM-3 4'!O73</f>
        <v>0</v>
      </c>
      <c r="P73" s="586">
        <f>'Exh. No. BGM-3 4'!P73</f>
        <v>0</v>
      </c>
      <c r="Q73" s="586">
        <f>'Exh. No. BGM-3 4'!Q73</f>
        <v>0</v>
      </c>
      <c r="R73" s="586">
        <f>'Exh. No. BGM-3 4'!R73</f>
        <v>0</v>
      </c>
      <c r="S73" s="586">
        <f>'Exh. No. BGM-3 4'!S73</f>
        <v>0</v>
      </c>
      <c r="T73" s="586">
        <f>'Exh. No. BGM-3 4'!T73</f>
        <v>0</v>
      </c>
      <c r="U73" s="586">
        <f>'Exh. No. BGM-3 4'!U73</f>
        <v>0</v>
      </c>
      <c r="V73" s="586">
        <f>'Exh. No. BGM-3 4'!V73</f>
        <v>0</v>
      </c>
      <c r="W73" s="586">
        <f>'Exh. No. BGM-3 4'!W73</f>
        <v>0</v>
      </c>
      <c r="X73" s="586">
        <f>'Exh. No. BGM-3 4'!X73</f>
        <v>0</v>
      </c>
      <c r="Y73" s="586">
        <f>'Exh. No. BGM-3 4'!Y73</f>
        <v>0</v>
      </c>
      <c r="Z73" s="586">
        <f>'Exh. No. BGM-3 4'!Z73</f>
        <v>0</v>
      </c>
      <c r="AA73" s="586">
        <f>'Exh. No. BGM-3 4'!AD73</f>
        <v>0</v>
      </c>
      <c r="AB73" s="586">
        <f>'Exh. No. BGM-3 4'!AE73</f>
        <v>0</v>
      </c>
      <c r="AC73" s="586">
        <f>'Exh. No. BGM-3 4'!AF73</f>
        <v>0</v>
      </c>
      <c r="AD73" s="586">
        <f>'Exh. No. BGM-3 4'!AG73</f>
        <v>0</v>
      </c>
      <c r="AE73" s="586">
        <f>'Exh. No. BGM-3 4'!AH73</f>
        <v>0</v>
      </c>
      <c r="AF73" s="586">
        <f>'Exh. No. BGM-3 4'!AI73</f>
        <v>0</v>
      </c>
      <c r="AG73" s="586">
        <f>'Exh. No. BGM-3 4'!AJ73</f>
        <v>0</v>
      </c>
      <c r="AH73" s="586">
        <f>'Exh. No. BGM-3 4'!AK73</f>
        <v>0</v>
      </c>
      <c r="AI73" s="586">
        <f>'Exh. No. BGM-3 4'!AL73</f>
        <v>0</v>
      </c>
      <c r="AJ73" s="586">
        <f>'Exh. No. BGM-3 4'!AM73</f>
        <v>6794</v>
      </c>
      <c r="AK73" s="586">
        <f>'Exh. No. BGM-3 4'!AN73</f>
        <v>0</v>
      </c>
      <c r="AL73" s="586">
        <f>'Exh. No. BGM-3 4'!AO73</f>
        <v>0</v>
      </c>
      <c r="AM73" s="586">
        <f>'Exh. No. BGM-3 4'!AP73</f>
        <v>0</v>
      </c>
      <c r="AN73" s="586">
        <f>'Exh. No. BGM-3 4'!AQ73</f>
        <v>0</v>
      </c>
      <c r="AO73" s="586">
        <f>'Exh. No. BGM-3 4'!AS73</f>
        <v>0</v>
      </c>
      <c r="AP73" s="586" t="e">
        <f>'Exh. No. BGM-3 4'!#REF!</f>
        <v>#REF!</v>
      </c>
    </row>
    <row r="74" spans="1:42" s="554" customFormat="1" ht="6.75" customHeight="1">
      <c r="A74" s="55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5"/>
      <c r="AL74" s="575"/>
      <c r="AM74" s="575"/>
      <c r="AN74" s="575"/>
      <c r="AO74" s="575"/>
      <c r="AP74" s="575"/>
    </row>
    <row r="75" spans="1:42" s="554" customFormat="1">
      <c r="A75" s="556">
        <f>'Exh. No. BGM-3 4'!A75</f>
        <v>45</v>
      </c>
      <c r="B75" s="554" t="str">
        <f>'Exh. No. BGM-3 4'!B75</f>
        <v xml:space="preserve">DEFERRED TAXES  </v>
      </c>
      <c r="E75" s="576">
        <f>'Exh. No. BGM-3 4'!E75</f>
        <v>-354707</v>
      </c>
      <c r="F75" s="577">
        <f>'Exh. No. BGM-3 4'!F75</f>
        <v>806</v>
      </c>
      <c r="G75" s="577">
        <f>'Exh. No. BGM-3 4'!G75</f>
        <v>0</v>
      </c>
      <c r="H75" s="577">
        <f>'Exh. No. BGM-3 4'!H75</f>
        <v>0</v>
      </c>
      <c r="I75" s="577">
        <f>'Exh. No. BGM-3 4'!I75</f>
        <v>0</v>
      </c>
      <c r="J75" s="577">
        <f>'Exh. No. BGM-3 4'!J75</f>
        <v>0</v>
      </c>
      <c r="K75" s="577">
        <f>'Exh. No. BGM-3 4'!K75</f>
        <v>0</v>
      </c>
      <c r="L75" s="577">
        <f>'Exh. No. BGM-3 4'!L75</f>
        <v>0</v>
      </c>
      <c r="M75" s="577">
        <f>'Exh. No. BGM-3 4'!M75</f>
        <v>0</v>
      </c>
      <c r="N75" s="577">
        <f>'Exh. No. BGM-3 4'!N75</f>
        <v>0</v>
      </c>
      <c r="O75" s="577">
        <f>'Exh. No. BGM-3 4'!O75</f>
        <v>0</v>
      </c>
      <c r="P75" s="577">
        <f>'Exh. No. BGM-3 4'!P75</f>
        <v>0</v>
      </c>
      <c r="Q75" s="577">
        <f>'Exh. No. BGM-3 4'!Q75</f>
        <v>0</v>
      </c>
      <c r="R75" s="577">
        <f>'Exh. No. BGM-3 4'!R75</f>
        <v>0</v>
      </c>
      <c r="S75" s="577">
        <f>'Exh. No. BGM-3 4'!S75</f>
        <v>0</v>
      </c>
      <c r="T75" s="577">
        <f>'Exh. No. BGM-3 4'!T75</f>
        <v>0</v>
      </c>
      <c r="U75" s="577">
        <f>'Exh. No. BGM-3 4'!U75</f>
        <v>0</v>
      </c>
      <c r="V75" s="577">
        <f>'Exh. No. BGM-3 4'!V75</f>
        <v>0</v>
      </c>
      <c r="W75" s="577">
        <f>'Exh. No. BGM-3 4'!W75</f>
        <v>0</v>
      </c>
      <c r="X75" s="577">
        <f>'Exh. No. BGM-3 4'!X75</f>
        <v>0</v>
      </c>
      <c r="Y75" s="577">
        <f>'Exh. No. BGM-3 4'!Y75</f>
        <v>0</v>
      </c>
      <c r="Z75" s="577">
        <f>'Exh. No. BGM-3 4'!Z75</f>
        <v>0</v>
      </c>
      <c r="AA75" s="577">
        <f>'Exh. No. BGM-3 4'!AD75</f>
        <v>0</v>
      </c>
      <c r="AB75" s="577">
        <f>'Exh. No. BGM-3 4'!AE75</f>
        <v>0</v>
      </c>
      <c r="AC75" s="577">
        <f>'Exh. No. BGM-3 4'!AF75</f>
        <v>0</v>
      </c>
      <c r="AD75" s="577">
        <f>'Exh. No. BGM-3 4'!AG75</f>
        <v>0</v>
      </c>
      <c r="AE75" s="577">
        <f>'Exh. No. BGM-3 4'!AH75</f>
        <v>0</v>
      </c>
      <c r="AF75" s="577">
        <f>'Exh. No. BGM-3 4'!AI75</f>
        <v>0</v>
      </c>
      <c r="AG75" s="577">
        <f>'Exh. No. BGM-3 4'!AJ75</f>
        <v>0</v>
      </c>
      <c r="AH75" s="577">
        <f>'Exh. No. BGM-3 4'!AK75</f>
        <v>0</v>
      </c>
      <c r="AI75" s="577">
        <f>'Exh. No. BGM-3 4'!AL75</f>
        <v>0</v>
      </c>
      <c r="AJ75" s="577">
        <f>'Exh. No. BGM-3 4'!AM75</f>
        <v>-1229</v>
      </c>
      <c r="AK75" s="577">
        <f>'Exh. No. BGM-3 4'!AN75</f>
        <v>0</v>
      </c>
      <c r="AL75" s="577">
        <f>'Exh. No. BGM-3 4'!AO75</f>
        <v>0</v>
      </c>
      <c r="AM75" s="577">
        <f>'Exh. No. BGM-3 4'!AP75</f>
        <v>0</v>
      </c>
      <c r="AN75" s="577">
        <f>'Exh. No. BGM-3 4'!AQ75</f>
        <v>0</v>
      </c>
      <c r="AO75" s="577">
        <f>'Exh. No. BGM-3 4'!AS75</f>
        <v>0</v>
      </c>
      <c r="AP75" s="577" t="e">
        <f>'Exh. No. BGM-3 4'!#REF!</f>
        <v>#REF!</v>
      </c>
    </row>
    <row r="76" spans="1:42" s="554" customFormat="1">
      <c r="A76" s="556">
        <f>'Exh. No. BGM-3 4'!A76</f>
        <v>46</v>
      </c>
      <c r="C76" s="554" t="str">
        <f>'Exh. No. BGM-3 4'!C76</f>
        <v>Net Plant After DFIT</v>
      </c>
      <c r="E76" s="575">
        <f>'Exh. No. BGM-3 4'!E76</f>
        <v>1374878</v>
      </c>
      <c r="F76" s="575">
        <f>'Exh. No. BGM-3 4'!F76</f>
        <v>806</v>
      </c>
      <c r="G76" s="575">
        <f>'Exh. No. BGM-3 4'!G76</f>
        <v>0</v>
      </c>
      <c r="H76" s="575">
        <f>'Exh. No. BGM-3 4'!H76</f>
        <v>0</v>
      </c>
      <c r="I76" s="575">
        <f>'Exh. No. BGM-3 4'!I76</f>
        <v>0</v>
      </c>
      <c r="J76" s="575">
        <f>'Exh. No. BGM-3 4'!J76</f>
        <v>0</v>
      </c>
      <c r="K76" s="575">
        <f>'Exh. No. BGM-3 4'!K76</f>
        <v>0</v>
      </c>
      <c r="L76" s="575">
        <f>'Exh. No. BGM-3 4'!L76</f>
        <v>0</v>
      </c>
      <c r="M76" s="575">
        <f>'Exh. No. BGM-3 4'!M76</f>
        <v>0</v>
      </c>
      <c r="N76" s="575">
        <f>'Exh. No. BGM-3 4'!N76</f>
        <v>0</v>
      </c>
      <c r="O76" s="575">
        <f>'Exh. No. BGM-3 4'!O76</f>
        <v>0</v>
      </c>
      <c r="P76" s="575">
        <f>'Exh. No. BGM-3 4'!P76</f>
        <v>0</v>
      </c>
      <c r="Q76" s="575">
        <f>'Exh. No. BGM-3 4'!Q76</f>
        <v>0</v>
      </c>
      <c r="R76" s="575">
        <f>'Exh. No. BGM-3 4'!R76</f>
        <v>0</v>
      </c>
      <c r="S76" s="575">
        <f>'Exh. No. BGM-3 4'!S76</f>
        <v>0</v>
      </c>
      <c r="T76" s="575">
        <f>'Exh. No. BGM-3 4'!T76</f>
        <v>0</v>
      </c>
      <c r="U76" s="575">
        <f>'Exh. No. BGM-3 4'!U76</f>
        <v>0</v>
      </c>
      <c r="V76" s="575">
        <f>'Exh. No. BGM-3 4'!V76</f>
        <v>0</v>
      </c>
      <c r="W76" s="575">
        <f>'Exh. No. BGM-3 4'!W76</f>
        <v>0</v>
      </c>
      <c r="X76" s="575">
        <f>'Exh. No. BGM-3 4'!X76</f>
        <v>0</v>
      </c>
      <c r="Y76" s="575">
        <f>'Exh. No. BGM-3 4'!Y76</f>
        <v>0</v>
      </c>
      <c r="Z76" s="575">
        <f>'Exh. No. BGM-3 4'!Z76</f>
        <v>0</v>
      </c>
      <c r="AA76" s="575">
        <f>'Exh. No. BGM-3 4'!AD76</f>
        <v>0</v>
      </c>
      <c r="AB76" s="575">
        <f>'Exh. No. BGM-3 4'!AE76</f>
        <v>0</v>
      </c>
      <c r="AC76" s="575">
        <f>'Exh. No. BGM-3 4'!AF76</f>
        <v>0</v>
      </c>
      <c r="AD76" s="575">
        <f>'Exh. No. BGM-3 4'!AG76</f>
        <v>0</v>
      </c>
      <c r="AE76" s="575">
        <f>'Exh. No. BGM-3 4'!AH76</f>
        <v>0</v>
      </c>
      <c r="AF76" s="575">
        <f>'Exh. No. BGM-3 4'!AI76</f>
        <v>0</v>
      </c>
      <c r="AG76" s="575">
        <f>'Exh. No. BGM-3 4'!AJ76</f>
        <v>0</v>
      </c>
      <c r="AH76" s="575">
        <f>'Exh. No. BGM-3 4'!AK76</f>
        <v>0</v>
      </c>
      <c r="AI76" s="575">
        <f>'Exh. No. BGM-3 4'!AL76</f>
        <v>0</v>
      </c>
      <c r="AJ76" s="575">
        <f>'Exh. No. BGM-3 4'!AM76</f>
        <v>5565</v>
      </c>
      <c r="AK76" s="575">
        <f>'Exh. No. BGM-3 4'!AN76</f>
        <v>0</v>
      </c>
      <c r="AL76" s="575">
        <f>'Exh. No. BGM-3 4'!AO76</f>
        <v>0</v>
      </c>
      <c r="AM76" s="575">
        <f>'Exh. No. BGM-3 4'!AP76</f>
        <v>0</v>
      </c>
      <c r="AN76" s="575">
        <f>'Exh. No. BGM-3 4'!AQ76</f>
        <v>0</v>
      </c>
      <c r="AO76" s="575">
        <f>'Exh. No. BGM-3 4'!AS76</f>
        <v>0</v>
      </c>
      <c r="AP76" s="575" t="e">
        <f>'Exh. No. BGM-3 4'!#REF!</f>
        <v>#REF!</v>
      </c>
    </row>
    <row r="77" spans="1:42" s="554" customFormat="1">
      <c r="A77" s="555">
        <f>'Exh. No. BGM-3 4'!A77</f>
        <v>47</v>
      </c>
      <c r="B77" s="554" t="str">
        <f>'Exh. No. BGM-3 4'!B77</f>
        <v>DEFERRED DEBITS AND CREDITS &amp; OTHER</v>
      </c>
      <c r="E77" s="575">
        <f>'Exh. No. BGM-3 4'!E77</f>
        <v>4568</v>
      </c>
      <c r="F77" s="565">
        <f>'Exh. No. BGM-3 4'!F77</f>
        <v>0</v>
      </c>
      <c r="G77" s="565">
        <f>'Exh. No. BGM-3 4'!G77</f>
        <v>0</v>
      </c>
      <c r="H77" s="565">
        <f>'Exh. No. BGM-3 4'!H77</f>
        <v>0</v>
      </c>
      <c r="I77" s="565">
        <f>'Exh. No. BGM-3 4'!I77</f>
        <v>0</v>
      </c>
      <c r="J77" s="565">
        <f>'Exh. No. BGM-3 4'!J77</f>
        <v>0</v>
      </c>
      <c r="K77" s="565">
        <f>'Exh. No. BGM-3 4'!K77</f>
        <v>0</v>
      </c>
      <c r="L77" s="565">
        <f>'Exh. No. BGM-3 4'!L77</f>
        <v>0</v>
      </c>
      <c r="M77" s="565">
        <f>'Exh. No. BGM-3 4'!M77</f>
        <v>0</v>
      </c>
      <c r="N77" s="565">
        <f>'Exh. No. BGM-3 4'!N77</f>
        <v>0</v>
      </c>
      <c r="O77" s="565">
        <f>'Exh. No. BGM-3 4'!O77</f>
        <v>0</v>
      </c>
      <c r="P77" s="565">
        <f>'Exh. No. BGM-3 4'!P77</f>
        <v>0</v>
      </c>
      <c r="Q77" s="565">
        <f>'Exh. No. BGM-3 4'!Q77</f>
        <v>0</v>
      </c>
      <c r="R77" s="565">
        <f>'Exh. No. BGM-3 4'!R77</f>
        <v>0</v>
      </c>
      <c r="S77" s="565">
        <f>'Exh. No. BGM-3 4'!S77</f>
        <v>0</v>
      </c>
      <c r="T77" s="565">
        <f>'Exh. No. BGM-3 4'!T77</f>
        <v>0</v>
      </c>
      <c r="U77" s="565">
        <f>'Exh. No. BGM-3 4'!U77</f>
        <v>0</v>
      </c>
      <c r="V77" s="565">
        <f>'Exh. No. BGM-3 4'!V77</f>
        <v>0</v>
      </c>
      <c r="W77" s="565">
        <f>'Exh. No. BGM-3 4'!W77</f>
        <v>0</v>
      </c>
      <c r="X77" s="565">
        <f>'Exh. No. BGM-3 4'!X77</f>
        <v>0</v>
      </c>
      <c r="Y77" s="565">
        <f>'Exh. No. BGM-3 4'!Y77</f>
        <v>0</v>
      </c>
      <c r="Z77" s="565">
        <f>'Exh. No. BGM-3 4'!Z77</f>
        <v>0</v>
      </c>
      <c r="AA77" s="565">
        <f>'Exh. No. BGM-3 4'!AD77</f>
        <v>0</v>
      </c>
      <c r="AB77" s="565">
        <f>'Exh. No. BGM-3 4'!AE77</f>
        <v>0</v>
      </c>
      <c r="AC77" s="565">
        <f>'Exh. No. BGM-3 4'!AF77</f>
        <v>0</v>
      </c>
      <c r="AD77" s="565">
        <f>'Exh. No. BGM-3 4'!AG77</f>
        <v>0</v>
      </c>
      <c r="AE77" s="565">
        <f>'Exh. No. BGM-3 4'!AH77</f>
        <v>0</v>
      </c>
      <c r="AF77" s="565">
        <f>'Exh. No. BGM-3 4'!AI77</f>
        <v>0</v>
      </c>
      <c r="AG77" s="565">
        <f>'Exh. No. BGM-3 4'!AJ77</f>
        <v>0</v>
      </c>
      <c r="AH77" s="565">
        <f>'Exh. No. BGM-3 4'!AK77</f>
        <v>0</v>
      </c>
      <c r="AI77" s="565">
        <f>'Exh. No. BGM-3 4'!AL77</f>
        <v>-5346</v>
      </c>
      <c r="AJ77" s="565">
        <f>'Exh. No. BGM-3 4'!AM77</f>
        <v>0</v>
      </c>
      <c r="AK77" s="565">
        <f>'Exh. No. BGM-3 4'!AN77</f>
        <v>0</v>
      </c>
      <c r="AL77" s="565">
        <f>'Exh. No. BGM-3 4'!AO77</f>
        <v>0</v>
      </c>
      <c r="AM77" s="565">
        <f>'Exh. No. BGM-3 4'!AP77</f>
        <v>0</v>
      </c>
      <c r="AN77" s="565">
        <f>'Exh. No. BGM-3 4'!AQ77</f>
        <v>0</v>
      </c>
      <c r="AO77" s="565">
        <f>'Exh. No. BGM-3 4'!AS77</f>
        <v>0</v>
      </c>
      <c r="AP77" s="565" t="e">
        <f>'Exh. No. BGM-3 4'!#REF!</f>
        <v>#REF!</v>
      </c>
    </row>
    <row r="78" spans="1:42" s="554" customFormat="1">
      <c r="A78" s="555">
        <f>'Exh. No. BGM-3 4'!A78</f>
        <v>48</v>
      </c>
      <c r="B78" s="554" t="str">
        <f>'Exh. No. BGM-3 4'!B78</f>
        <v xml:space="preserve">WORKING CAPITAL </v>
      </c>
      <c r="E78" s="575">
        <f>'Exh. No. BGM-3 4'!E78</f>
        <v>65480</v>
      </c>
      <c r="F78" s="577">
        <f>'Exh. No. BGM-3 4'!F78</f>
        <v>0</v>
      </c>
      <c r="G78" s="577">
        <f>'Exh. No. BGM-3 4'!G78</f>
        <v>0</v>
      </c>
      <c r="H78" s="577">
        <f>'Exh. No. BGM-3 4'!H78</f>
        <v>-3006</v>
      </c>
      <c r="I78" s="577">
        <f>'Exh. No. BGM-3 4'!I78</f>
        <v>0</v>
      </c>
      <c r="J78" s="577">
        <f>'Exh. No. BGM-3 4'!J78</f>
        <v>0</v>
      </c>
      <c r="K78" s="577">
        <f>'Exh. No. BGM-3 4'!K78</f>
        <v>0</v>
      </c>
      <c r="L78" s="577">
        <f>'Exh. No. BGM-3 4'!L78</f>
        <v>0</v>
      </c>
      <c r="M78" s="577">
        <f>'Exh. No. BGM-3 4'!M78</f>
        <v>0</v>
      </c>
      <c r="N78" s="577">
        <f>'Exh. No. BGM-3 4'!N78</f>
        <v>0</v>
      </c>
      <c r="O78" s="577">
        <f>'Exh. No. BGM-3 4'!O78</f>
        <v>0</v>
      </c>
      <c r="P78" s="577">
        <f>'Exh. No. BGM-3 4'!P78</f>
        <v>0</v>
      </c>
      <c r="Q78" s="577">
        <f>'Exh. No. BGM-3 4'!Q78</f>
        <v>0</v>
      </c>
      <c r="R78" s="577">
        <f>'Exh. No. BGM-3 4'!R78</f>
        <v>0</v>
      </c>
      <c r="S78" s="577">
        <f>'Exh. No. BGM-3 4'!S78</f>
        <v>0</v>
      </c>
      <c r="T78" s="577">
        <f>'Exh. No. BGM-3 4'!T78</f>
        <v>0</v>
      </c>
      <c r="U78" s="577">
        <f>'Exh. No. BGM-3 4'!U78</f>
        <v>0</v>
      </c>
      <c r="V78" s="577">
        <f>'Exh. No. BGM-3 4'!V78</f>
        <v>0</v>
      </c>
      <c r="W78" s="577">
        <f>'Exh. No. BGM-3 4'!W78</f>
        <v>0</v>
      </c>
      <c r="X78" s="577">
        <f>'Exh. No. BGM-3 4'!X78</f>
        <v>0</v>
      </c>
      <c r="Y78" s="577">
        <f>'Exh. No. BGM-3 4'!Y78</f>
        <v>0</v>
      </c>
      <c r="Z78" s="577">
        <f>'Exh. No. BGM-3 4'!Z78</f>
        <v>0</v>
      </c>
      <c r="AA78" s="577">
        <f>'Exh. No. BGM-3 4'!AD78</f>
        <v>0</v>
      </c>
      <c r="AB78" s="577">
        <f>'Exh. No. BGM-3 4'!AE78</f>
        <v>0</v>
      </c>
      <c r="AC78" s="577">
        <f>'Exh. No. BGM-3 4'!AF78</f>
        <v>0</v>
      </c>
      <c r="AD78" s="577">
        <f>'Exh. No. BGM-3 4'!AG78</f>
        <v>0</v>
      </c>
      <c r="AE78" s="577">
        <f>'Exh. No. BGM-3 4'!AH78</f>
        <v>0</v>
      </c>
      <c r="AF78" s="577">
        <f>'Exh. No. BGM-3 4'!AI78</f>
        <v>0</v>
      </c>
      <c r="AG78" s="577">
        <f>'Exh. No. BGM-3 4'!AJ78</f>
        <v>0</v>
      </c>
      <c r="AH78" s="577">
        <f>'Exh. No. BGM-3 4'!AK78</f>
        <v>0</v>
      </c>
      <c r="AI78" s="577">
        <f>'Exh. No. BGM-3 4'!AL78</f>
        <v>0</v>
      </c>
      <c r="AJ78" s="577">
        <f>'Exh. No. BGM-3 4'!AM78</f>
        <v>0</v>
      </c>
      <c r="AK78" s="577">
        <f>'Exh. No. BGM-3 4'!AN78</f>
        <v>0</v>
      </c>
      <c r="AL78" s="577">
        <f>'Exh. No. BGM-3 4'!AO78</f>
        <v>0</v>
      </c>
      <c r="AM78" s="577">
        <f>'Exh. No. BGM-3 4'!AP78</f>
        <v>0</v>
      </c>
      <c r="AN78" s="577">
        <f>'Exh. No. BGM-3 4'!AQ78</f>
        <v>0</v>
      </c>
      <c r="AO78" s="577">
        <f>'Exh. No. BGM-3 4'!AS78</f>
        <v>0</v>
      </c>
      <c r="AP78" s="577" t="e">
        <f>'Exh. No. BGM-3 4'!#REF!</f>
        <v>#REF!</v>
      </c>
    </row>
    <row r="79" spans="1:42" s="554" customFormat="1" ht="6.75" customHeight="1">
      <c r="A79" s="556"/>
      <c r="E79" s="586">
        <f>'Exh. No. BGM-3 4'!E79</f>
        <v>0</v>
      </c>
      <c r="F79" s="565">
        <f>'Exh. No. BGM-3 4'!F79</f>
        <v>0</v>
      </c>
      <c r="G79" s="565">
        <f>'Exh. No. BGM-3 4'!G79</f>
        <v>0</v>
      </c>
      <c r="H79" s="565">
        <f>'Exh. No. BGM-3 4'!H79</f>
        <v>0</v>
      </c>
      <c r="I79" s="565">
        <f>'Exh. No. BGM-3 4'!I79</f>
        <v>0</v>
      </c>
      <c r="J79" s="565">
        <f>'Exh. No. BGM-3 4'!J79</f>
        <v>0</v>
      </c>
      <c r="K79" s="565">
        <f>'Exh. No. BGM-3 4'!K79</f>
        <v>0</v>
      </c>
      <c r="L79" s="565">
        <f>'Exh. No. BGM-3 4'!L79</f>
        <v>0</v>
      </c>
      <c r="M79" s="565">
        <f>'Exh. No. BGM-3 4'!M79</f>
        <v>0</v>
      </c>
      <c r="N79" s="565">
        <f>'Exh. No. BGM-3 4'!N79</f>
        <v>0</v>
      </c>
      <c r="O79" s="565">
        <f>'Exh. No. BGM-3 4'!O79</f>
        <v>0</v>
      </c>
      <c r="P79" s="565">
        <f>'Exh. No. BGM-3 4'!P79</f>
        <v>0</v>
      </c>
      <c r="Q79" s="565">
        <f>'Exh. No. BGM-3 4'!Q79</f>
        <v>0</v>
      </c>
      <c r="R79" s="565">
        <f>'Exh. No. BGM-3 4'!R79</f>
        <v>0</v>
      </c>
      <c r="S79" s="565">
        <f>'Exh. No. BGM-3 4'!S79</f>
        <v>0</v>
      </c>
      <c r="T79" s="565">
        <f>'Exh. No. BGM-3 4'!T79</f>
        <v>0</v>
      </c>
      <c r="U79" s="565">
        <f>'Exh. No. BGM-3 4'!U79</f>
        <v>0</v>
      </c>
      <c r="V79" s="565">
        <f>'Exh. No. BGM-3 4'!V79</f>
        <v>0</v>
      </c>
      <c r="W79" s="565">
        <f>'Exh. No. BGM-3 4'!W79</f>
        <v>0</v>
      </c>
      <c r="X79" s="565">
        <f>'Exh. No. BGM-3 4'!X79</f>
        <v>0</v>
      </c>
      <c r="Y79" s="565">
        <f>'Exh. No. BGM-3 4'!Y79</f>
        <v>0</v>
      </c>
      <c r="Z79" s="565">
        <f>'Exh. No. BGM-3 4'!Z79</f>
        <v>0</v>
      </c>
      <c r="AA79" s="565">
        <f>'Exh. No. BGM-3 4'!AD79</f>
        <v>0</v>
      </c>
      <c r="AB79" s="565">
        <f>'Exh. No. BGM-3 4'!AE79</f>
        <v>0</v>
      </c>
      <c r="AC79" s="565">
        <f>'Exh. No. BGM-3 4'!AF79</f>
        <v>0</v>
      </c>
      <c r="AD79" s="565">
        <f>'Exh. No. BGM-3 4'!AG79</f>
        <v>0</v>
      </c>
      <c r="AE79" s="565">
        <f>'Exh. No. BGM-3 4'!AH79</f>
        <v>0</v>
      </c>
      <c r="AF79" s="565">
        <f>'Exh. No. BGM-3 4'!AI79</f>
        <v>0</v>
      </c>
      <c r="AG79" s="565">
        <f>'Exh. No. BGM-3 4'!AJ79</f>
        <v>0</v>
      </c>
      <c r="AH79" s="565">
        <f>'Exh. No. BGM-3 4'!AK79</f>
        <v>0</v>
      </c>
      <c r="AI79" s="565">
        <f>'Exh. No. BGM-3 4'!AL79</f>
        <v>0</v>
      </c>
      <c r="AJ79" s="565">
        <f>'Exh. No. BGM-3 4'!AM79</f>
        <v>0</v>
      </c>
      <c r="AK79" s="565">
        <f>'Exh. No. BGM-3 4'!AN79</f>
        <v>0</v>
      </c>
      <c r="AL79" s="565">
        <f>'Exh. No. BGM-3 4'!AO79</f>
        <v>0</v>
      </c>
      <c r="AM79" s="565">
        <f>'Exh. No. BGM-3 4'!AP79</f>
        <v>0</v>
      </c>
      <c r="AN79" s="565">
        <f>'Exh. No. BGM-3 4'!AQ79</f>
        <v>0</v>
      </c>
      <c r="AO79" s="565">
        <f>'Exh. No. BGM-3 4'!AS79</f>
        <v>0</v>
      </c>
      <c r="AP79" s="565" t="e">
        <f>'Exh. No. BGM-3 4'!#REF!</f>
        <v>#REF!</v>
      </c>
    </row>
    <row r="80" spans="1:42" s="553" customFormat="1" ht="12.75" thickBot="1">
      <c r="A80" s="552">
        <f>'Exh. No. BGM-3 4'!A80</f>
        <v>49</v>
      </c>
      <c r="B80" s="553" t="str">
        <f>'Exh. No. BGM-3 4'!B80</f>
        <v xml:space="preserve">TOTAL RATE BASE  </v>
      </c>
      <c r="E80" s="588">
        <f>'Exh. No. BGM-3 4'!E80</f>
        <v>1444926</v>
      </c>
      <c r="F80" s="588">
        <f>'Exh. No. BGM-3 4'!F80</f>
        <v>806</v>
      </c>
      <c r="G80" s="588">
        <f>'Exh. No. BGM-3 4'!G80</f>
        <v>0</v>
      </c>
      <c r="H80" s="588">
        <f>'Exh. No. BGM-3 4'!H80</f>
        <v>-3006</v>
      </c>
      <c r="I80" s="588">
        <f>'Exh. No. BGM-3 4'!I80</f>
        <v>0</v>
      </c>
      <c r="J80" s="588">
        <f>'Exh. No. BGM-3 4'!J80</f>
        <v>0</v>
      </c>
      <c r="K80" s="588">
        <f>'Exh. No. BGM-3 4'!K80</f>
        <v>0</v>
      </c>
      <c r="L80" s="588">
        <f>'Exh. No. BGM-3 4'!L80</f>
        <v>0</v>
      </c>
      <c r="M80" s="588">
        <f>'Exh. No. BGM-3 4'!M80</f>
        <v>0</v>
      </c>
      <c r="N80" s="588">
        <f>'Exh. No. BGM-3 4'!N80</f>
        <v>0</v>
      </c>
      <c r="O80" s="588">
        <f>'Exh. No. BGM-3 4'!O80</f>
        <v>0</v>
      </c>
      <c r="P80" s="588">
        <f>'Exh. No. BGM-3 4'!P80</f>
        <v>0</v>
      </c>
      <c r="Q80" s="588">
        <f>'Exh. No. BGM-3 4'!Q80</f>
        <v>0</v>
      </c>
      <c r="R80" s="588">
        <f>'Exh. No. BGM-3 4'!R80</f>
        <v>0</v>
      </c>
      <c r="S80" s="588">
        <f>'Exh. No. BGM-3 4'!S80</f>
        <v>0</v>
      </c>
      <c r="T80" s="588">
        <f>'Exh. No. BGM-3 4'!T80</f>
        <v>0</v>
      </c>
      <c r="U80" s="588">
        <f>'Exh. No. BGM-3 4'!U80</f>
        <v>0</v>
      </c>
      <c r="V80" s="588">
        <f>'Exh. No. BGM-3 4'!V80</f>
        <v>0</v>
      </c>
      <c r="W80" s="588">
        <f>'Exh. No. BGM-3 4'!W80</f>
        <v>0</v>
      </c>
      <c r="X80" s="588">
        <f>'Exh. No. BGM-3 4'!X80</f>
        <v>0</v>
      </c>
      <c r="Y80" s="588">
        <f>'Exh. No. BGM-3 4'!Y80</f>
        <v>0</v>
      </c>
      <c r="Z80" s="588">
        <f>'Exh. No. BGM-3 4'!Z80</f>
        <v>0</v>
      </c>
      <c r="AA80" s="588">
        <f>'Exh. No. BGM-3 4'!AD80</f>
        <v>0</v>
      </c>
      <c r="AB80" s="588">
        <f>'Exh. No. BGM-3 4'!AE80</f>
        <v>0</v>
      </c>
      <c r="AC80" s="588">
        <f>'Exh. No. BGM-3 4'!AF80</f>
        <v>0</v>
      </c>
      <c r="AD80" s="588">
        <f>'Exh. No. BGM-3 4'!AG80</f>
        <v>0</v>
      </c>
      <c r="AE80" s="588">
        <f>'Exh. No. BGM-3 4'!AH80</f>
        <v>0</v>
      </c>
      <c r="AF80" s="588">
        <f>'Exh. No. BGM-3 4'!AI80</f>
        <v>0</v>
      </c>
      <c r="AG80" s="588">
        <f>'Exh. No. BGM-3 4'!AJ80</f>
        <v>0</v>
      </c>
      <c r="AH80" s="588">
        <f>'Exh. No. BGM-3 4'!AK80</f>
        <v>0</v>
      </c>
      <c r="AI80" s="588">
        <f>'Exh. No. BGM-3 4'!AL80</f>
        <v>-5346</v>
      </c>
      <c r="AJ80" s="588">
        <f>'Exh. No. BGM-3 4'!AM80</f>
        <v>5565</v>
      </c>
      <c r="AK80" s="588">
        <f>'Exh. No. BGM-3 4'!AN80</f>
        <v>0</v>
      </c>
      <c r="AL80" s="588">
        <f>'Exh. No. BGM-3 4'!AO80</f>
        <v>0</v>
      </c>
      <c r="AM80" s="588">
        <f>'Exh. No. BGM-3 4'!AP80</f>
        <v>0</v>
      </c>
      <c r="AN80" s="588">
        <f>'Exh. No. BGM-3 4'!AQ80</f>
        <v>0</v>
      </c>
      <c r="AO80" s="588">
        <f>'Exh. No. BGM-3 4'!AS80</f>
        <v>0</v>
      </c>
      <c r="AP80" s="588" t="e">
        <f>'Exh. No. BGM-3 4'!#REF!</f>
        <v>#REF!</v>
      </c>
    </row>
    <row r="81" spans="4:5" ht="12.75" thickTop="1">
      <c r="D81" s="558"/>
      <c r="E81" s="565"/>
    </row>
    <row r="82" spans="4:5">
      <c r="E82" s="565"/>
    </row>
  </sheetData>
  <sheetProtection formatCells="0" formatColumns="0" formatRows="0" insertColumns="0" insertRows="0" insertHyperlinks="0" deleteColumns="0" deleteRows="0" sort="0" autoFilter="0" pivotTables="0"/>
  <mergeCells count="1">
    <mergeCell ref="Z3:Z6"/>
  </mergeCells>
  <pageMargins left="1.25" right="0.51" top="0.4" bottom="0.5" header="0.27" footer="0.5"/>
  <pageSetup scale="83" firstPageNumber="4" fitToWidth="3" orientation="portrait" r:id="rId1"/>
  <headerFooter scaleWithDoc="0" alignWithMargins="0"/>
  <colBreaks count="37" manualBreakCount="37">
    <brk id="5" min="1" max="79" man="1"/>
    <brk id="6" min="1" max="79" man="1"/>
    <brk id="7" min="1" max="79"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XFD479"/>
  <sheetViews>
    <sheetView zoomScaleNormal="100" workbookViewId="0"/>
  </sheetViews>
  <sheetFormatPr defaultColWidth="12.42578125" defaultRowHeight="12"/>
  <cols>
    <col min="1" max="1" width="7.85546875" style="331" customWidth="1"/>
    <col min="2" max="2" width="26.140625" style="330" customWidth="1"/>
    <col min="3" max="3" width="12.42578125" style="330" customWidth="1"/>
    <col min="4" max="4" width="5.5703125" style="330" bestFit="1" customWidth="1"/>
    <col min="5" max="5" width="14.7109375" style="330" customWidth="1"/>
    <col min="6" max="8" width="12.42578125" style="330" customWidth="1"/>
    <col min="9" max="9" width="14.7109375" style="330" hidden="1" customWidth="1"/>
    <col min="10" max="11" width="12.42578125" style="330" hidden="1" customWidth="1"/>
    <col min="12" max="16384" width="12.42578125" style="330"/>
  </cols>
  <sheetData>
    <row r="1" spans="1:11">
      <c r="A1" s="358" t="s">
        <v>116</v>
      </c>
      <c r="B1" s="359"/>
      <c r="C1" s="358"/>
    </row>
    <row r="2" spans="1:11">
      <c r="A2" s="358" t="s">
        <v>86</v>
      </c>
      <c r="B2" s="359"/>
      <c r="C2" s="358"/>
      <c r="I2" s="358"/>
      <c r="J2" s="331" t="s">
        <v>141</v>
      </c>
      <c r="K2" s="358"/>
    </row>
    <row r="3" spans="1:11">
      <c r="A3" s="359" t="str">
        <f>'Exh. No. BGM-3 4'!A5</f>
        <v>TWELVE MONTHS ENDED DECEMBER 31, 2016</v>
      </c>
      <c r="B3" s="359"/>
      <c r="C3" s="358"/>
      <c r="I3" s="358" t="s">
        <v>142</v>
      </c>
      <c r="J3" s="358"/>
      <c r="K3" s="358"/>
    </row>
    <row r="4" spans="1:11">
      <c r="A4" s="358" t="s">
        <v>0</v>
      </c>
      <c r="B4" s="359"/>
      <c r="C4" s="358"/>
      <c r="F4" s="489"/>
      <c r="I4" s="357" t="s">
        <v>89</v>
      </c>
      <c r="J4" s="357"/>
      <c r="K4" s="356"/>
    </row>
    <row r="5" spans="1:11">
      <c r="A5" s="358"/>
      <c r="B5" s="359"/>
      <c r="C5" s="358"/>
      <c r="I5" s="355"/>
      <c r="J5" s="355"/>
      <c r="K5" s="354"/>
    </row>
    <row r="6" spans="1:11">
      <c r="A6" s="358"/>
      <c r="B6" s="359"/>
      <c r="C6" s="358"/>
      <c r="E6" s="358" t="s">
        <v>87</v>
      </c>
      <c r="F6" s="358"/>
      <c r="G6" s="358"/>
      <c r="I6" s="355"/>
      <c r="J6" s="355"/>
      <c r="K6" s="354"/>
    </row>
    <row r="7" spans="1:11">
      <c r="A7" s="358"/>
      <c r="B7" s="359"/>
      <c r="C7" s="358"/>
      <c r="E7" s="358" t="s">
        <v>88</v>
      </c>
      <c r="F7" s="358"/>
      <c r="G7" s="358"/>
      <c r="I7" s="355"/>
      <c r="J7" s="355"/>
      <c r="K7" s="354"/>
    </row>
    <row r="8" spans="1:11">
      <c r="A8" s="358"/>
      <c r="B8" s="359"/>
      <c r="C8" s="358"/>
      <c r="E8" s="357" t="s">
        <v>89</v>
      </c>
      <c r="F8" s="357"/>
      <c r="G8" s="356"/>
      <c r="I8" s="355"/>
      <c r="J8" s="355"/>
      <c r="K8" s="354"/>
    </row>
    <row r="9" spans="1:11">
      <c r="A9" s="331" t="s">
        <v>8</v>
      </c>
    </row>
    <row r="10" spans="1:11" s="331" customFormat="1">
      <c r="A10" s="331" t="s">
        <v>90</v>
      </c>
      <c r="B10" s="353" t="s">
        <v>22</v>
      </c>
      <c r="C10" s="353"/>
      <c r="E10" s="353" t="s">
        <v>91</v>
      </c>
      <c r="F10" s="353" t="s">
        <v>92</v>
      </c>
      <c r="G10" s="353" t="s">
        <v>75</v>
      </c>
      <c r="H10" s="352" t="s">
        <v>93</v>
      </c>
      <c r="I10" s="353" t="s">
        <v>91</v>
      </c>
      <c r="J10" s="353" t="s">
        <v>92</v>
      </c>
      <c r="K10" s="353"/>
    </row>
    <row r="11" spans="1:11" s="331" customFormat="1" ht="5.25" customHeight="1">
      <c r="B11" s="427"/>
      <c r="C11" s="427"/>
      <c r="E11" s="427"/>
      <c r="F11" s="427"/>
      <c r="G11" s="427"/>
      <c r="H11" s="352"/>
      <c r="I11" s="427"/>
      <c r="J11" s="427"/>
      <c r="K11" s="427"/>
    </row>
    <row r="12" spans="1:11" s="331" customFormat="1" ht="5.25" customHeight="1">
      <c r="B12" s="427"/>
      <c r="C12" s="427"/>
      <c r="E12" s="427"/>
      <c r="F12" s="427"/>
      <c r="G12" s="427"/>
      <c r="H12" s="352"/>
      <c r="I12" s="427"/>
      <c r="J12" s="427"/>
      <c r="K12" s="427"/>
    </row>
    <row r="13" spans="1:11">
      <c r="B13" s="333" t="s">
        <v>40</v>
      </c>
    </row>
    <row r="14" spans="1:11" s="337" customFormat="1">
      <c r="A14" s="340">
        <v>1</v>
      </c>
      <c r="B14" s="339" t="s">
        <v>41</v>
      </c>
      <c r="E14" s="346">
        <f>F14+G14</f>
        <v>516333</v>
      </c>
      <c r="F14" s="346">
        <f>SUM(F85:F88)+F90</f>
        <v>516333</v>
      </c>
      <c r="G14" s="346">
        <f>SUM(G85:G89)</f>
        <v>0</v>
      </c>
      <c r="H14" s="337" t="str">
        <f t="shared" ref="H14:H19" si="0">IF(E14=F14+G14," ","ERROR")</f>
        <v xml:space="preserve"> </v>
      </c>
      <c r="I14" s="346" t="e">
        <f>J14+K14</f>
        <v>#REF!</v>
      </c>
      <c r="J14" s="346" t="e">
        <f>#REF!</f>
        <v>#REF!</v>
      </c>
      <c r="K14" s="346"/>
    </row>
    <row r="15" spans="1:11">
      <c r="A15" s="331">
        <v>2</v>
      </c>
      <c r="B15" s="333" t="s">
        <v>42</v>
      </c>
      <c r="E15" s="342">
        <f>F15+G15</f>
        <v>946</v>
      </c>
      <c r="F15" s="342">
        <f>SUM(F89)</f>
        <v>946</v>
      </c>
      <c r="G15" s="342">
        <f>SUM(G90)</f>
        <v>0</v>
      </c>
      <c r="H15" s="337" t="str">
        <f t="shared" si="0"/>
        <v xml:space="preserve"> </v>
      </c>
      <c r="I15" s="342" t="e">
        <f>J15+K15</f>
        <v>#REF!</v>
      </c>
      <c r="J15" s="342" t="e">
        <f>#REF!</f>
        <v>#REF!</v>
      </c>
      <c r="K15" s="342"/>
    </row>
    <row r="16" spans="1:11">
      <c r="A16" s="331">
        <v>3</v>
      </c>
      <c r="B16" s="333" t="s">
        <v>94</v>
      </c>
      <c r="E16" s="342">
        <f>F16+G16</f>
        <v>78098</v>
      </c>
      <c r="F16" s="342">
        <f>SUM(F93)</f>
        <v>78098</v>
      </c>
      <c r="G16" s="342">
        <f>SUM(G93)</f>
        <v>0</v>
      </c>
      <c r="H16" s="337" t="str">
        <f t="shared" si="0"/>
        <v xml:space="preserve"> </v>
      </c>
      <c r="I16" s="342" t="e">
        <f>J16+K16</f>
        <v>#REF!</v>
      </c>
      <c r="J16" s="342" t="e">
        <f>#REF!</f>
        <v>#REF!</v>
      </c>
      <c r="K16" s="342"/>
    </row>
    <row r="17" spans="1:11">
      <c r="A17" s="331">
        <v>4</v>
      </c>
      <c r="B17" s="333" t="s">
        <v>95</v>
      </c>
      <c r="E17" s="350">
        <f>E14+E15+E16</f>
        <v>595377</v>
      </c>
      <c r="F17" s="350">
        <f>F14+F15+F16</f>
        <v>595377</v>
      </c>
      <c r="G17" s="350">
        <f>G14+G15+G16</f>
        <v>0</v>
      </c>
      <c r="H17" s="337" t="str">
        <f t="shared" si="0"/>
        <v xml:space="preserve"> </v>
      </c>
      <c r="I17" s="350" t="e">
        <f>I14+I15+I16</f>
        <v>#REF!</v>
      </c>
      <c r="J17" s="350" t="e">
        <f>J14+J15+J16</f>
        <v>#REF!</v>
      </c>
      <c r="K17" s="350"/>
    </row>
    <row r="18" spans="1:11">
      <c r="A18" s="331">
        <v>5</v>
      </c>
      <c r="B18" s="333" t="s">
        <v>45</v>
      </c>
      <c r="E18" s="351">
        <f>F18+G18</f>
        <v>81735</v>
      </c>
      <c r="F18" s="342">
        <f>SUM(F97:F101)+1</f>
        <v>81735</v>
      </c>
      <c r="G18" s="342">
        <f>SUM(G98:G101)</f>
        <v>0</v>
      </c>
      <c r="H18" s="337" t="str">
        <f t="shared" si="0"/>
        <v xml:space="preserve"> </v>
      </c>
      <c r="I18" s="351" t="e">
        <f>J18+K18</f>
        <v>#REF!</v>
      </c>
      <c r="J18" s="342" t="e">
        <f>#REF!</f>
        <v>#REF!</v>
      </c>
      <c r="K18" s="342"/>
    </row>
    <row r="19" spans="1:11">
      <c r="A19" s="331">
        <v>6</v>
      </c>
      <c r="B19" s="333" t="s">
        <v>96</v>
      </c>
      <c r="E19" s="350">
        <f>E17+E18</f>
        <v>677112</v>
      </c>
      <c r="F19" s="350">
        <f>F17+F18</f>
        <v>677112</v>
      </c>
      <c r="G19" s="350">
        <f>G17+G18</f>
        <v>0</v>
      </c>
      <c r="H19" s="337" t="str">
        <f t="shared" si="0"/>
        <v xml:space="preserve"> </v>
      </c>
      <c r="I19" s="350" t="e">
        <f>I17+I18</f>
        <v>#REF!</v>
      </c>
      <c r="J19" s="350" t="e">
        <f>J17+J18</f>
        <v>#REF!</v>
      </c>
      <c r="K19" s="350"/>
    </row>
    <row r="20" spans="1:11">
      <c r="E20" s="344"/>
      <c r="F20" s="344"/>
      <c r="G20" s="344"/>
      <c r="H20" s="337"/>
      <c r="I20" s="344"/>
      <c r="J20" s="344"/>
      <c r="K20" s="344"/>
    </row>
    <row r="21" spans="1:11">
      <c r="B21" s="333" t="s">
        <v>47</v>
      </c>
      <c r="E21" s="344"/>
      <c r="F21" s="344"/>
      <c r="G21" s="344"/>
      <c r="H21" s="337"/>
      <c r="I21" s="344"/>
      <c r="J21" s="344"/>
      <c r="K21" s="344"/>
    </row>
    <row r="22" spans="1:11">
      <c r="B22" s="333" t="s">
        <v>48</v>
      </c>
      <c r="E22" s="344"/>
      <c r="F22" s="344"/>
      <c r="G22" s="344"/>
      <c r="H22" s="337"/>
      <c r="I22" s="344"/>
      <c r="J22" s="344"/>
      <c r="K22" s="344"/>
    </row>
    <row r="23" spans="1:11">
      <c r="A23" s="331">
        <v>7</v>
      </c>
      <c r="B23" s="333" t="s">
        <v>97</v>
      </c>
      <c r="E23" s="342">
        <f>F23+G23</f>
        <v>184672</v>
      </c>
      <c r="F23" s="342">
        <f>SUM(F161-F157+F182)</f>
        <v>184672</v>
      </c>
      <c r="G23" s="342">
        <f>SUM(G161-G157+G182)</f>
        <v>0</v>
      </c>
      <c r="H23" s="337" t="str">
        <f>IF(E23=F23+G23," ","ERROR")</f>
        <v xml:space="preserve"> </v>
      </c>
      <c r="I23" s="342" t="e">
        <f>J23+K23</f>
        <v>#REF!</v>
      </c>
      <c r="J23" s="342" t="e">
        <f>#REF!+#REF!+#REF!+#REF!+#REF!</f>
        <v>#REF!</v>
      </c>
      <c r="K23" s="342"/>
    </row>
    <row r="24" spans="1:11">
      <c r="A24" s="331">
        <v>8</v>
      </c>
      <c r="B24" s="333" t="s">
        <v>98</v>
      </c>
      <c r="E24" s="342">
        <f>F24+G24</f>
        <v>96772</v>
      </c>
      <c r="F24" s="342">
        <f>SUM(F157)</f>
        <v>96772</v>
      </c>
      <c r="G24" s="342">
        <f>SUM(G157)</f>
        <v>0</v>
      </c>
      <c r="H24" s="337" t="str">
        <f>IF(E24=F24+G24," ","ERROR")</f>
        <v xml:space="preserve"> </v>
      </c>
      <c r="I24" s="342" t="e">
        <f>J24+K24</f>
        <v>#REF!</v>
      </c>
      <c r="J24" s="342" t="e">
        <f>#REF!</f>
        <v>#REF!</v>
      </c>
      <c r="K24" s="342"/>
    </row>
    <row r="25" spans="1:11">
      <c r="A25" s="331">
        <v>9</v>
      </c>
      <c r="B25" s="333" t="s">
        <v>588</v>
      </c>
      <c r="E25" s="342">
        <f>F25+G25</f>
        <v>26677</v>
      </c>
      <c r="F25" s="342">
        <f>SUM(F184:F187)</f>
        <v>26677</v>
      </c>
      <c r="G25" s="342">
        <f>SUM(G184:G186)</f>
        <v>0</v>
      </c>
      <c r="H25" s="337" t="str">
        <f>IF(E25=F25+G25," ","ERROR")</f>
        <v xml:space="preserve"> </v>
      </c>
      <c r="I25" s="342" t="e">
        <f>J25+K25</f>
        <v>#REF!</v>
      </c>
      <c r="J25" s="342" t="e">
        <f>#REF!</f>
        <v>#REF!</v>
      </c>
      <c r="K25" s="342"/>
    </row>
    <row r="26" spans="1:11">
      <c r="A26" s="331">
        <v>10</v>
      </c>
      <c r="B26" s="333" t="s">
        <v>587</v>
      </c>
      <c r="E26" s="342">
        <f>F26+G26</f>
        <v>4312</v>
      </c>
      <c r="F26" s="342">
        <f>SUM(F188:F219)</f>
        <v>4310</v>
      </c>
      <c r="G26" s="342">
        <f>SUM(G188:G218)</f>
        <v>2</v>
      </c>
      <c r="H26" s="337"/>
      <c r="I26" s="342"/>
      <c r="J26" s="342"/>
      <c r="K26" s="342"/>
    </row>
    <row r="27" spans="1:11">
      <c r="A27" s="331">
        <v>11</v>
      </c>
      <c r="B27" s="333" t="s">
        <v>99</v>
      </c>
      <c r="E27" s="341">
        <f>F27+G27</f>
        <v>14904</v>
      </c>
      <c r="F27" s="342">
        <f>SUM(F220)</f>
        <v>14904</v>
      </c>
      <c r="G27" s="342">
        <f>SUM(G220)</f>
        <v>0</v>
      </c>
      <c r="H27" s="337" t="str">
        <f>IF(E27=F27+G27," ","ERROR")</f>
        <v xml:space="preserve"> </v>
      </c>
      <c r="I27" s="341" t="e">
        <f>J27+K27</f>
        <v>#REF!</v>
      </c>
      <c r="J27" s="342" t="e">
        <f>#REF!</f>
        <v>#REF!</v>
      </c>
      <c r="K27" s="342"/>
    </row>
    <row r="28" spans="1:11">
      <c r="A28" s="331">
        <v>12</v>
      </c>
      <c r="B28" s="333" t="s">
        <v>100</v>
      </c>
      <c r="E28" s="350">
        <f>SUM(E23:E27)</f>
        <v>327337</v>
      </c>
      <c r="F28" s="350">
        <f>SUM(F23:F27)</f>
        <v>327335</v>
      </c>
      <c r="G28" s="350">
        <f>SUM(G23:G27)</f>
        <v>2</v>
      </c>
      <c r="H28" s="337" t="str">
        <f>IF(E28=F28+G28," ","ERROR")</f>
        <v xml:space="preserve"> </v>
      </c>
      <c r="I28" s="342" t="e">
        <f>I23+I24+I25+I27</f>
        <v>#REF!</v>
      </c>
      <c r="J28" s="350" t="e">
        <f>J23+J24+J25+J27</f>
        <v>#REF!</v>
      </c>
      <c r="K28" s="350"/>
    </row>
    <row r="29" spans="1:11">
      <c r="E29" s="342"/>
      <c r="F29" s="344"/>
      <c r="G29" s="344"/>
      <c r="H29" s="337"/>
      <c r="I29" s="342"/>
      <c r="J29" s="344"/>
      <c r="K29" s="344"/>
    </row>
    <row r="30" spans="1:11">
      <c r="B30" s="333" t="s">
        <v>52</v>
      </c>
      <c r="E30" s="342"/>
      <c r="F30" s="344"/>
      <c r="G30" s="344"/>
      <c r="H30" s="337"/>
      <c r="I30" s="342"/>
      <c r="J30" s="344"/>
      <c r="K30" s="344"/>
    </row>
    <row r="31" spans="1:11">
      <c r="A31" s="331">
        <v>13</v>
      </c>
      <c r="B31" s="333" t="s">
        <v>97</v>
      </c>
      <c r="E31" s="342">
        <f>F31+G31</f>
        <v>21420</v>
      </c>
      <c r="F31" s="342">
        <f>SUM(F249)</f>
        <v>21420</v>
      </c>
      <c r="G31" s="342">
        <f>SUM(G249)</f>
        <v>0</v>
      </c>
      <c r="H31" s="337" t="str">
        <f>IF(E31=F31+G31," ","ERROR")</f>
        <v xml:space="preserve"> </v>
      </c>
      <c r="I31" s="342" t="e">
        <f>J31+K31</f>
        <v>#REF!</v>
      </c>
      <c r="J31" s="342" t="e">
        <f>#REF!</f>
        <v>#REF!</v>
      </c>
      <c r="K31" s="342"/>
    </row>
    <row r="32" spans="1:11">
      <c r="A32" s="331">
        <v>14</v>
      </c>
      <c r="B32" s="333" t="s">
        <v>588</v>
      </c>
      <c r="E32" s="342">
        <f>F32+G32</f>
        <v>27913</v>
      </c>
      <c r="F32" s="342">
        <f>SUM(F251:F252)</f>
        <v>27913</v>
      </c>
      <c r="G32" s="342">
        <f>SUM(G251:G252)</f>
        <v>0</v>
      </c>
      <c r="H32" s="337" t="str">
        <f>IF(E32=F32+G32," ","ERROR")</f>
        <v xml:space="preserve"> </v>
      </c>
      <c r="I32" s="342" t="e">
        <f>J32+K32</f>
        <v>#REF!</v>
      </c>
      <c r="J32" s="342" t="e">
        <f>#REF!</f>
        <v>#REF!</v>
      </c>
      <c r="K32" s="342"/>
    </row>
    <row r="33" spans="1:18" ht="12.75">
      <c r="A33" s="385"/>
      <c r="B33" s="333" t="s">
        <v>587</v>
      </c>
      <c r="E33" s="342">
        <f>F33+G33</f>
        <v>0</v>
      </c>
      <c r="F33" s="342">
        <f>SUM(F254)</f>
        <v>0</v>
      </c>
      <c r="G33" s="342">
        <f>SUM(G252:G253)</f>
        <v>0</v>
      </c>
      <c r="H33" s="337" t="str">
        <f>IF(E33=F33+G33," ","ERROR")</f>
        <v xml:space="preserve"> </v>
      </c>
      <c r="I33" s="342" t="e">
        <f>J33+K33</f>
        <v>#REF!</v>
      </c>
      <c r="J33" s="342" t="e">
        <f>#REF!</f>
        <v>#REF!</v>
      </c>
      <c r="K33" s="342"/>
      <c r="L33" s="789"/>
      <c r="M33" s="790"/>
      <c r="N33" s="790"/>
      <c r="O33" s="790"/>
      <c r="P33" s="790"/>
      <c r="Q33" s="791"/>
      <c r="R33" s="791"/>
    </row>
    <row r="34" spans="1:18">
      <c r="A34" s="331">
        <v>15</v>
      </c>
      <c r="B34" s="333" t="s">
        <v>99</v>
      </c>
      <c r="E34" s="341">
        <f>F34+G34</f>
        <v>45258</v>
      </c>
      <c r="F34" s="342">
        <f>SUM(F253)</f>
        <v>45258</v>
      </c>
      <c r="G34" s="342">
        <f>SUM(G253)</f>
        <v>0</v>
      </c>
      <c r="H34" s="337" t="str">
        <f>IF(E34=F34+G34," ","ERROR")</f>
        <v xml:space="preserve"> </v>
      </c>
      <c r="I34" s="341" t="e">
        <f>J34+K34</f>
        <v>#REF!</v>
      </c>
      <c r="J34" s="342" t="e">
        <f>#REF!</f>
        <v>#REF!</v>
      </c>
      <c r="K34" s="342"/>
    </row>
    <row r="35" spans="1:18">
      <c r="A35" s="331">
        <v>16</v>
      </c>
      <c r="B35" s="333" t="s">
        <v>101</v>
      </c>
      <c r="E35" s="342">
        <f>E31+E32+E34</f>
        <v>94591</v>
      </c>
      <c r="F35" s="350">
        <f>F31+F32+F34</f>
        <v>94591</v>
      </c>
      <c r="G35" s="350">
        <f>G31+G32+G34</f>
        <v>0</v>
      </c>
      <c r="H35" s="337" t="str">
        <f>IF(E35=F35+G35," ","ERROR")</f>
        <v xml:space="preserve"> </v>
      </c>
      <c r="I35" s="342" t="e">
        <f>I31+I32+I34</f>
        <v>#REF!</v>
      </c>
      <c r="J35" s="350" t="e">
        <f>J31+J32+J34</f>
        <v>#REF!</v>
      </c>
      <c r="K35" s="350"/>
    </row>
    <row r="36" spans="1:18">
      <c r="E36" s="344"/>
      <c r="F36" s="344"/>
      <c r="G36" s="344"/>
      <c r="H36" s="337"/>
      <c r="I36" s="344"/>
      <c r="J36" s="344"/>
      <c r="K36" s="344"/>
    </row>
    <row r="37" spans="1:18">
      <c r="A37" s="331">
        <v>17</v>
      </c>
      <c r="B37" s="333" t="s">
        <v>54</v>
      </c>
      <c r="E37" s="342">
        <f>F37+G37</f>
        <v>11733</v>
      </c>
      <c r="F37" s="342">
        <f>SUM(F265)</f>
        <v>11733</v>
      </c>
      <c r="G37" s="342">
        <f>SUM(G265)</f>
        <v>0</v>
      </c>
      <c r="H37" s="337" t="str">
        <f>IF(E37=F37+G37," ","ERROR")</f>
        <v xml:space="preserve"> </v>
      </c>
      <c r="I37" s="342" t="e">
        <f>J37+K37</f>
        <v>#REF!</v>
      </c>
      <c r="J37" s="342" t="e">
        <f>#REF!</f>
        <v>#REF!</v>
      </c>
      <c r="K37" s="342"/>
    </row>
    <row r="38" spans="1:18">
      <c r="A38" s="331">
        <v>18</v>
      </c>
      <c r="B38" s="333" t="s">
        <v>55</v>
      </c>
      <c r="E38" s="342">
        <f>F38+G38</f>
        <v>18081</v>
      </c>
      <c r="F38" s="342">
        <f>SUM(F271)</f>
        <v>18081</v>
      </c>
      <c r="G38" s="342">
        <f>SUM(G271)</f>
        <v>0</v>
      </c>
      <c r="H38" s="337" t="str">
        <f>IF(E38=F38+G38," ","ERROR")</f>
        <v xml:space="preserve"> </v>
      </c>
      <c r="I38" s="342" t="e">
        <f>J38+K38</f>
        <v>#REF!</v>
      </c>
      <c r="J38" s="342" t="e">
        <f>#REF!</f>
        <v>#REF!</v>
      </c>
      <c r="K38" s="342"/>
    </row>
    <row r="39" spans="1:18">
      <c r="A39" s="331">
        <v>19</v>
      </c>
      <c r="B39" s="333" t="s">
        <v>56</v>
      </c>
      <c r="E39" s="342">
        <f>F39+G39</f>
        <v>0</v>
      </c>
      <c r="F39" s="342">
        <f>SUM(F277)</f>
        <v>0</v>
      </c>
      <c r="G39" s="342">
        <f>SUM(G277)</f>
        <v>0</v>
      </c>
      <c r="H39" s="337" t="str">
        <f>IF(E39=F39+G39," ","ERROR")</f>
        <v xml:space="preserve"> </v>
      </c>
      <c r="I39" s="342" t="e">
        <f>J39+K39</f>
        <v>#REF!</v>
      </c>
      <c r="J39" s="342" t="e">
        <f>#REF!</f>
        <v>#REF!</v>
      </c>
      <c r="K39" s="342"/>
    </row>
    <row r="40" spans="1:18">
      <c r="E40" s="344"/>
      <c r="F40" s="344"/>
      <c r="G40" s="344"/>
      <c r="H40" s="337"/>
      <c r="I40" s="344"/>
      <c r="J40" s="344"/>
      <c r="K40" s="344"/>
    </row>
    <row r="41" spans="1:18">
      <c r="B41" s="333" t="s">
        <v>57</v>
      </c>
      <c r="E41" s="344"/>
      <c r="F41" s="344"/>
      <c r="G41" s="344"/>
      <c r="H41" s="337"/>
      <c r="I41" s="344"/>
      <c r="J41" s="344"/>
      <c r="K41" s="344"/>
    </row>
    <row r="42" spans="1:18">
      <c r="A42" s="331">
        <v>20</v>
      </c>
      <c r="B42" s="333" t="s">
        <v>97</v>
      </c>
      <c r="E42" s="342">
        <f>F42+G42</f>
        <v>50568</v>
      </c>
      <c r="F42" s="342">
        <f>SUM(F292)</f>
        <v>50568</v>
      </c>
      <c r="G42" s="342">
        <f>SUM(G292)</f>
        <v>0</v>
      </c>
      <c r="H42" s="337" t="str">
        <f>IF(E42=F42+G42," ","ERROR")</f>
        <v xml:space="preserve"> </v>
      </c>
      <c r="I42" s="342" t="e">
        <f>J42+K42</f>
        <v>#REF!</v>
      </c>
      <c r="J42" s="342" t="e">
        <f>#REF!</f>
        <v>#REF!</v>
      </c>
      <c r="K42" s="342"/>
    </row>
    <row r="43" spans="1:18">
      <c r="A43" s="331">
        <v>21</v>
      </c>
      <c r="B43" s="333" t="s">
        <v>588</v>
      </c>
      <c r="E43" s="342">
        <f>F43+G43</f>
        <v>23877</v>
      </c>
      <c r="F43" s="342">
        <f>SUM(F300)</f>
        <v>23877</v>
      </c>
      <c r="G43" s="342">
        <f>SUM(G300)</f>
        <v>0</v>
      </c>
      <c r="H43" s="337" t="str">
        <f>IF(E43=F43+G43," ","ERROR")</f>
        <v xml:space="preserve"> </v>
      </c>
      <c r="I43" s="342" t="e">
        <f>J43+K43</f>
        <v>#REF!</v>
      </c>
      <c r="J43" s="342" t="e">
        <f>#REF!</f>
        <v>#REF!</v>
      </c>
      <c r="K43" s="342"/>
    </row>
    <row r="44" spans="1:18">
      <c r="A44" s="331">
        <v>22</v>
      </c>
      <c r="B44" s="333" t="s">
        <v>99</v>
      </c>
      <c r="E44" s="342">
        <f>F44+G44</f>
        <v>0</v>
      </c>
      <c r="F44" s="342">
        <v>0</v>
      </c>
      <c r="G44" s="342">
        <v>0</v>
      </c>
      <c r="H44" s="337" t="str">
        <f>IF(E44=F44+G44," ","ERROR")</f>
        <v xml:space="preserve"> </v>
      </c>
      <c r="I44" s="342" t="e">
        <f>J44+K44</f>
        <v>#REF!</v>
      </c>
      <c r="J44" s="342" t="e">
        <f>#REF!</f>
        <v>#REF!</v>
      </c>
      <c r="K44" s="342"/>
    </row>
    <row r="45" spans="1:18">
      <c r="A45" s="331">
        <v>23</v>
      </c>
      <c r="B45" s="333" t="s">
        <v>102</v>
      </c>
      <c r="E45" s="349">
        <f>E42+E43+E44</f>
        <v>74445</v>
      </c>
      <c r="F45" s="349">
        <f>F42+F43+F44</f>
        <v>74445</v>
      </c>
      <c r="G45" s="349">
        <f>G42+G43+G44</f>
        <v>0</v>
      </c>
      <c r="H45" s="337" t="str">
        <f>IF(E45=F45+G45," ","ERROR")</f>
        <v xml:space="preserve"> </v>
      </c>
      <c r="I45" s="349" t="e">
        <f>I42+I43+I44</f>
        <v>#REF!</v>
      </c>
      <c r="J45" s="349" t="e">
        <f>J42+J43+J44</f>
        <v>#REF!</v>
      </c>
      <c r="K45" s="349"/>
    </row>
    <row r="46" spans="1:18" ht="18.75" customHeight="1">
      <c r="A46" s="331">
        <v>24</v>
      </c>
      <c r="B46" s="333" t="s">
        <v>59</v>
      </c>
      <c r="E46" s="348">
        <f>E28+E35+E37+E38+E39+E45</f>
        <v>526187</v>
      </c>
      <c r="F46" s="348">
        <f>F28+F35+F37+F38+F39+F45</f>
        <v>526185</v>
      </c>
      <c r="G46" s="348">
        <f>G28+G35+G37+G38+G39+G45</f>
        <v>2</v>
      </c>
      <c r="H46" s="337" t="str">
        <f>IF(E46=F46+G46," ","ERROR")</f>
        <v xml:space="preserve"> </v>
      </c>
      <c r="I46" s="348" t="e">
        <f>I28+I35+I37+I38+I39+I45</f>
        <v>#REF!</v>
      </c>
      <c r="J46" s="348" t="e">
        <f>J28+J35+J37+J38+J39+J45</f>
        <v>#REF!</v>
      </c>
      <c r="K46" s="348"/>
    </row>
    <row r="47" spans="1:18">
      <c r="E47" s="344"/>
      <c r="F47" s="344"/>
      <c r="G47" s="344"/>
      <c r="H47" s="337"/>
      <c r="I47" s="344"/>
      <c r="J47" s="344"/>
      <c r="K47" s="344"/>
    </row>
    <row r="48" spans="1:18">
      <c r="A48" s="385">
        <v>25</v>
      </c>
      <c r="B48" s="333" t="s">
        <v>103</v>
      </c>
      <c r="E48" s="344">
        <f>E19-E46</f>
        <v>150925</v>
      </c>
      <c r="F48" s="344">
        <f>F19-F46</f>
        <v>150927</v>
      </c>
      <c r="G48" s="344">
        <f>G19-G46</f>
        <v>-2</v>
      </c>
      <c r="H48" s="337" t="str">
        <f>IF(E48=F48+G48," ","ERROR")</f>
        <v xml:space="preserve"> </v>
      </c>
      <c r="I48" s="344" t="e">
        <f>I19-I46</f>
        <v>#REF!</v>
      </c>
      <c r="J48" s="344" t="e">
        <f>J19-J46</f>
        <v>#REF!</v>
      </c>
      <c r="K48" s="344"/>
    </row>
    <row r="49" spans="1:11">
      <c r="B49" s="333"/>
      <c r="E49" s="344"/>
      <c r="F49" s="344"/>
      <c r="G49" s="344"/>
      <c r="H49" s="337"/>
      <c r="I49" s="344"/>
      <c r="J49" s="344"/>
      <c r="K49" s="344"/>
    </row>
    <row r="50" spans="1:11">
      <c r="B50" s="333" t="s">
        <v>104</v>
      </c>
      <c r="E50" s="344"/>
      <c r="F50" s="344"/>
      <c r="G50" s="344"/>
      <c r="H50" s="337"/>
      <c r="I50" s="344"/>
      <c r="J50" s="344"/>
      <c r="K50" s="344"/>
    </row>
    <row r="51" spans="1:11">
      <c r="A51" s="331">
        <v>26</v>
      </c>
      <c r="B51" s="333" t="s">
        <v>105</v>
      </c>
      <c r="D51" s="347">
        <v>0.35</v>
      </c>
      <c r="E51" s="342">
        <f>F51+G51</f>
        <v>-25741</v>
      </c>
      <c r="F51" s="342">
        <f>SUM(F308)</f>
        <v>-25741</v>
      </c>
      <c r="G51" s="342">
        <f>SUM(G308)</f>
        <v>0</v>
      </c>
      <c r="H51" s="337" t="str">
        <f>IF(E51=F51+G51," ","ERROR")</f>
        <v xml:space="preserve"> </v>
      </c>
      <c r="I51" s="342" t="e">
        <f>J51+K51</f>
        <v>#REF!</v>
      </c>
      <c r="J51" s="342" t="e">
        <f>#REF!</f>
        <v>#REF!</v>
      </c>
      <c r="K51" s="342"/>
    </row>
    <row r="52" spans="1:11">
      <c r="A52" s="331">
        <v>27</v>
      </c>
      <c r="B52" s="333" t="s">
        <v>597</v>
      </c>
      <c r="D52" s="347"/>
      <c r="E52" s="342"/>
      <c r="F52" s="342"/>
      <c r="G52" s="342"/>
      <c r="H52" s="337"/>
      <c r="I52" s="342"/>
      <c r="J52" s="342"/>
      <c r="K52" s="342"/>
    </row>
    <row r="53" spans="1:11">
      <c r="A53" s="331">
        <v>28</v>
      </c>
      <c r="B53" s="333" t="s">
        <v>106</v>
      </c>
      <c r="E53" s="342">
        <f>F53+G53</f>
        <v>66436</v>
      </c>
      <c r="F53" s="342">
        <f t="shared" ref="F53:G54" si="1">SUM(F309)</f>
        <v>66436</v>
      </c>
      <c r="G53" s="342">
        <f t="shared" si="1"/>
        <v>0</v>
      </c>
      <c r="H53" s="337" t="str">
        <f>IF(E53=F53+G53," ","ERROR")</f>
        <v xml:space="preserve"> </v>
      </c>
      <c r="I53" s="342" t="e">
        <f>J53+K53</f>
        <v>#REF!</v>
      </c>
      <c r="J53" s="342" t="e">
        <f>#REF!</f>
        <v>#REF!</v>
      </c>
      <c r="K53" s="342"/>
    </row>
    <row r="54" spans="1:11">
      <c r="A54" s="331">
        <v>29</v>
      </c>
      <c r="B54" s="333" t="s">
        <v>107</v>
      </c>
      <c r="E54" s="341">
        <f>F54+G54</f>
        <v>-325</v>
      </c>
      <c r="F54" s="341">
        <f t="shared" si="1"/>
        <v>-325</v>
      </c>
      <c r="G54" s="341">
        <f t="shared" si="1"/>
        <v>0</v>
      </c>
      <c r="H54" s="337" t="str">
        <f>IF(E54=F54+G54," ","ERROR")</f>
        <v xml:space="preserve"> </v>
      </c>
      <c r="I54" s="342" t="e">
        <f>J54+K54</f>
        <v>#REF!</v>
      </c>
      <c r="J54" s="342" t="e">
        <f>#REF!</f>
        <v>#REF!</v>
      </c>
      <c r="K54" s="342"/>
    </row>
    <row r="55" spans="1:11">
      <c r="B55" s="333"/>
      <c r="E55" s="343"/>
      <c r="F55" s="343"/>
      <c r="G55" s="343"/>
      <c r="H55" s="337"/>
      <c r="I55" s="342"/>
      <c r="J55" s="342"/>
      <c r="K55" s="342"/>
    </row>
    <row r="56" spans="1:11" s="337" customFormat="1" ht="12.75" thickBot="1">
      <c r="A56" s="340">
        <v>30</v>
      </c>
      <c r="B56" s="339" t="s">
        <v>65</v>
      </c>
      <c r="E56" s="338">
        <f>E48-(E50+E51+E53+E54)</f>
        <v>110555</v>
      </c>
      <c r="F56" s="338">
        <f>F48-(F50+F51+F53+F54)</f>
        <v>110557</v>
      </c>
      <c r="G56" s="338">
        <f>G48-(G50+G51+G53+G54)</f>
        <v>-2</v>
      </c>
      <c r="H56" s="337" t="str">
        <f>IF(E56=F56+G56," ","ERROR")</f>
        <v xml:space="preserve"> </v>
      </c>
      <c r="I56" s="338" t="e">
        <f>I48-(I50+I51+I53+I54+#REF!)</f>
        <v>#REF!</v>
      </c>
      <c r="J56" s="338" t="e">
        <f>J48-(J50+J51+J53+J54+#REF!)</f>
        <v>#REF!</v>
      </c>
      <c r="K56" s="338"/>
    </row>
    <row r="57" spans="1:11" ht="12.75" thickTop="1">
      <c r="H57" s="337"/>
    </row>
    <row r="58" spans="1:11">
      <c r="B58" s="333" t="s">
        <v>66</v>
      </c>
      <c r="H58" s="337"/>
    </row>
    <row r="59" spans="1:11">
      <c r="B59" s="333" t="s">
        <v>67</v>
      </c>
      <c r="H59" s="337"/>
    </row>
    <row r="60" spans="1:11" s="337" customFormat="1">
      <c r="A60" s="340">
        <v>31</v>
      </c>
      <c r="B60" s="339" t="s">
        <v>108</v>
      </c>
      <c r="E60" s="346">
        <f>F60+G60</f>
        <v>156057</v>
      </c>
      <c r="F60" s="346">
        <f>SUM(F324)</f>
        <v>156057</v>
      </c>
      <c r="G60" s="346">
        <f>SUM(G324)</f>
        <v>0</v>
      </c>
      <c r="H60" s="337" t="str">
        <f t="shared" ref="H60:H66" si="2">IF(E60=F60+G60," ","ERROR")</f>
        <v xml:space="preserve"> </v>
      </c>
      <c r="I60" s="346" t="e">
        <f>J60+K60</f>
        <v>#REF!</v>
      </c>
      <c r="J60" s="346" t="e">
        <f>#REF!</f>
        <v>#REF!</v>
      </c>
      <c r="K60" s="346"/>
    </row>
    <row r="61" spans="1:11">
      <c r="A61" s="331">
        <v>32</v>
      </c>
      <c r="B61" s="333" t="s">
        <v>109</v>
      </c>
      <c r="E61" s="342">
        <f>F61+G61</f>
        <v>832833</v>
      </c>
      <c r="F61" s="342">
        <f>SUM(F357)</f>
        <v>832833</v>
      </c>
      <c r="G61" s="342">
        <f>SUM(G357)</f>
        <v>0</v>
      </c>
      <c r="H61" s="337" t="str">
        <f t="shared" si="2"/>
        <v xml:space="preserve"> </v>
      </c>
      <c r="I61" s="342" t="e">
        <f>J61+K61</f>
        <v>#REF!</v>
      </c>
      <c r="J61" s="342" t="e">
        <f>#REF!</f>
        <v>#REF!</v>
      </c>
      <c r="K61" s="342"/>
    </row>
    <row r="62" spans="1:11">
      <c r="A62" s="331">
        <v>33</v>
      </c>
      <c r="B62" s="333" t="s">
        <v>110</v>
      </c>
      <c r="E62" s="342">
        <f>F62+G62</f>
        <v>430613</v>
      </c>
      <c r="F62" s="342">
        <f>SUM(F370)</f>
        <v>430613</v>
      </c>
      <c r="G62" s="342">
        <f>SUM(G370)</f>
        <v>0</v>
      </c>
      <c r="H62" s="337" t="str">
        <f t="shared" si="2"/>
        <v xml:space="preserve"> </v>
      </c>
      <c r="I62" s="342" t="e">
        <f>J62+K62</f>
        <v>#REF!</v>
      </c>
      <c r="J62" s="342" t="e">
        <f>#REF!</f>
        <v>#REF!</v>
      </c>
      <c r="K62" s="342"/>
    </row>
    <row r="63" spans="1:11">
      <c r="A63" s="331">
        <v>34</v>
      </c>
      <c r="B63" s="333" t="s">
        <v>111</v>
      </c>
      <c r="E63" s="342">
        <f>F63+G63</f>
        <v>970455</v>
      </c>
      <c r="F63" s="342">
        <f>SUM(F388)</f>
        <v>970455</v>
      </c>
      <c r="G63" s="342">
        <f>SUM(G389)</f>
        <v>0</v>
      </c>
      <c r="H63" s="337" t="str">
        <f t="shared" si="2"/>
        <v xml:space="preserve"> </v>
      </c>
      <c r="I63" s="342" t="e">
        <f>J63+K63</f>
        <v>#REF!</v>
      </c>
      <c r="J63" s="342" t="e">
        <f>#REF!</f>
        <v>#REF!</v>
      </c>
      <c r="K63" s="342"/>
    </row>
    <row r="64" spans="1:11">
      <c r="A64" s="331">
        <v>35</v>
      </c>
      <c r="B64" s="333" t="s">
        <v>112</v>
      </c>
      <c r="E64" s="341">
        <f>F64+G64</f>
        <v>233267</v>
      </c>
      <c r="F64" s="341">
        <f>SUM(F403)</f>
        <v>233267</v>
      </c>
      <c r="G64" s="341">
        <f>SUM(G404)</f>
        <v>0</v>
      </c>
      <c r="H64" s="337" t="str">
        <f t="shared" si="2"/>
        <v xml:space="preserve"> </v>
      </c>
      <c r="I64" s="341" t="e">
        <f>J64+K64</f>
        <v>#REF!</v>
      </c>
      <c r="J64" s="341" t="e">
        <f>#REF!</f>
        <v>#REF!</v>
      </c>
      <c r="K64" s="341"/>
    </row>
    <row r="65" spans="1:11">
      <c r="A65" s="331">
        <v>36</v>
      </c>
      <c r="B65" s="333" t="s">
        <v>113</v>
      </c>
      <c r="E65" s="344">
        <f>E60+E61+E62+E63+E64</f>
        <v>2623225</v>
      </c>
      <c r="F65" s="344">
        <f>F60+F61+F62+F63+F64</f>
        <v>2623225</v>
      </c>
      <c r="G65" s="344">
        <f>G60+G61+G62+G63+G64</f>
        <v>0</v>
      </c>
      <c r="H65" s="337" t="str">
        <f t="shared" si="2"/>
        <v xml:space="preserve"> </v>
      </c>
      <c r="I65" s="344" t="e">
        <f>I60+I61+I62+I63+I64</f>
        <v>#REF!</v>
      </c>
      <c r="J65" s="344" t="e">
        <f>J60+J61+J62+J63+J64</f>
        <v>#REF!</v>
      </c>
      <c r="K65" s="344"/>
    </row>
    <row r="66" spans="1:11" ht="19.5" customHeight="1">
      <c r="B66" s="333" t="s">
        <v>591</v>
      </c>
      <c r="E66" s="342"/>
      <c r="F66" s="342"/>
      <c r="G66" s="342"/>
      <c r="H66" s="337" t="str">
        <f t="shared" si="2"/>
        <v xml:space="preserve"> </v>
      </c>
      <c r="I66" s="342" t="e">
        <f>J66+K66</f>
        <v>#REF!</v>
      </c>
      <c r="J66" s="342" t="e">
        <f>#REF!</f>
        <v>#REF!</v>
      </c>
      <c r="K66" s="342"/>
    </row>
    <row r="67" spans="1:11">
      <c r="A67" s="331">
        <v>37</v>
      </c>
      <c r="B67" s="339" t="s">
        <v>108</v>
      </c>
      <c r="E67" s="342">
        <f>F67+G67</f>
        <v>-30914</v>
      </c>
      <c r="F67" s="342">
        <f>SUM(F418:F421)</f>
        <v>-30914</v>
      </c>
      <c r="G67" s="346">
        <f>SUM(G419:G420)</f>
        <v>0</v>
      </c>
      <c r="H67" s="337"/>
      <c r="I67" s="342"/>
      <c r="J67" s="342"/>
      <c r="K67" s="342"/>
    </row>
    <row r="68" spans="1:11">
      <c r="A68" s="331">
        <v>38</v>
      </c>
      <c r="B68" s="333" t="s">
        <v>109</v>
      </c>
      <c r="E68" s="342">
        <f>F68+G68</f>
        <v>-351625</v>
      </c>
      <c r="F68" s="342">
        <f>SUM(F409:F411)</f>
        <v>-351625</v>
      </c>
      <c r="G68" s="346">
        <f>SUM(G410:G412)</f>
        <v>0</v>
      </c>
      <c r="H68" s="337"/>
      <c r="I68" s="342"/>
      <c r="J68" s="342"/>
      <c r="K68" s="342"/>
    </row>
    <row r="69" spans="1:11">
      <c r="A69" s="331">
        <v>39</v>
      </c>
      <c r="B69" s="333" t="s">
        <v>110</v>
      </c>
      <c r="E69" s="342">
        <f>F69+G69</f>
        <v>-135624</v>
      </c>
      <c r="F69" s="342">
        <f>SUM(F412)</f>
        <v>-135624</v>
      </c>
      <c r="G69" s="346">
        <f>SUM(G413)</f>
        <v>0</v>
      </c>
      <c r="H69" s="337"/>
      <c r="I69" s="342"/>
      <c r="J69" s="342"/>
      <c r="K69" s="342"/>
    </row>
    <row r="70" spans="1:11">
      <c r="A70" s="331">
        <v>40</v>
      </c>
      <c r="B70" s="333" t="s">
        <v>111</v>
      </c>
      <c r="E70" s="342">
        <f>F70+G70</f>
        <v>-295383</v>
      </c>
      <c r="F70" s="342">
        <f>SUM(F413)</f>
        <v>-295383</v>
      </c>
      <c r="G70" s="346">
        <f>SUM(G414)</f>
        <v>0</v>
      </c>
      <c r="H70" s="337"/>
      <c r="I70" s="342"/>
      <c r="J70" s="342"/>
      <c r="K70" s="342"/>
    </row>
    <row r="71" spans="1:11">
      <c r="A71" s="331">
        <v>41</v>
      </c>
      <c r="B71" s="333" t="s">
        <v>112</v>
      </c>
      <c r="E71" s="341">
        <f>F71+G71</f>
        <v>-80093</v>
      </c>
      <c r="F71" s="341">
        <f>SUM(F414,F422)</f>
        <v>-80093</v>
      </c>
      <c r="G71" s="345">
        <f>SUM(G415,G421,G422,G423)</f>
        <v>0</v>
      </c>
    </row>
    <row r="72" spans="1:11">
      <c r="A72" s="331">
        <v>42</v>
      </c>
      <c r="B72" s="333" t="s">
        <v>309</v>
      </c>
      <c r="E72" s="494">
        <f>SUM(E67:E71)</f>
        <v>-893639</v>
      </c>
      <c r="F72" s="494">
        <f>SUM(F67:F71)</f>
        <v>-893639</v>
      </c>
      <c r="G72" s="330">
        <f>SUM(G67:G71)</f>
        <v>0</v>
      </c>
    </row>
    <row r="73" spans="1:11">
      <c r="A73" s="331">
        <v>43</v>
      </c>
      <c r="B73" s="330" t="s">
        <v>594</v>
      </c>
      <c r="E73" s="386">
        <f>E65+E72</f>
        <v>1729586</v>
      </c>
      <c r="F73" s="386">
        <f>F65+F72</f>
        <v>1729586</v>
      </c>
      <c r="G73" s="386">
        <f>G65+G72</f>
        <v>0</v>
      </c>
    </row>
    <row r="74" spans="1:11" ht="3.75" customHeight="1">
      <c r="B74" s="333"/>
      <c r="E74" s="344"/>
      <c r="F74" s="344"/>
      <c r="G74" s="344"/>
      <c r="H74" s="337"/>
      <c r="I74" s="344"/>
      <c r="J74" s="344"/>
      <c r="K74" s="344"/>
    </row>
    <row r="75" spans="1:11">
      <c r="A75" s="331">
        <v>44</v>
      </c>
      <c r="B75" s="333" t="s">
        <v>592</v>
      </c>
      <c r="E75" s="341">
        <f>F75+G75</f>
        <v>-354706</v>
      </c>
      <c r="F75" s="341">
        <f>SUM(F440)</f>
        <v>-354706</v>
      </c>
      <c r="G75" s="341">
        <f>SUM(G441)</f>
        <v>0</v>
      </c>
      <c r="H75" s="337" t="str">
        <f>IF(E75=F75+G75," ","ERROR")</f>
        <v xml:space="preserve"> </v>
      </c>
      <c r="I75" s="341" t="e">
        <f>J75+K75</f>
        <v>#REF!</v>
      </c>
      <c r="J75" s="341" t="e">
        <f>#REF!</f>
        <v>#REF!</v>
      </c>
      <c r="K75" s="341"/>
    </row>
    <row r="76" spans="1:11">
      <c r="A76" s="331">
        <v>45</v>
      </c>
      <c r="B76" s="333" t="s">
        <v>593</v>
      </c>
      <c r="E76" s="343">
        <f>SUM(E73:E75)</f>
        <v>1374880</v>
      </c>
      <c r="F76" s="343">
        <f>SUM(F73:F75)</f>
        <v>1374880</v>
      </c>
      <c r="G76" s="343">
        <f>SUM(G73-G75)</f>
        <v>0</v>
      </c>
      <c r="H76" s="337"/>
      <c r="I76" s="343"/>
      <c r="J76" s="343"/>
      <c r="K76" s="343"/>
    </row>
    <row r="77" spans="1:11">
      <c r="A77" s="331">
        <v>46</v>
      </c>
      <c r="B77" s="333" t="s">
        <v>308</v>
      </c>
      <c r="E77" s="342">
        <f t="shared" ref="E77:E78" si="3">F77+G77</f>
        <v>4566</v>
      </c>
      <c r="F77" s="344">
        <f>SUM(F476)-F78-1</f>
        <v>4566</v>
      </c>
      <c r="G77" s="344">
        <f>SUM(G446:G476)-G78</f>
        <v>0</v>
      </c>
      <c r="H77" s="337"/>
      <c r="I77" s="344"/>
      <c r="J77" s="344"/>
      <c r="K77" s="344"/>
    </row>
    <row r="78" spans="1:11">
      <c r="A78" s="331">
        <v>47</v>
      </c>
      <c r="B78" s="333" t="s">
        <v>287</v>
      </c>
      <c r="E78" s="341">
        <f t="shared" si="3"/>
        <v>65480</v>
      </c>
      <c r="F78" s="341">
        <f>F474</f>
        <v>65480</v>
      </c>
      <c r="G78" s="341">
        <f>G475</f>
        <v>0</v>
      </c>
      <c r="H78" s="337"/>
      <c r="I78" s="342"/>
      <c r="J78" s="342"/>
      <c r="K78" s="342"/>
    </row>
    <row r="79" spans="1:11">
      <c r="H79" s="337"/>
    </row>
    <row r="80" spans="1:11" s="337" customFormat="1" ht="12.75" thickBot="1">
      <c r="A80" s="340">
        <v>48</v>
      </c>
      <c r="B80" s="339" t="s">
        <v>74</v>
      </c>
      <c r="E80" s="338">
        <f>SUM(E76:E78)</f>
        <v>1444926</v>
      </c>
      <c r="F80" s="338">
        <f>SUM(F76:F78)</f>
        <v>1444926</v>
      </c>
      <c r="G80" s="338">
        <f>SUM(G76:G78)</f>
        <v>0</v>
      </c>
      <c r="H80" s="337" t="str">
        <f>IF(E80=F80+G80," ","ERROR")</f>
        <v xml:space="preserve"> </v>
      </c>
      <c r="I80" s="338" t="e">
        <f>J80+K80</f>
        <v>#REF!</v>
      </c>
      <c r="J80" s="338" t="e">
        <f>J65-#REF!+#REF!+#REF!</f>
        <v>#REF!</v>
      </c>
      <c r="K80" s="338"/>
    </row>
    <row r="81" spans="1:14" s="332" customFormat="1" ht="12.75" thickTop="1">
      <c r="E81" s="327">
        <f>E56/E80</f>
        <v>7.6512568809752199E-2</v>
      </c>
      <c r="F81" s="327">
        <f>F56/F80</f>
        <v>7.6513952963681187E-2</v>
      </c>
      <c r="G81" s="327"/>
      <c r="I81" s="327" t="e">
        <f>I56/I80</f>
        <v>#REF!</v>
      </c>
      <c r="J81" s="327" t="e">
        <f>J56/J80</f>
        <v>#REF!</v>
      </c>
      <c r="K81" s="327"/>
    </row>
    <row r="82" spans="1:14">
      <c r="A82" s="330"/>
      <c r="B82" s="336" t="s">
        <v>114</v>
      </c>
      <c r="C82" s="335"/>
      <c r="D82" s="335"/>
      <c r="E82" s="335"/>
      <c r="F82" s="335"/>
      <c r="G82" s="334"/>
      <c r="I82" s="335"/>
      <c r="J82" s="335"/>
      <c r="K82" s="334"/>
    </row>
    <row r="83" spans="1:14" ht="15.75">
      <c r="A83" s="362"/>
      <c r="B83" s="363" t="s">
        <v>312</v>
      </c>
      <c r="C83" s="363"/>
      <c r="M83" s="518"/>
      <c r="N83" s="518"/>
    </row>
    <row r="84" spans="1:14" ht="15.75">
      <c r="A84" s="362"/>
      <c r="B84" s="364" t="s">
        <v>313</v>
      </c>
      <c r="C84" s="363"/>
      <c r="M84" s="514"/>
      <c r="N84" s="518"/>
    </row>
    <row r="85" spans="1:14" ht="15.75">
      <c r="A85" s="365">
        <v>440000</v>
      </c>
      <c r="B85" s="364" t="s">
        <v>314</v>
      </c>
      <c r="C85" s="363"/>
      <c r="F85" s="330">
        <f>ROUND(H85/1000,0)</f>
        <v>227836</v>
      </c>
      <c r="G85" s="330">
        <v>0</v>
      </c>
      <c r="H85" s="330">
        <v>227836069</v>
      </c>
      <c r="M85" s="514"/>
      <c r="N85" s="518"/>
    </row>
    <row r="86" spans="1:14" ht="15.75">
      <c r="A86" s="365">
        <v>442200</v>
      </c>
      <c r="B86" s="364" t="s">
        <v>315</v>
      </c>
      <c r="C86" s="363"/>
      <c r="F86" s="330">
        <f t="shared" ref="F86:F150" si="4">ROUND(H86/1000,0)</f>
        <v>216620</v>
      </c>
      <c r="G86" s="330">
        <v>0</v>
      </c>
      <c r="H86" s="330">
        <v>216620304</v>
      </c>
      <c r="M86" s="514"/>
      <c r="N86" s="518"/>
    </row>
    <row r="87" spans="1:14" ht="15.75">
      <c r="A87" s="365">
        <v>442300</v>
      </c>
      <c r="B87" s="364" t="s">
        <v>316</v>
      </c>
      <c r="C87" s="363"/>
      <c r="F87" s="330">
        <f t="shared" si="4"/>
        <v>63048</v>
      </c>
      <c r="G87" s="330">
        <v>0</v>
      </c>
      <c r="H87" s="330">
        <v>63048488</v>
      </c>
      <c r="M87" s="514"/>
      <c r="N87" s="518"/>
    </row>
    <row r="88" spans="1:14" ht="15.75">
      <c r="A88" s="365">
        <v>444000</v>
      </c>
      <c r="B88" s="364" t="s">
        <v>317</v>
      </c>
      <c r="C88" s="363"/>
      <c r="F88" s="330">
        <f t="shared" si="4"/>
        <v>5155</v>
      </c>
      <c r="G88" s="330">
        <v>0</v>
      </c>
      <c r="H88" s="330">
        <v>5154751</v>
      </c>
      <c r="M88" s="514"/>
      <c r="N88" s="518"/>
    </row>
    <row r="89" spans="1:14" ht="15.75">
      <c r="A89" s="365">
        <v>448000</v>
      </c>
      <c r="B89" s="364" t="s">
        <v>320</v>
      </c>
      <c r="E89" s="363"/>
      <c r="F89" s="330">
        <f t="shared" si="4"/>
        <v>946</v>
      </c>
      <c r="G89" s="330">
        <v>0</v>
      </c>
      <c r="H89" s="330">
        <v>945950</v>
      </c>
      <c r="M89" s="514"/>
      <c r="N89" s="518"/>
    </row>
    <row r="90" spans="1:14" ht="15.75">
      <c r="A90" s="362" t="s">
        <v>318</v>
      </c>
      <c r="B90" s="364" t="s">
        <v>319</v>
      </c>
      <c r="C90" s="363"/>
      <c r="F90" s="330">
        <f t="shared" si="4"/>
        <v>3674</v>
      </c>
      <c r="G90" s="330">
        <v>0</v>
      </c>
      <c r="H90" s="330">
        <v>3673833</v>
      </c>
      <c r="M90" s="514"/>
      <c r="N90" s="518"/>
    </row>
    <row r="91" spans="1:14" ht="15.75">
      <c r="A91" s="365"/>
      <c r="B91" s="364" t="s">
        <v>321</v>
      </c>
      <c r="C91" s="363"/>
      <c r="F91" s="330">
        <f t="shared" si="4"/>
        <v>517279</v>
      </c>
      <c r="G91" s="330">
        <v>0</v>
      </c>
      <c r="H91" s="330">
        <v>517279395</v>
      </c>
      <c r="M91" s="514"/>
      <c r="N91" s="518"/>
    </row>
    <row r="92" spans="1:14" ht="15.75">
      <c r="A92" s="365"/>
      <c r="B92" s="364"/>
      <c r="C92" s="363"/>
      <c r="F92" s="330">
        <f t="shared" si="4"/>
        <v>0</v>
      </c>
      <c r="G92" s="330">
        <v>0</v>
      </c>
      <c r="M92" s="514"/>
      <c r="N92" s="518"/>
    </row>
    <row r="93" spans="1:14" ht="15.75">
      <c r="A93" s="365" t="s">
        <v>322</v>
      </c>
      <c r="B93" s="364" t="s">
        <v>43</v>
      </c>
      <c r="C93" s="363"/>
      <c r="F93" s="330">
        <f t="shared" si="4"/>
        <v>78098</v>
      </c>
      <c r="G93" s="330">
        <v>0</v>
      </c>
      <c r="H93" s="330">
        <v>78097735</v>
      </c>
      <c r="M93" s="514"/>
      <c r="N93" s="518"/>
    </row>
    <row r="94" spans="1:14" ht="15.75">
      <c r="A94" s="365"/>
      <c r="B94" s="364" t="s">
        <v>323</v>
      </c>
      <c r="C94" s="363"/>
      <c r="F94" s="330">
        <f t="shared" si="4"/>
        <v>595377</v>
      </c>
      <c r="G94" s="330">
        <v>0</v>
      </c>
      <c r="H94" s="330">
        <v>595377130</v>
      </c>
      <c r="M94" s="514"/>
      <c r="N94" s="518"/>
    </row>
    <row r="95" spans="1:14" ht="15.75">
      <c r="A95" s="365"/>
      <c r="B95" s="364"/>
      <c r="C95" s="363"/>
      <c r="F95" s="330">
        <f t="shared" si="4"/>
        <v>0</v>
      </c>
      <c r="G95" s="330">
        <v>0</v>
      </c>
      <c r="M95" s="514"/>
      <c r="N95" s="518"/>
    </row>
    <row r="96" spans="1:14" ht="15.75">
      <c r="A96" s="365"/>
      <c r="B96" s="364" t="s">
        <v>324</v>
      </c>
      <c r="C96" s="363"/>
      <c r="F96" s="330">
        <f t="shared" si="4"/>
        <v>0</v>
      </c>
      <c r="G96" s="330">
        <v>0</v>
      </c>
      <c r="M96" s="514"/>
      <c r="N96" s="518"/>
    </row>
    <row r="97" spans="1:14" ht="15.75">
      <c r="A97" s="515">
        <v>449100</v>
      </c>
      <c r="B97" s="514" t="s">
        <v>700</v>
      </c>
      <c r="C97" s="363"/>
      <c r="F97" s="330">
        <f t="shared" ref="F97" si="5">ROUND(H97/1000,0)</f>
        <v>220</v>
      </c>
      <c r="G97" s="330">
        <v>1</v>
      </c>
      <c r="H97" s="330">
        <v>220462</v>
      </c>
      <c r="M97" s="514"/>
      <c r="N97" s="518"/>
    </row>
    <row r="98" spans="1:14" ht="15.75">
      <c r="A98" s="365">
        <v>451000</v>
      </c>
      <c r="B98" s="364" t="s">
        <v>325</v>
      </c>
      <c r="C98" s="363"/>
      <c r="F98" s="330">
        <f t="shared" si="4"/>
        <v>267</v>
      </c>
      <c r="G98" s="330">
        <v>0</v>
      </c>
      <c r="H98" s="330">
        <v>266939</v>
      </c>
      <c r="M98" s="514"/>
      <c r="N98" s="518"/>
    </row>
    <row r="99" spans="1:14" ht="15.75">
      <c r="A99" s="365">
        <v>453000</v>
      </c>
      <c r="B99" s="364" t="s">
        <v>326</v>
      </c>
      <c r="C99" s="363"/>
      <c r="F99" s="330">
        <f t="shared" si="4"/>
        <v>234</v>
      </c>
      <c r="G99" s="330">
        <v>0</v>
      </c>
      <c r="H99" s="330">
        <v>234435</v>
      </c>
      <c r="M99" s="514"/>
      <c r="N99" s="518"/>
    </row>
    <row r="100" spans="1:14" ht="15.75">
      <c r="A100" s="365">
        <v>454000</v>
      </c>
      <c r="B100" s="364" t="s">
        <v>327</v>
      </c>
      <c r="C100" s="363"/>
      <c r="F100" s="330">
        <f t="shared" si="4"/>
        <v>1829</v>
      </c>
      <c r="G100" s="330">
        <v>0</v>
      </c>
      <c r="H100" s="330">
        <v>1828847</v>
      </c>
      <c r="M100" s="514"/>
      <c r="N100" s="518"/>
    </row>
    <row r="101" spans="1:14" ht="15.75">
      <c r="A101" s="362" t="s">
        <v>328</v>
      </c>
      <c r="B101" s="364" t="s">
        <v>329</v>
      </c>
      <c r="C101" s="363"/>
      <c r="F101" s="330">
        <f t="shared" si="4"/>
        <v>79184</v>
      </c>
      <c r="G101" s="330">
        <v>0</v>
      </c>
      <c r="H101" s="330">
        <v>79183997</v>
      </c>
      <c r="M101" s="514"/>
      <c r="N101" s="518"/>
    </row>
    <row r="102" spans="1:14" ht="15.75">
      <c r="A102" s="362"/>
      <c r="B102" s="364" t="s">
        <v>330</v>
      </c>
      <c r="C102" s="363"/>
      <c r="F102" s="330">
        <f t="shared" si="4"/>
        <v>81735</v>
      </c>
      <c r="G102" s="330">
        <v>0</v>
      </c>
      <c r="H102" s="330">
        <v>81734680</v>
      </c>
      <c r="M102" s="514"/>
      <c r="N102" s="518"/>
    </row>
    <row r="103" spans="1:14" ht="15.75">
      <c r="A103" s="362"/>
      <c r="B103" s="364" t="s">
        <v>331</v>
      </c>
      <c r="C103" s="363"/>
      <c r="F103" s="330">
        <f t="shared" si="4"/>
        <v>677112</v>
      </c>
      <c r="G103" s="330">
        <v>0</v>
      </c>
      <c r="H103" s="330">
        <v>677111810</v>
      </c>
      <c r="M103" s="514"/>
      <c r="N103" s="518"/>
    </row>
    <row r="104" spans="1:14" ht="15.75">
      <c r="A104" s="362"/>
      <c r="B104" s="364"/>
      <c r="C104" s="363"/>
      <c r="F104" s="330">
        <f t="shared" si="4"/>
        <v>0</v>
      </c>
      <c r="G104" s="330">
        <v>0</v>
      </c>
      <c r="M104" s="514"/>
      <c r="N104" s="518"/>
    </row>
    <row r="105" spans="1:14" ht="15.75">
      <c r="A105" s="362"/>
      <c r="B105" s="364" t="s">
        <v>332</v>
      </c>
      <c r="C105" s="363"/>
      <c r="F105" s="330">
        <f t="shared" si="4"/>
        <v>0</v>
      </c>
      <c r="G105" s="330">
        <v>0</v>
      </c>
      <c r="M105" s="514"/>
      <c r="N105" s="518"/>
    </row>
    <row r="106" spans="1:14" ht="15.75">
      <c r="A106" s="362"/>
      <c r="B106" s="364" t="s">
        <v>333</v>
      </c>
      <c r="C106" s="363"/>
      <c r="F106" s="330">
        <f t="shared" si="4"/>
        <v>0</v>
      </c>
      <c r="G106" s="330">
        <v>0</v>
      </c>
      <c r="M106" s="514"/>
      <c r="N106" s="518"/>
    </row>
    <row r="107" spans="1:14" ht="15.75">
      <c r="A107" s="362"/>
      <c r="B107" s="364" t="s">
        <v>334</v>
      </c>
      <c r="C107" s="363"/>
      <c r="F107" s="330">
        <f t="shared" si="4"/>
        <v>0</v>
      </c>
      <c r="G107" s="330">
        <v>0</v>
      </c>
      <c r="M107" s="514"/>
      <c r="N107" s="518"/>
    </row>
    <row r="108" spans="1:14" ht="15.75">
      <c r="A108" s="365">
        <v>500000</v>
      </c>
      <c r="B108" s="364" t="s">
        <v>335</v>
      </c>
      <c r="C108" s="363"/>
      <c r="F108" s="330">
        <f t="shared" si="4"/>
        <v>209</v>
      </c>
      <c r="G108" s="330">
        <v>0</v>
      </c>
      <c r="H108" s="330">
        <v>209468</v>
      </c>
      <c r="M108" s="514"/>
      <c r="N108" s="518"/>
    </row>
    <row r="109" spans="1:14" ht="15.75">
      <c r="A109" s="365">
        <v>501000</v>
      </c>
      <c r="B109" s="364" t="s">
        <v>336</v>
      </c>
      <c r="C109" s="363"/>
      <c r="F109" s="330">
        <f t="shared" si="4"/>
        <v>20076</v>
      </c>
      <c r="G109" s="330">
        <v>0</v>
      </c>
      <c r="H109" s="330">
        <v>20075571</v>
      </c>
      <c r="M109" s="514"/>
      <c r="N109" s="518"/>
    </row>
    <row r="110" spans="1:14" ht="15.75">
      <c r="A110" s="365">
        <v>502000</v>
      </c>
      <c r="B110" s="364" t="s">
        <v>337</v>
      </c>
      <c r="C110" s="363"/>
      <c r="F110" s="330">
        <f t="shared" si="4"/>
        <v>2933</v>
      </c>
      <c r="G110" s="330">
        <v>0</v>
      </c>
      <c r="H110" s="330">
        <v>2933168</v>
      </c>
      <c r="M110" s="514"/>
      <c r="N110" s="518"/>
    </row>
    <row r="111" spans="1:14" ht="15.75">
      <c r="A111" s="365">
        <v>505000</v>
      </c>
      <c r="B111" s="364" t="s">
        <v>338</v>
      </c>
      <c r="C111" s="363"/>
      <c r="F111" s="330">
        <f t="shared" si="4"/>
        <v>789</v>
      </c>
      <c r="G111" s="330">
        <v>0</v>
      </c>
      <c r="H111" s="330">
        <v>789466</v>
      </c>
      <c r="M111" s="514"/>
      <c r="N111" s="518"/>
    </row>
    <row r="112" spans="1:14" ht="15.75">
      <c r="A112" s="365">
        <v>506000</v>
      </c>
      <c r="B112" s="364" t="s">
        <v>339</v>
      </c>
      <c r="C112" s="363"/>
      <c r="F112" s="330">
        <f t="shared" si="4"/>
        <v>2154</v>
      </c>
      <c r="G112" s="330">
        <v>0</v>
      </c>
      <c r="H112" s="330">
        <v>2154267</v>
      </c>
      <c r="M112" s="514"/>
      <c r="N112" s="518"/>
    </row>
    <row r="113" spans="1:14" ht="15.75">
      <c r="A113" s="365">
        <v>507000</v>
      </c>
      <c r="B113" s="364" t="s">
        <v>340</v>
      </c>
      <c r="C113" s="363"/>
      <c r="F113" s="330">
        <f t="shared" si="4"/>
        <v>27</v>
      </c>
      <c r="G113" s="330">
        <v>0</v>
      </c>
      <c r="H113" s="330">
        <v>27201</v>
      </c>
      <c r="M113" s="514"/>
      <c r="N113" s="518"/>
    </row>
    <row r="114" spans="1:14" ht="15.75">
      <c r="A114" s="365"/>
      <c r="B114" s="364"/>
      <c r="C114" s="363"/>
      <c r="F114" s="330">
        <f t="shared" si="4"/>
        <v>0</v>
      </c>
      <c r="G114" s="330">
        <v>0</v>
      </c>
      <c r="M114" s="514"/>
      <c r="N114" s="518"/>
    </row>
    <row r="115" spans="1:14" ht="15.75">
      <c r="A115" s="365"/>
      <c r="B115" s="364" t="s">
        <v>341</v>
      </c>
      <c r="C115" s="363"/>
      <c r="F115" s="330">
        <f t="shared" si="4"/>
        <v>0</v>
      </c>
      <c r="G115" s="330">
        <v>0</v>
      </c>
      <c r="M115" s="514"/>
      <c r="N115" s="518"/>
    </row>
    <row r="116" spans="1:14" ht="15.75">
      <c r="A116" s="365">
        <v>510000</v>
      </c>
      <c r="B116" s="364" t="s">
        <v>335</v>
      </c>
      <c r="C116" s="363"/>
      <c r="F116" s="330">
        <f t="shared" si="4"/>
        <v>383</v>
      </c>
      <c r="G116" s="330">
        <v>0</v>
      </c>
      <c r="H116" s="330">
        <v>383082</v>
      </c>
      <c r="M116" s="514"/>
      <c r="N116" s="518"/>
    </row>
    <row r="117" spans="1:14" ht="15.75">
      <c r="A117" s="365">
        <v>511000</v>
      </c>
      <c r="B117" s="364" t="s">
        <v>342</v>
      </c>
      <c r="C117" s="363"/>
      <c r="F117" s="330">
        <f t="shared" si="4"/>
        <v>463</v>
      </c>
      <c r="G117" s="330">
        <v>0</v>
      </c>
      <c r="H117" s="330">
        <v>463477</v>
      </c>
      <c r="M117" s="514"/>
      <c r="N117" s="518"/>
    </row>
    <row r="118" spans="1:14" ht="15.75">
      <c r="A118" s="365">
        <v>512000</v>
      </c>
      <c r="B118" s="364" t="s">
        <v>343</v>
      </c>
      <c r="C118" s="363"/>
      <c r="F118" s="330">
        <f t="shared" si="4"/>
        <v>4737</v>
      </c>
      <c r="G118" s="330">
        <v>0</v>
      </c>
      <c r="H118" s="330">
        <v>4737098</v>
      </c>
      <c r="M118" s="514"/>
      <c r="N118" s="518"/>
    </row>
    <row r="119" spans="1:14" ht="15.75">
      <c r="A119" s="365">
        <v>513000</v>
      </c>
      <c r="B119" s="364" t="s">
        <v>344</v>
      </c>
      <c r="C119" s="363"/>
      <c r="F119" s="330">
        <f t="shared" si="4"/>
        <v>1598</v>
      </c>
      <c r="G119" s="330">
        <v>0</v>
      </c>
      <c r="H119" s="330">
        <v>1598258</v>
      </c>
      <c r="M119" s="514"/>
      <c r="N119" s="518"/>
    </row>
    <row r="120" spans="1:14" ht="15.75">
      <c r="A120" s="365">
        <v>514000</v>
      </c>
      <c r="B120" s="364" t="s">
        <v>345</v>
      </c>
      <c r="C120" s="363"/>
      <c r="F120" s="330">
        <f t="shared" si="4"/>
        <v>1123</v>
      </c>
      <c r="G120" s="330">
        <v>0</v>
      </c>
      <c r="H120" s="330">
        <v>1122549</v>
      </c>
      <c r="M120" s="514"/>
      <c r="N120" s="518"/>
    </row>
    <row r="121" spans="1:14" ht="15.75">
      <c r="A121" s="362"/>
      <c r="B121" s="364" t="s">
        <v>346</v>
      </c>
      <c r="C121" s="363"/>
      <c r="F121" s="330">
        <f t="shared" si="4"/>
        <v>34494</v>
      </c>
      <c r="G121" s="330">
        <v>0</v>
      </c>
      <c r="H121" s="330">
        <v>34493605</v>
      </c>
      <c r="M121" s="514"/>
      <c r="N121" s="518"/>
    </row>
    <row r="122" spans="1:14" ht="15.75">
      <c r="A122" s="362"/>
      <c r="B122" s="364"/>
      <c r="C122" s="363"/>
      <c r="F122" s="330">
        <f t="shared" si="4"/>
        <v>0</v>
      </c>
      <c r="G122" s="330">
        <v>0</v>
      </c>
      <c r="M122" s="514"/>
      <c r="N122" s="518"/>
    </row>
    <row r="123" spans="1:14" ht="15.75">
      <c r="A123" s="362"/>
      <c r="B123" s="364" t="s">
        <v>347</v>
      </c>
      <c r="C123" s="363"/>
      <c r="F123" s="330">
        <f t="shared" si="4"/>
        <v>0</v>
      </c>
      <c r="G123" s="330">
        <v>0</v>
      </c>
      <c r="M123" s="514"/>
      <c r="N123" s="518"/>
    </row>
    <row r="124" spans="1:14" ht="15.75">
      <c r="A124" s="362"/>
      <c r="B124" s="364" t="s">
        <v>334</v>
      </c>
      <c r="C124" s="363"/>
      <c r="F124" s="330">
        <f t="shared" si="4"/>
        <v>0</v>
      </c>
      <c r="G124" s="330">
        <v>0</v>
      </c>
      <c r="M124" s="514"/>
      <c r="N124" s="518"/>
    </row>
    <row r="125" spans="1:14" ht="15.75">
      <c r="A125" s="365">
        <v>535000</v>
      </c>
      <c r="B125" s="364" t="s">
        <v>335</v>
      </c>
      <c r="C125" s="363"/>
      <c r="F125" s="330">
        <f t="shared" si="4"/>
        <v>1896</v>
      </c>
      <c r="G125" s="330">
        <v>0</v>
      </c>
      <c r="H125" s="330">
        <v>1896004</v>
      </c>
      <c r="M125" s="514"/>
      <c r="N125" s="518"/>
    </row>
    <row r="126" spans="1:14" ht="15.75">
      <c r="A126" s="365">
        <v>536000</v>
      </c>
      <c r="B126" s="364" t="s">
        <v>348</v>
      </c>
      <c r="C126" s="363"/>
      <c r="F126" s="330">
        <f t="shared" si="4"/>
        <v>711</v>
      </c>
      <c r="G126" s="330">
        <v>0</v>
      </c>
      <c r="H126" s="330">
        <v>710557</v>
      </c>
      <c r="M126" s="514"/>
      <c r="N126" s="518"/>
    </row>
    <row r="127" spans="1:14" ht="15.75">
      <c r="A127" s="365">
        <v>537000</v>
      </c>
      <c r="B127" s="364" t="s">
        <v>349</v>
      </c>
      <c r="C127" s="363"/>
      <c r="F127" s="330">
        <f t="shared" si="4"/>
        <v>4744</v>
      </c>
      <c r="G127" s="330">
        <v>0</v>
      </c>
      <c r="H127" s="330">
        <v>4744114</v>
      </c>
      <c r="M127" s="514"/>
      <c r="N127" s="518"/>
    </row>
    <row r="128" spans="1:14" ht="15.75">
      <c r="A128" s="365">
        <v>538000</v>
      </c>
      <c r="B128" s="364" t="s">
        <v>338</v>
      </c>
      <c r="C128" s="363"/>
      <c r="F128" s="330">
        <f t="shared" si="4"/>
        <v>4696</v>
      </c>
      <c r="G128" s="330">
        <v>0</v>
      </c>
      <c r="H128" s="330">
        <v>4695602</v>
      </c>
      <c r="M128" s="514"/>
      <c r="N128" s="518"/>
    </row>
    <row r="129" spans="1:14" ht="15.75">
      <c r="A129" s="365">
        <v>539000</v>
      </c>
      <c r="B129" s="364" t="s">
        <v>350</v>
      </c>
      <c r="C129" s="363"/>
      <c r="F129" s="330">
        <f t="shared" si="4"/>
        <v>598</v>
      </c>
      <c r="G129" s="330">
        <v>0</v>
      </c>
      <c r="H129" s="330">
        <v>597770</v>
      </c>
      <c r="M129" s="514"/>
      <c r="N129" s="518"/>
    </row>
    <row r="130" spans="1:14" ht="15.75">
      <c r="A130" s="365">
        <v>540000</v>
      </c>
      <c r="B130" s="364" t="s">
        <v>340</v>
      </c>
      <c r="C130" s="363"/>
      <c r="F130" s="330">
        <f t="shared" si="4"/>
        <v>837</v>
      </c>
      <c r="G130" s="330">
        <v>0</v>
      </c>
      <c r="H130" s="330">
        <v>837315</v>
      </c>
      <c r="M130" s="514"/>
      <c r="N130" s="518"/>
    </row>
    <row r="131" spans="1:14" ht="15.75">
      <c r="A131" s="366">
        <v>540100</v>
      </c>
      <c r="B131" s="367" t="s">
        <v>351</v>
      </c>
      <c r="C131" s="368"/>
      <c r="F131" s="330">
        <f t="shared" si="4"/>
        <v>3657</v>
      </c>
      <c r="G131" s="330">
        <v>0</v>
      </c>
      <c r="H131" s="330">
        <v>3656641</v>
      </c>
      <c r="M131" s="517"/>
      <c r="N131" s="523"/>
    </row>
    <row r="132" spans="1:14" ht="15.75">
      <c r="A132" s="362"/>
      <c r="B132" s="364"/>
      <c r="C132" s="363"/>
      <c r="F132" s="330">
        <f t="shared" si="4"/>
        <v>0</v>
      </c>
      <c r="G132" s="330">
        <v>0</v>
      </c>
      <c r="M132" s="514"/>
      <c r="N132" s="518"/>
    </row>
    <row r="133" spans="1:14" ht="15.75">
      <c r="A133" s="362"/>
      <c r="B133" s="364" t="s">
        <v>341</v>
      </c>
      <c r="C133" s="363"/>
      <c r="F133" s="330">
        <f t="shared" si="4"/>
        <v>0</v>
      </c>
      <c r="G133" s="330">
        <v>0</v>
      </c>
      <c r="M133" s="514"/>
      <c r="N133" s="518"/>
    </row>
    <row r="134" spans="1:14" ht="15.75">
      <c r="A134" s="365">
        <v>541000</v>
      </c>
      <c r="B134" s="364" t="s">
        <v>335</v>
      </c>
      <c r="C134" s="363"/>
      <c r="F134" s="330">
        <f t="shared" si="4"/>
        <v>594</v>
      </c>
      <c r="G134" s="330">
        <v>0</v>
      </c>
      <c r="H134" s="330">
        <v>594394</v>
      </c>
      <c r="M134" s="514"/>
      <c r="N134" s="518"/>
    </row>
    <row r="135" spans="1:14" ht="15.75">
      <c r="A135" s="365">
        <v>542000</v>
      </c>
      <c r="B135" s="364" t="s">
        <v>342</v>
      </c>
      <c r="C135" s="363"/>
      <c r="F135" s="330">
        <f t="shared" si="4"/>
        <v>338</v>
      </c>
      <c r="G135" s="330">
        <v>0</v>
      </c>
      <c r="H135" s="330">
        <v>338373</v>
      </c>
      <c r="M135" s="514"/>
      <c r="N135" s="518"/>
    </row>
    <row r="136" spans="1:14" ht="15.75">
      <c r="A136" s="365">
        <v>543000</v>
      </c>
      <c r="B136" s="364" t="s">
        <v>352</v>
      </c>
      <c r="C136" s="363"/>
      <c r="F136" s="330">
        <f t="shared" si="4"/>
        <v>1559</v>
      </c>
      <c r="G136" s="330">
        <v>0</v>
      </c>
      <c r="H136" s="330">
        <v>1559413</v>
      </c>
      <c r="M136" s="514"/>
      <c r="N136" s="518"/>
    </row>
    <row r="137" spans="1:14" ht="15.75">
      <c r="A137" s="365">
        <v>544000</v>
      </c>
      <c r="B137" s="364" t="s">
        <v>344</v>
      </c>
      <c r="C137" s="363"/>
      <c r="F137" s="330">
        <f t="shared" si="4"/>
        <v>2011</v>
      </c>
      <c r="G137" s="330">
        <v>0</v>
      </c>
      <c r="H137" s="330">
        <v>2011360</v>
      </c>
      <c r="M137" s="514"/>
      <c r="N137" s="518"/>
    </row>
    <row r="138" spans="1:14" ht="15.75">
      <c r="A138" s="365">
        <v>545000</v>
      </c>
      <c r="B138" s="364" t="s">
        <v>353</v>
      </c>
      <c r="C138" s="363"/>
      <c r="F138" s="330">
        <f t="shared" si="4"/>
        <v>476</v>
      </c>
      <c r="G138" s="330">
        <v>0</v>
      </c>
      <c r="H138" s="330">
        <v>475795</v>
      </c>
      <c r="M138" s="514"/>
      <c r="N138" s="518"/>
    </row>
    <row r="139" spans="1:14" ht="15.75">
      <c r="A139" s="362"/>
      <c r="B139" s="364" t="s">
        <v>354</v>
      </c>
      <c r="C139" s="363"/>
      <c r="F139" s="330">
        <f t="shared" si="4"/>
        <v>22117</v>
      </c>
      <c r="G139" s="330">
        <v>0</v>
      </c>
      <c r="H139" s="330">
        <v>22117338</v>
      </c>
      <c r="M139" s="514"/>
      <c r="N139" s="518"/>
    </row>
    <row r="140" spans="1:14" ht="15.75">
      <c r="A140" s="362"/>
      <c r="B140" s="364"/>
      <c r="C140" s="363"/>
      <c r="F140" s="330">
        <f t="shared" si="4"/>
        <v>0</v>
      </c>
      <c r="G140" s="330">
        <v>0</v>
      </c>
      <c r="M140" s="514"/>
      <c r="N140" s="518"/>
    </row>
    <row r="141" spans="1:14" ht="15.75">
      <c r="A141" s="362"/>
      <c r="B141" s="364" t="s">
        <v>355</v>
      </c>
      <c r="C141" s="363"/>
      <c r="F141" s="330">
        <f t="shared" si="4"/>
        <v>0</v>
      </c>
      <c r="G141" s="330">
        <v>0</v>
      </c>
      <c r="M141" s="514"/>
      <c r="N141" s="518"/>
    </row>
    <row r="142" spans="1:14" ht="15.75">
      <c r="A142" s="362"/>
      <c r="B142" s="364" t="s">
        <v>334</v>
      </c>
      <c r="C142" s="363"/>
      <c r="F142" s="330">
        <f t="shared" si="4"/>
        <v>0</v>
      </c>
      <c r="G142" s="330">
        <v>0</v>
      </c>
      <c r="M142" s="514"/>
      <c r="N142" s="518"/>
    </row>
    <row r="143" spans="1:14" ht="15.75">
      <c r="A143" s="365">
        <v>546000</v>
      </c>
      <c r="B143" s="364" t="s">
        <v>335</v>
      </c>
      <c r="C143" s="363"/>
      <c r="F143" s="330">
        <f t="shared" si="4"/>
        <v>801</v>
      </c>
      <c r="G143" s="330">
        <v>0</v>
      </c>
      <c r="H143" s="330">
        <v>801026</v>
      </c>
      <c r="M143" s="514"/>
      <c r="N143" s="518"/>
    </row>
    <row r="144" spans="1:14" ht="15.75">
      <c r="A144" s="365">
        <v>547000</v>
      </c>
      <c r="B144" s="364" t="s">
        <v>336</v>
      </c>
      <c r="C144" s="363"/>
      <c r="F144" s="330">
        <f t="shared" si="4"/>
        <v>50743</v>
      </c>
      <c r="G144" s="330">
        <v>0</v>
      </c>
      <c r="H144" s="330">
        <v>50742893</v>
      </c>
      <c r="M144" s="514"/>
      <c r="N144" s="518"/>
    </row>
    <row r="145" spans="1:14" ht="15.75">
      <c r="A145" s="365">
        <v>548000</v>
      </c>
      <c r="B145" s="364" t="s">
        <v>356</v>
      </c>
      <c r="C145" s="363"/>
      <c r="F145" s="330">
        <f t="shared" si="4"/>
        <v>1041</v>
      </c>
      <c r="G145" s="330">
        <v>0</v>
      </c>
      <c r="H145" s="330">
        <v>1041442</v>
      </c>
      <c r="M145" s="514"/>
      <c r="N145" s="518"/>
    </row>
    <row r="146" spans="1:14" ht="15.75">
      <c r="A146" s="365">
        <v>549000</v>
      </c>
      <c r="B146" s="364" t="s">
        <v>357</v>
      </c>
      <c r="C146" s="363"/>
      <c r="F146" s="330">
        <f t="shared" si="4"/>
        <v>392</v>
      </c>
      <c r="G146" s="330">
        <v>0</v>
      </c>
      <c r="H146" s="330">
        <v>391678</v>
      </c>
      <c r="M146" s="514"/>
      <c r="N146" s="518"/>
    </row>
    <row r="147" spans="1:14" ht="15.75">
      <c r="A147" s="365">
        <v>550000</v>
      </c>
      <c r="B147" s="364" t="s">
        <v>340</v>
      </c>
      <c r="C147" s="363"/>
      <c r="F147" s="330">
        <f t="shared" si="4"/>
        <v>-22</v>
      </c>
      <c r="G147" s="330">
        <v>0</v>
      </c>
      <c r="H147" s="330">
        <v>-22132</v>
      </c>
      <c r="M147" s="514"/>
      <c r="N147" s="518"/>
    </row>
    <row r="148" spans="1:14" ht="15.75">
      <c r="A148" s="362"/>
      <c r="B148" s="364"/>
      <c r="C148" s="363"/>
      <c r="F148" s="330">
        <f t="shared" si="4"/>
        <v>0</v>
      </c>
      <c r="G148" s="330">
        <v>0</v>
      </c>
      <c r="M148" s="514"/>
      <c r="N148" s="518"/>
    </row>
    <row r="149" spans="1:14" ht="15.75">
      <c r="A149" s="362"/>
      <c r="B149" s="364" t="s">
        <v>341</v>
      </c>
      <c r="C149" s="363"/>
      <c r="F149" s="330">
        <f t="shared" si="4"/>
        <v>0</v>
      </c>
      <c r="G149" s="330">
        <v>0</v>
      </c>
      <c r="M149" s="514"/>
      <c r="N149" s="518"/>
    </row>
    <row r="150" spans="1:14" ht="15.75">
      <c r="A150" s="365">
        <v>551000</v>
      </c>
      <c r="B150" s="364" t="s">
        <v>335</v>
      </c>
      <c r="C150" s="363"/>
      <c r="F150" s="330">
        <f t="shared" si="4"/>
        <v>415</v>
      </c>
      <c r="G150" s="330">
        <v>0</v>
      </c>
      <c r="H150" s="330">
        <v>414996</v>
      </c>
      <c r="M150" s="514"/>
      <c r="N150" s="518"/>
    </row>
    <row r="151" spans="1:14" ht="15.75">
      <c r="A151" s="365">
        <v>552000</v>
      </c>
      <c r="B151" s="364" t="s">
        <v>342</v>
      </c>
      <c r="C151" s="363"/>
      <c r="F151" s="330">
        <f t="shared" ref="F151:F228" si="6">ROUND(H151/1000,0)</f>
        <v>84</v>
      </c>
      <c r="G151" s="330">
        <v>0</v>
      </c>
      <c r="H151" s="330">
        <v>83600</v>
      </c>
      <c r="M151" s="514"/>
      <c r="N151" s="518"/>
    </row>
    <row r="152" spans="1:14" ht="15.75">
      <c r="A152" s="365">
        <v>553000</v>
      </c>
      <c r="B152" s="364" t="s">
        <v>358</v>
      </c>
      <c r="C152" s="363"/>
      <c r="F152" s="330">
        <f t="shared" si="6"/>
        <v>2102</v>
      </c>
      <c r="G152" s="330">
        <v>0</v>
      </c>
      <c r="H152" s="330">
        <v>2101726</v>
      </c>
      <c r="M152" s="514"/>
      <c r="N152" s="518"/>
    </row>
    <row r="153" spans="1:14" ht="15.75">
      <c r="A153" s="365">
        <v>554000</v>
      </c>
      <c r="B153" s="364" t="s">
        <v>359</v>
      </c>
      <c r="C153" s="363"/>
      <c r="F153" s="330">
        <f t="shared" si="6"/>
        <v>178</v>
      </c>
      <c r="G153" s="330">
        <v>0</v>
      </c>
      <c r="H153" s="330">
        <v>177570</v>
      </c>
      <c r="M153" s="514"/>
      <c r="N153" s="518"/>
    </row>
    <row r="154" spans="1:14" ht="15.75">
      <c r="A154" s="362"/>
      <c r="B154" s="364" t="s">
        <v>360</v>
      </c>
      <c r="C154" s="363"/>
      <c r="F154" s="330">
        <f t="shared" si="6"/>
        <v>55733</v>
      </c>
      <c r="G154" s="330">
        <v>0</v>
      </c>
      <c r="H154" s="330">
        <v>55732799</v>
      </c>
      <c r="M154" s="514"/>
      <c r="N154" s="518"/>
    </row>
    <row r="155" spans="1:14" ht="15.75">
      <c r="A155" s="362"/>
      <c r="B155" s="364"/>
      <c r="C155" s="363"/>
      <c r="F155" s="330">
        <f t="shared" si="6"/>
        <v>0</v>
      </c>
      <c r="G155" s="330">
        <v>0</v>
      </c>
      <c r="M155" s="514"/>
      <c r="N155" s="518"/>
    </row>
    <row r="156" spans="1:14" ht="15.75">
      <c r="A156" s="362"/>
      <c r="B156" s="364" t="s">
        <v>361</v>
      </c>
      <c r="C156" s="363"/>
      <c r="F156" s="330">
        <f t="shared" si="6"/>
        <v>0</v>
      </c>
      <c r="G156" s="330">
        <v>0</v>
      </c>
      <c r="M156" s="514"/>
      <c r="N156" s="518"/>
    </row>
    <row r="157" spans="1:14" ht="15.75">
      <c r="A157" s="362" t="s">
        <v>362</v>
      </c>
      <c r="B157" s="364" t="s">
        <v>50</v>
      </c>
      <c r="C157" s="363"/>
      <c r="F157" s="330">
        <f t="shared" si="6"/>
        <v>96772</v>
      </c>
      <c r="G157" s="330">
        <v>0</v>
      </c>
      <c r="H157" s="330">
        <v>96772129</v>
      </c>
      <c r="M157" s="514"/>
      <c r="N157" s="518"/>
    </row>
    <row r="158" spans="1:14" ht="15.75">
      <c r="A158" s="365">
        <v>556000</v>
      </c>
      <c r="B158" s="364" t="s">
        <v>363</v>
      </c>
      <c r="C158" s="363"/>
      <c r="F158" s="330">
        <f t="shared" si="6"/>
        <v>493</v>
      </c>
      <c r="G158" s="330">
        <v>0</v>
      </c>
      <c r="H158" s="330">
        <v>493194</v>
      </c>
      <c r="M158" s="514"/>
      <c r="N158" s="518"/>
    </row>
    <row r="159" spans="1:14" ht="15.75">
      <c r="A159" s="365" t="s">
        <v>364</v>
      </c>
      <c r="B159" s="364" t="s">
        <v>365</v>
      </c>
      <c r="C159" s="363"/>
      <c r="F159" s="330">
        <f t="shared" si="6"/>
        <v>51397</v>
      </c>
      <c r="G159" s="330">
        <v>0</v>
      </c>
      <c r="H159" s="330">
        <v>51396875</v>
      </c>
      <c r="M159" s="514"/>
      <c r="N159" s="518"/>
    </row>
    <row r="160" spans="1:14" ht="15.75">
      <c r="A160" s="365"/>
      <c r="B160" s="364" t="s">
        <v>366</v>
      </c>
      <c r="C160" s="363"/>
      <c r="F160" s="330">
        <f t="shared" si="6"/>
        <v>148662</v>
      </c>
      <c r="G160" s="330">
        <v>0</v>
      </c>
      <c r="H160" s="330">
        <v>148662198</v>
      </c>
      <c r="M160" s="514"/>
      <c r="N160" s="518"/>
    </row>
    <row r="161" spans="1:14" ht="15.75">
      <c r="A161" s="365"/>
      <c r="B161" s="364" t="s">
        <v>367</v>
      </c>
      <c r="C161" s="363"/>
      <c r="F161" s="330">
        <f t="shared" si="6"/>
        <v>261006</v>
      </c>
      <c r="G161" s="330">
        <v>0</v>
      </c>
      <c r="H161" s="330">
        <v>261005940</v>
      </c>
      <c r="M161" s="514"/>
      <c r="N161" s="518"/>
    </row>
    <row r="162" spans="1:14" ht="15.75">
      <c r="A162" s="365"/>
      <c r="B162" s="364"/>
      <c r="C162" s="363"/>
      <c r="F162" s="330">
        <f t="shared" si="6"/>
        <v>0</v>
      </c>
      <c r="G162" s="330">
        <v>0</v>
      </c>
      <c r="M162" s="514"/>
      <c r="N162" s="518"/>
    </row>
    <row r="163" spans="1:14" ht="15.75">
      <c r="A163" s="365"/>
      <c r="B163" s="364" t="s">
        <v>368</v>
      </c>
      <c r="C163" s="363"/>
      <c r="F163" s="330">
        <f t="shared" si="6"/>
        <v>0</v>
      </c>
      <c r="G163" s="330">
        <v>0</v>
      </c>
      <c r="M163" s="514"/>
      <c r="N163" s="518"/>
    </row>
    <row r="164" spans="1:14" ht="15.75">
      <c r="A164" s="365"/>
      <c r="B164" s="364" t="s">
        <v>334</v>
      </c>
      <c r="C164" s="363"/>
      <c r="F164" s="330">
        <f t="shared" si="6"/>
        <v>0</v>
      </c>
      <c r="G164" s="330">
        <v>0</v>
      </c>
      <c r="M164" s="514"/>
      <c r="N164" s="518"/>
    </row>
    <row r="165" spans="1:14" ht="15.75">
      <c r="A165" s="365">
        <v>560000</v>
      </c>
      <c r="B165" s="364" t="s">
        <v>335</v>
      </c>
      <c r="C165" s="363"/>
      <c r="F165" s="330">
        <f t="shared" si="6"/>
        <v>1670</v>
      </c>
      <c r="G165" s="330">
        <v>0</v>
      </c>
      <c r="H165" s="330">
        <v>1669589</v>
      </c>
      <c r="M165" s="514"/>
      <c r="N165" s="518"/>
    </row>
    <row r="166" spans="1:14" ht="15.75">
      <c r="A166" s="365">
        <v>561000</v>
      </c>
      <c r="B166" s="364" t="s">
        <v>369</v>
      </c>
      <c r="C166" s="363"/>
      <c r="F166" s="330">
        <f t="shared" si="6"/>
        <v>1863</v>
      </c>
      <c r="G166" s="330">
        <v>0</v>
      </c>
      <c r="H166" s="330">
        <v>1862591</v>
      </c>
      <c r="M166" s="514"/>
      <c r="N166" s="518"/>
    </row>
    <row r="167" spans="1:14" ht="15.75">
      <c r="A167" s="365">
        <v>562000</v>
      </c>
      <c r="B167" s="364" t="s">
        <v>370</v>
      </c>
      <c r="C167" s="363"/>
      <c r="F167" s="330">
        <f t="shared" si="6"/>
        <v>287</v>
      </c>
      <c r="G167" s="330">
        <v>0</v>
      </c>
      <c r="H167" s="330">
        <v>287138</v>
      </c>
      <c r="M167" s="514"/>
      <c r="N167" s="518"/>
    </row>
    <row r="168" spans="1:14" ht="15.75">
      <c r="A168" s="515">
        <v>562100</v>
      </c>
      <c r="B168" s="514" t="s">
        <v>701</v>
      </c>
      <c r="C168" s="363"/>
      <c r="F168" s="330">
        <f t="shared" ref="F168" si="7">ROUND(H168/1000,0)</f>
        <v>0</v>
      </c>
      <c r="G168" s="330">
        <v>0</v>
      </c>
      <c r="H168" s="330">
        <v>0</v>
      </c>
      <c r="M168" s="514"/>
      <c r="N168" s="518"/>
    </row>
    <row r="169" spans="1:14" ht="15.75">
      <c r="A169" s="365">
        <v>563000</v>
      </c>
      <c r="B169" s="364" t="s">
        <v>371</v>
      </c>
      <c r="C169" s="363"/>
      <c r="F169" s="330">
        <f t="shared" si="6"/>
        <v>337</v>
      </c>
      <c r="G169" s="330">
        <v>0</v>
      </c>
      <c r="H169" s="330">
        <v>337280</v>
      </c>
      <c r="M169" s="514"/>
      <c r="N169" s="518"/>
    </row>
    <row r="170" spans="1:14" ht="15.75">
      <c r="A170" s="365">
        <v>565000</v>
      </c>
      <c r="B170" s="364" t="s">
        <v>372</v>
      </c>
      <c r="C170" s="363"/>
      <c r="F170" s="330">
        <f t="shared" si="6"/>
        <v>11339</v>
      </c>
      <c r="G170" s="330">
        <v>0</v>
      </c>
      <c r="H170" s="330">
        <v>11339318</v>
      </c>
      <c r="M170" s="514"/>
      <c r="N170" s="518"/>
    </row>
    <row r="171" spans="1:14" ht="15.75">
      <c r="A171" s="365">
        <v>566000</v>
      </c>
      <c r="B171" s="364" t="s">
        <v>373</v>
      </c>
      <c r="C171" s="363"/>
      <c r="F171" s="330">
        <f t="shared" si="6"/>
        <v>1599</v>
      </c>
      <c r="G171" s="330">
        <v>0</v>
      </c>
      <c r="H171" s="330">
        <v>1598537</v>
      </c>
      <c r="M171" s="514"/>
      <c r="N171" s="518"/>
    </row>
    <row r="172" spans="1:14" ht="15.75">
      <c r="A172" s="365">
        <v>567000</v>
      </c>
      <c r="B172" s="364" t="s">
        <v>340</v>
      </c>
      <c r="C172" s="363"/>
      <c r="F172" s="330">
        <f t="shared" si="6"/>
        <v>125</v>
      </c>
      <c r="G172" s="330">
        <v>0</v>
      </c>
      <c r="H172" s="330">
        <v>125349</v>
      </c>
      <c r="M172" s="514"/>
      <c r="N172" s="518"/>
    </row>
    <row r="173" spans="1:14" ht="15.75">
      <c r="A173" s="362"/>
      <c r="B173" s="364"/>
      <c r="C173" s="363"/>
      <c r="F173" s="330">
        <f t="shared" si="6"/>
        <v>0</v>
      </c>
      <c r="G173" s="330">
        <v>0</v>
      </c>
      <c r="M173" s="514"/>
      <c r="N173" s="518"/>
    </row>
    <row r="174" spans="1:14" ht="15.75">
      <c r="A174" s="362"/>
      <c r="B174" s="364" t="s">
        <v>341</v>
      </c>
      <c r="C174" s="363"/>
      <c r="F174" s="330">
        <f t="shared" si="6"/>
        <v>0</v>
      </c>
      <c r="G174" s="330">
        <v>0</v>
      </c>
      <c r="M174" s="514"/>
      <c r="N174" s="518"/>
    </row>
    <row r="175" spans="1:14" ht="15.75">
      <c r="A175" s="365">
        <v>568000</v>
      </c>
      <c r="B175" s="364" t="s">
        <v>335</v>
      </c>
      <c r="C175" s="363"/>
      <c r="F175" s="330">
        <f t="shared" si="6"/>
        <v>672</v>
      </c>
      <c r="G175" s="330">
        <v>0</v>
      </c>
      <c r="H175" s="330">
        <v>671604</v>
      </c>
      <c r="M175" s="514"/>
      <c r="N175" s="518"/>
    </row>
    <row r="176" spans="1:14" ht="15.75">
      <c r="A176" s="365">
        <v>569000</v>
      </c>
      <c r="B176" s="364" t="s">
        <v>342</v>
      </c>
      <c r="C176" s="363"/>
      <c r="F176" s="330">
        <f t="shared" si="6"/>
        <v>445</v>
      </c>
      <c r="G176" s="330">
        <v>0</v>
      </c>
      <c r="H176" s="330">
        <v>445134</v>
      </c>
      <c r="M176" s="514"/>
      <c r="N176" s="518"/>
    </row>
    <row r="177" spans="1:14" ht="15.75">
      <c r="A177" s="365">
        <v>570000</v>
      </c>
      <c r="B177" s="364" t="s">
        <v>374</v>
      </c>
      <c r="C177" s="363"/>
      <c r="F177" s="330">
        <f t="shared" si="6"/>
        <v>875</v>
      </c>
      <c r="G177" s="330">
        <v>0</v>
      </c>
      <c r="H177" s="330">
        <v>874609</v>
      </c>
      <c r="M177" s="514"/>
      <c r="N177" s="518"/>
    </row>
    <row r="178" spans="1:14" ht="15.75">
      <c r="A178" s="515">
        <v>570100</v>
      </c>
      <c r="B178" s="514" t="s">
        <v>701</v>
      </c>
      <c r="C178" s="363"/>
      <c r="F178" s="330">
        <f t="shared" ref="F178" si="8">ROUND(H178/1000,0)</f>
        <v>0</v>
      </c>
      <c r="G178" s="330">
        <v>0</v>
      </c>
      <c r="H178" s="330">
        <v>0</v>
      </c>
      <c r="M178" s="514"/>
      <c r="N178" s="518"/>
    </row>
    <row r="179" spans="1:14" ht="15.75">
      <c r="A179" s="365">
        <v>571000</v>
      </c>
      <c r="B179" s="364" t="s">
        <v>375</v>
      </c>
      <c r="C179" s="363"/>
      <c r="F179" s="330">
        <f t="shared" si="6"/>
        <v>1172</v>
      </c>
      <c r="G179" s="330">
        <v>0</v>
      </c>
      <c r="H179" s="330">
        <v>1171516</v>
      </c>
      <c r="M179" s="514"/>
      <c r="N179" s="518"/>
    </row>
    <row r="180" spans="1:14" ht="15.75">
      <c r="A180" s="365">
        <v>572000</v>
      </c>
      <c r="B180" s="364" t="s">
        <v>376</v>
      </c>
      <c r="C180" s="363"/>
      <c r="F180" s="330">
        <f t="shared" si="6"/>
        <v>1</v>
      </c>
      <c r="G180" s="330">
        <v>0</v>
      </c>
      <c r="H180" s="330">
        <v>1088</v>
      </c>
      <c r="M180" s="514"/>
      <c r="N180" s="518"/>
    </row>
    <row r="181" spans="1:14" ht="15.75">
      <c r="A181" s="365">
        <v>573000</v>
      </c>
      <c r="B181" s="364" t="s">
        <v>377</v>
      </c>
      <c r="C181" s="363"/>
      <c r="F181" s="330">
        <f t="shared" si="6"/>
        <v>54</v>
      </c>
      <c r="G181" s="330">
        <v>0</v>
      </c>
      <c r="H181" s="330">
        <v>54411</v>
      </c>
      <c r="M181" s="514"/>
      <c r="N181" s="518"/>
    </row>
    <row r="182" spans="1:14" ht="15.75">
      <c r="A182" s="362"/>
      <c r="B182" s="364" t="s">
        <v>378</v>
      </c>
      <c r="C182" s="363"/>
      <c r="F182" s="330">
        <f t="shared" si="6"/>
        <v>20438</v>
      </c>
      <c r="G182" s="330">
        <v>0</v>
      </c>
      <c r="H182" s="330">
        <v>20438164</v>
      </c>
      <c r="M182" s="514"/>
      <c r="N182" s="518"/>
    </row>
    <row r="183" spans="1:14" ht="15.75">
      <c r="A183" s="362"/>
      <c r="B183" s="364"/>
      <c r="C183" s="363"/>
      <c r="F183" s="330">
        <f t="shared" si="6"/>
        <v>0</v>
      </c>
      <c r="G183" s="330">
        <v>0</v>
      </c>
      <c r="M183" s="514"/>
    </row>
    <row r="184" spans="1:14" ht="15.75">
      <c r="A184" s="362"/>
      <c r="B184" s="364" t="s">
        <v>379</v>
      </c>
      <c r="C184" s="363"/>
      <c r="F184" s="330">
        <f>ROUND(H184/1000,0)</f>
        <v>18302</v>
      </c>
      <c r="G184" s="330">
        <v>0</v>
      </c>
      <c r="H184" s="330">
        <v>18301777</v>
      </c>
      <c r="M184" s="514" t="s">
        <v>379</v>
      </c>
    </row>
    <row r="185" spans="1:14" ht="15.75">
      <c r="A185" s="362"/>
      <c r="B185" s="364" t="s">
        <v>380</v>
      </c>
      <c r="C185" s="363"/>
      <c r="F185" s="330">
        <f t="shared" ref="F185:F223" si="9">ROUND(H185/1000,0)</f>
        <v>7755</v>
      </c>
      <c r="G185" s="330">
        <v>0</v>
      </c>
      <c r="H185" s="330">
        <v>7755079</v>
      </c>
      <c r="M185" s="514" t="s">
        <v>380</v>
      </c>
    </row>
    <row r="186" spans="1:14" ht="15.75">
      <c r="A186" s="369"/>
      <c r="B186" s="367" t="s">
        <v>381</v>
      </c>
      <c r="C186" s="368"/>
      <c r="F186" s="330">
        <f t="shared" si="9"/>
        <v>761</v>
      </c>
      <c r="G186" s="330">
        <v>0</v>
      </c>
      <c r="H186" s="330">
        <v>761423</v>
      </c>
      <c r="M186" s="517" t="s">
        <v>381</v>
      </c>
    </row>
    <row r="187" spans="1:14" ht="15.75">
      <c r="A187" s="369"/>
      <c r="B187" s="364" t="s">
        <v>655</v>
      </c>
      <c r="C187" s="368"/>
      <c r="F187" s="330">
        <f t="shared" si="9"/>
        <v>-141</v>
      </c>
      <c r="G187" s="330">
        <v>0</v>
      </c>
      <c r="H187" s="330">
        <v>-141072</v>
      </c>
      <c r="M187" s="514" t="s">
        <v>655</v>
      </c>
    </row>
    <row r="188" spans="1:14" ht="15.75">
      <c r="A188" s="365">
        <v>405930</v>
      </c>
      <c r="B188" s="364" t="s">
        <v>382</v>
      </c>
      <c r="C188" s="363"/>
      <c r="F188" s="330">
        <f t="shared" si="9"/>
        <v>2450</v>
      </c>
      <c r="G188" s="330">
        <v>0</v>
      </c>
      <c r="H188" s="330">
        <v>2450031</v>
      </c>
      <c r="M188" s="514" t="s">
        <v>382</v>
      </c>
    </row>
    <row r="189" spans="1:14" ht="15.75">
      <c r="A189" s="365">
        <v>406100</v>
      </c>
      <c r="B189" s="364" t="s">
        <v>383</v>
      </c>
      <c r="C189" s="363"/>
      <c r="F189" s="330">
        <f t="shared" si="9"/>
        <v>32</v>
      </c>
      <c r="G189" s="330">
        <v>0</v>
      </c>
      <c r="H189" s="330">
        <v>31743</v>
      </c>
      <c r="M189" s="514" t="s">
        <v>383</v>
      </c>
    </row>
    <row r="190" spans="1:14" ht="15.75">
      <c r="A190" s="365">
        <v>407312</v>
      </c>
      <c r="B190" s="364" t="s">
        <v>384</v>
      </c>
      <c r="C190" s="363"/>
      <c r="F190" s="330">
        <f t="shared" si="9"/>
        <v>0</v>
      </c>
      <c r="G190" s="330">
        <v>0</v>
      </c>
      <c r="H190" s="330">
        <v>0</v>
      </c>
      <c r="M190" s="514" t="s">
        <v>384</v>
      </c>
    </row>
    <row r="191" spans="1:14" ht="15.75">
      <c r="A191" s="516">
        <v>407320</v>
      </c>
      <c r="B191" s="517" t="s">
        <v>704</v>
      </c>
      <c r="C191" s="363"/>
      <c r="F191" s="330">
        <f t="shared" si="9"/>
        <v>0</v>
      </c>
      <c r="G191" s="330">
        <v>0</v>
      </c>
      <c r="H191" s="330">
        <v>0</v>
      </c>
      <c r="M191" s="517" t="s">
        <v>704</v>
      </c>
    </row>
    <row r="192" spans="1:14" ht="15.75">
      <c r="A192" s="366">
        <v>407322</v>
      </c>
      <c r="B192" s="367" t="s">
        <v>385</v>
      </c>
      <c r="C192" s="368"/>
      <c r="F192" s="330">
        <f t="shared" si="9"/>
        <v>73</v>
      </c>
      <c r="G192" s="330">
        <v>0</v>
      </c>
      <c r="H192" s="330">
        <v>72939</v>
      </c>
      <c r="M192" s="517" t="s">
        <v>385</v>
      </c>
    </row>
    <row r="193" spans="1:13" ht="15.75">
      <c r="A193" s="366">
        <v>407324</v>
      </c>
      <c r="B193" s="367" t="s">
        <v>386</v>
      </c>
      <c r="C193" s="368"/>
      <c r="F193" s="330">
        <f t="shared" si="9"/>
        <v>143</v>
      </c>
      <c r="G193" s="330">
        <v>0</v>
      </c>
      <c r="H193" s="330">
        <v>142525</v>
      </c>
      <c r="M193" s="517" t="s">
        <v>386</v>
      </c>
    </row>
    <row r="194" spans="1:13" ht="15.75">
      <c r="A194" s="366">
        <v>407326</v>
      </c>
      <c r="B194" s="367" t="s">
        <v>708</v>
      </c>
      <c r="C194" s="368"/>
      <c r="F194" s="330">
        <f t="shared" si="9"/>
        <v>0</v>
      </c>
      <c r="H194" s="330">
        <v>0</v>
      </c>
      <c r="M194" s="517" t="s">
        <v>708</v>
      </c>
    </row>
    <row r="195" spans="1:13" ht="15.75">
      <c r="A195" s="366">
        <v>407331</v>
      </c>
      <c r="B195" s="367" t="s">
        <v>656</v>
      </c>
      <c r="C195" s="368"/>
      <c r="F195" s="330">
        <f t="shared" si="9"/>
        <v>0</v>
      </c>
      <c r="G195" s="330">
        <v>0</v>
      </c>
      <c r="H195" s="330">
        <v>0</v>
      </c>
      <c r="M195" s="517" t="s">
        <v>656</v>
      </c>
    </row>
    <row r="196" spans="1:13" ht="15.75">
      <c r="A196" s="366">
        <v>407333</v>
      </c>
      <c r="B196" s="367" t="s">
        <v>657</v>
      </c>
      <c r="C196" s="368"/>
      <c r="F196" s="330">
        <f t="shared" si="9"/>
        <v>22</v>
      </c>
      <c r="G196" s="330">
        <v>0</v>
      </c>
      <c r="H196" s="330">
        <v>21506</v>
      </c>
      <c r="M196" s="517" t="s">
        <v>657</v>
      </c>
    </row>
    <row r="197" spans="1:13" ht="15.75">
      <c r="A197" s="366">
        <v>407335</v>
      </c>
      <c r="B197" s="367" t="s">
        <v>387</v>
      </c>
      <c r="C197" s="363"/>
      <c r="F197" s="330">
        <f t="shared" si="9"/>
        <v>0</v>
      </c>
      <c r="G197" s="330">
        <v>0</v>
      </c>
      <c r="H197" s="330">
        <v>0</v>
      </c>
      <c r="M197" s="517" t="s">
        <v>387</v>
      </c>
    </row>
    <row r="198" spans="1:13" ht="15.75">
      <c r="A198" s="365">
        <v>407350</v>
      </c>
      <c r="B198" s="364" t="s">
        <v>658</v>
      </c>
      <c r="C198" s="363"/>
      <c r="F198" s="330">
        <f t="shared" si="9"/>
        <v>0</v>
      </c>
      <c r="G198" s="330">
        <v>0</v>
      </c>
      <c r="H198" s="330">
        <v>0</v>
      </c>
      <c r="M198" s="514" t="s">
        <v>658</v>
      </c>
    </row>
    <row r="199" spans="1:13" ht="15.75">
      <c r="A199" s="365">
        <v>407351</v>
      </c>
      <c r="B199" s="364" t="s">
        <v>388</v>
      </c>
      <c r="C199" s="368"/>
      <c r="F199" s="330">
        <f t="shared" si="9"/>
        <v>0</v>
      </c>
      <c r="G199" s="330">
        <v>0</v>
      </c>
      <c r="H199" s="330">
        <v>0</v>
      </c>
      <c r="M199" s="514" t="s">
        <v>388</v>
      </c>
    </row>
    <row r="200" spans="1:13" ht="15.75">
      <c r="A200" s="365">
        <v>407360</v>
      </c>
      <c r="B200" s="364" t="s">
        <v>659</v>
      </c>
      <c r="C200" s="368"/>
      <c r="F200" s="330">
        <f t="shared" si="9"/>
        <v>1103</v>
      </c>
      <c r="G200" s="330">
        <v>0</v>
      </c>
      <c r="H200" s="330">
        <v>1102752</v>
      </c>
      <c r="M200" s="514" t="s">
        <v>659</v>
      </c>
    </row>
    <row r="201" spans="1:13" ht="15.75">
      <c r="A201" s="365">
        <v>407362</v>
      </c>
      <c r="B201" s="364" t="s">
        <v>660</v>
      </c>
      <c r="C201" s="368"/>
      <c r="F201" s="330">
        <f t="shared" si="9"/>
        <v>0</v>
      </c>
      <c r="G201" s="330">
        <v>0</v>
      </c>
      <c r="H201" s="330">
        <v>0</v>
      </c>
      <c r="M201" s="514" t="s">
        <v>660</v>
      </c>
    </row>
    <row r="202" spans="1:13" ht="15.75">
      <c r="A202" s="365">
        <v>407365</v>
      </c>
      <c r="B202" s="364" t="s">
        <v>661</v>
      </c>
      <c r="C202" s="368"/>
      <c r="F202" s="330">
        <f t="shared" si="9"/>
        <v>0</v>
      </c>
      <c r="G202" s="330">
        <v>0</v>
      </c>
      <c r="H202" s="330">
        <v>0</v>
      </c>
      <c r="M202" s="514" t="s">
        <v>661</v>
      </c>
    </row>
    <row r="203" spans="1:13" ht="15.75">
      <c r="A203" s="365">
        <v>407368</v>
      </c>
      <c r="B203" s="364" t="s">
        <v>750</v>
      </c>
      <c r="C203" s="368"/>
      <c r="F203" s="330">
        <f t="shared" si="9"/>
        <v>0</v>
      </c>
      <c r="H203" s="330">
        <v>0</v>
      </c>
      <c r="M203" s="514" t="s">
        <v>750</v>
      </c>
    </row>
    <row r="204" spans="1:13" ht="15.75">
      <c r="A204" s="365">
        <v>407380</v>
      </c>
      <c r="B204" s="364" t="s">
        <v>389</v>
      </c>
      <c r="C204" s="368"/>
      <c r="F204" s="330">
        <f t="shared" si="9"/>
        <v>0</v>
      </c>
      <c r="G204" s="330">
        <v>0</v>
      </c>
      <c r="H204" s="330">
        <v>0</v>
      </c>
      <c r="M204" s="514" t="s">
        <v>389</v>
      </c>
    </row>
    <row r="205" spans="1:13" ht="15.75">
      <c r="A205" s="366">
        <v>407382</v>
      </c>
      <c r="B205" s="367" t="s">
        <v>390</v>
      </c>
      <c r="C205" s="368"/>
      <c r="F205" s="330">
        <f t="shared" si="9"/>
        <v>581</v>
      </c>
      <c r="G205" s="330">
        <v>0</v>
      </c>
      <c r="H205" s="330">
        <v>581110</v>
      </c>
      <c r="M205" s="517" t="s">
        <v>390</v>
      </c>
    </row>
    <row r="206" spans="1:13" ht="15.75">
      <c r="A206" s="366">
        <v>407382</v>
      </c>
      <c r="B206" s="367" t="s">
        <v>391</v>
      </c>
      <c r="C206" s="368"/>
      <c r="F206" s="330">
        <f t="shared" si="9"/>
        <v>152</v>
      </c>
      <c r="G206" s="330">
        <v>0</v>
      </c>
      <c r="H206" s="330">
        <v>152118</v>
      </c>
      <c r="M206" s="517" t="s">
        <v>391</v>
      </c>
    </row>
    <row r="207" spans="1:13" ht="15.75">
      <c r="A207" s="516">
        <v>407391</v>
      </c>
      <c r="B207" s="517" t="s">
        <v>708</v>
      </c>
      <c r="C207" s="368"/>
      <c r="F207" s="330">
        <f t="shared" si="9"/>
        <v>290</v>
      </c>
      <c r="G207" s="330">
        <v>1</v>
      </c>
      <c r="H207" s="330">
        <v>290395</v>
      </c>
      <c r="M207" s="517" t="s">
        <v>708</v>
      </c>
    </row>
    <row r="208" spans="1:13" ht="15.75">
      <c r="A208" s="366">
        <v>407395</v>
      </c>
      <c r="B208" s="367" t="s">
        <v>392</v>
      </c>
      <c r="C208" s="368"/>
      <c r="F208" s="330">
        <f t="shared" si="9"/>
        <v>177</v>
      </c>
      <c r="G208" s="330">
        <v>0</v>
      </c>
      <c r="H208" s="330">
        <v>176886</v>
      </c>
      <c r="M208" s="517" t="s">
        <v>392</v>
      </c>
    </row>
    <row r="209" spans="1:13" ht="15.75">
      <c r="A209" s="365">
        <v>407403</v>
      </c>
      <c r="B209" s="364" t="s">
        <v>393</v>
      </c>
      <c r="C209" s="368"/>
      <c r="F209" s="330">
        <f t="shared" si="9"/>
        <v>-135</v>
      </c>
      <c r="G209" s="330">
        <v>0</v>
      </c>
      <c r="H209" s="330">
        <v>-134592</v>
      </c>
      <c r="M209" s="514" t="s">
        <v>393</v>
      </c>
    </row>
    <row r="210" spans="1:13" ht="15.75">
      <c r="A210" s="365">
        <v>407405</v>
      </c>
      <c r="B210" s="364" t="s">
        <v>394</v>
      </c>
      <c r="C210" s="363"/>
      <c r="F210" s="330">
        <f t="shared" si="9"/>
        <v>0</v>
      </c>
      <c r="G210" s="330">
        <v>0</v>
      </c>
      <c r="H210" s="330">
        <v>0</v>
      </c>
      <c r="M210" s="514" t="s">
        <v>394</v>
      </c>
    </row>
    <row r="211" spans="1:13" ht="15.75">
      <c r="A211" s="365">
        <v>407420</v>
      </c>
      <c r="B211" s="364" t="s">
        <v>395</v>
      </c>
      <c r="C211" s="363"/>
      <c r="F211" s="330">
        <f t="shared" si="9"/>
        <v>0</v>
      </c>
      <c r="G211" s="330">
        <v>0</v>
      </c>
      <c r="H211" s="330">
        <v>0</v>
      </c>
      <c r="M211" s="514" t="s">
        <v>395</v>
      </c>
    </row>
    <row r="212" spans="1:13" ht="15.75">
      <c r="A212" s="362" t="s">
        <v>396</v>
      </c>
      <c r="B212" s="364" t="s">
        <v>397</v>
      </c>
      <c r="C212" s="363"/>
      <c r="F212" s="330">
        <f t="shared" si="9"/>
        <v>-730</v>
      </c>
      <c r="G212" s="330">
        <v>0</v>
      </c>
      <c r="H212" s="330">
        <v>-729599</v>
      </c>
      <c r="M212" s="514" t="s">
        <v>397</v>
      </c>
    </row>
    <row r="213" spans="1:13" ht="15.75">
      <c r="A213" s="516">
        <v>407455</v>
      </c>
      <c r="B213" s="517" t="s">
        <v>751</v>
      </c>
      <c r="C213" s="363"/>
      <c r="F213" s="330">
        <f t="shared" si="9"/>
        <v>0</v>
      </c>
      <c r="H213" s="330">
        <v>0</v>
      </c>
      <c r="M213" s="517" t="s">
        <v>751</v>
      </c>
    </row>
    <row r="214" spans="1:13" ht="15.75">
      <c r="A214" s="366">
        <v>407460</v>
      </c>
      <c r="B214" s="367" t="s">
        <v>398</v>
      </c>
      <c r="C214" s="368"/>
      <c r="F214" s="330">
        <f t="shared" si="9"/>
        <v>0</v>
      </c>
      <c r="G214" s="330">
        <v>0</v>
      </c>
      <c r="H214" s="330">
        <v>0</v>
      </c>
      <c r="M214" s="517" t="s">
        <v>398</v>
      </c>
    </row>
    <row r="215" spans="1:13" ht="15.75">
      <c r="A215" s="366">
        <v>407462</v>
      </c>
      <c r="B215" s="367" t="s">
        <v>662</v>
      </c>
      <c r="C215" s="363"/>
      <c r="F215" s="330">
        <f t="shared" si="9"/>
        <v>0</v>
      </c>
      <c r="G215" s="330">
        <v>0</v>
      </c>
      <c r="H215" s="330">
        <v>0</v>
      </c>
      <c r="M215" s="517" t="s">
        <v>662</v>
      </c>
    </row>
    <row r="216" spans="1:13" ht="15.75">
      <c r="A216" s="516">
        <v>407494</v>
      </c>
      <c r="B216" s="517" t="s">
        <v>709</v>
      </c>
      <c r="C216" s="363"/>
      <c r="F216" s="330">
        <f t="shared" si="9"/>
        <v>158</v>
      </c>
      <c r="G216" s="330">
        <v>1</v>
      </c>
      <c r="H216" s="330">
        <v>157646</v>
      </c>
      <c r="M216" s="517" t="s">
        <v>709</v>
      </c>
    </row>
    <row r="217" spans="1:13" ht="15.75">
      <c r="A217" s="366">
        <v>407495</v>
      </c>
      <c r="B217" s="367" t="s">
        <v>663</v>
      </c>
      <c r="C217" s="368"/>
      <c r="F217" s="330">
        <f t="shared" si="9"/>
        <v>-6</v>
      </c>
      <c r="G217" s="330">
        <v>0</v>
      </c>
      <c r="H217" s="330">
        <v>-5531</v>
      </c>
      <c r="M217" s="517" t="s">
        <v>663</v>
      </c>
    </row>
    <row r="218" spans="1:13" ht="15.75">
      <c r="A218" s="366">
        <v>407496</v>
      </c>
      <c r="B218" s="367" t="s">
        <v>664</v>
      </c>
      <c r="C218" s="368"/>
      <c r="F218" s="330">
        <f t="shared" si="9"/>
        <v>0</v>
      </c>
      <c r="G218" s="330">
        <v>0</v>
      </c>
      <c r="H218" s="330">
        <v>0</v>
      </c>
      <c r="M218" s="517" t="s">
        <v>664</v>
      </c>
    </row>
    <row r="219" spans="1:13" ht="15.75">
      <c r="A219" s="516">
        <v>407497</v>
      </c>
      <c r="B219" s="517" t="s">
        <v>702</v>
      </c>
      <c r="C219" s="368"/>
      <c r="F219" s="330">
        <f t="shared" si="9"/>
        <v>0</v>
      </c>
      <c r="G219" s="330">
        <v>0</v>
      </c>
      <c r="H219" s="330">
        <v>0</v>
      </c>
      <c r="M219" s="517" t="s">
        <v>702</v>
      </c>
    </row>
    <row r="220" spans="1:13" ht="15.75">
      <c r="A220" s="362"/>
      <c r="B220" s="364" t="s">
        <v>399</v>
      </c>
      <c r="C220" s="363"/>
      <c r="F220" s="330">
        <f t="shared" si="9"/>
        <v>14904</v>
      </c>
      <c r="G220" s="330">
        <v>0</v>
      </c>
      <c r="H220" s="330">
        <v>14903659</v>
      </c>
      <c r="M220" s="514" t="s">
        <v>399</v>
      </c>
    </row>
    <row r="221" spans="1:13" ht="15.75">
      <c r="A221" s="362"/>
      <c r="B221" s="364" t="s">
        <v>400</v>
      </c>
      <c r="C221" s="363"/>
      <c r="F221" s="330">
        <f t="shared" si="9"/>
        <v>45891</v>
      </c>
      <c r="G221" s="330">
        <v>0</v>
      </c>
      <c r="H221" s="330">
        <v>45890795</v>
      </c>
      <c r="M221" s="514" t="s">
        <v>400</v>
      </c>
    </row>
    <row r="222" spans="1:13" ht="15.75">
      <c r="A222" s="362"/>
      <c r="B222" s="364"/>
      <c r="C222" s="363"/>
      <c r="F222" s="330">
        <f t="shared" si="9"/>
        <v>0</v>
      </c>
      <c r="G222" s="330">
        <v>0</v>
      </c>
      <c r="M222" s="514"/>
    </row>
    <row r="223" spans="1:13" ht="15.75">
      <c r="A223" s="362"/>
      <c r="B223" s="364" t="s">
        <v>401</v>
      </c>
      <c r="C223" s="363"/>
      <c r="F223" s="330">
        <f t="shared" si="9"/>
        <v>327335</v>
      </c>
      <c r="G223" s="330">
        <v>0</v>
      </c>
      <c r="H223" s="330">
        <v>327334899</v>
      </c>
      <c r="M223" s="514"/>
    </row>
    <row r="224" spans="1:13" ht="15.75">
      <c r="A224" s="362"/>
      <c r="B224" s="364"/>
      <c r="C224" s="363"/>
      <c r="F224" s="330">
        <f t="shared" si="6"/>
        <v>0</v>
      </c>
      <c r="G224" s="330">
        <v>0</v>
      </c>
      <c r="M224" s="514"/>
    </row>
    <row r="225" spans="1:13" ht="15.75">
      <c r="A225" s="362"/>
      <c r="B225" s="364" t="s">
        <v>402</v>
      </c>
      <c r="C225" s="363"/>
      <c r="F225" s="330">
        <f t="shared" si="6"/>
        <v>0</v>
      </c>
      <c r="G225" s="330">
        <v>0</v>
      </c>
      <c r="M225" s="514"/>
    </row>
    <row r="226" spans="1:13" ht="15.75">
      <c r="A226" s="362"/>
      <c r="B226" s="363" t="s">
        <v>403</v>
      </c>
      <c r="C226" s="363"/>
      <c r="F226" s="330">
        <f t="shared" si="6"/>
        <v>0</v>
      </c>
      <c r="G226" s="330">
        <v>0</v>
      </c>
      <c r="M226" s="518"/>
    </row>
    <row r="227" spans="1:13" ht="15.75">
      <c r="A227" s="365">
        <v>580000</v>
      </c>
      <c r="B227" s="364" t="s">
        <v>335</v>
      </c>
      <c r="C227" s="363"/>
      <c r="F227" s="330">
        <f>ROUND(H227/1000,0)</f>
        <v>3028</v>
      </c>
      <c r="G227" s="330">
        <v>0</v>
      </c>
      <c r="H227" s="330">
        <v>3028128</v>
      </c>
      <c r="M227" s="514"/>
    </row>
    <row r="228" spans="1:13" ht="15.75">
      <c r="A228" s="365">
        <v>582000</v>
      </c>
      <c r="B228" s="363" t="s">
        <v>370</v>
      </c>
      <c r="C228" s="363"/>
      <c r="F228" s="330">
        <f t="shared" si="6"/>
        <v>402</v>
      </c>
      <c r="G228" s="330">
        <v>0</v>
      </c>
      <c r="H228" s="330">
        <v>401921</v>
      </c>
      <c r="M228" s="518"/>
    </row>
    <row r="229" spans="1:13" ht="15.75">
      <c r="A229" s="365">
        <v>583000</v>
      </c>
      <c r="B229" s="364" t="s">
        <v>371</v>
      </c>
      <c r="C229" s="363"/>
      <c r="F229" s="330">
        <f t="shared" ref="F229:F295" si="10">ROUND(H229/1000,0)</f>
        <v>1387</v>
      </c>
      <c r="G229" s="330">
        <v>0</v>
      </c>
      <c r="H229" s="330">
        <v>1386838</v>
      </c>
      <c r="M229" s="514"/>
    </row>
    <row r="230" spans="1:13" ht="15.75">
      <c r="A230" s="365">
        <v>584000</v>
      </c>
      <c r="B230" s="364" t="s">
        <v>404</v>
      </c>
      <c r="C230" s="363"/>
      <c r="F230" s="330">
        <f t="shared" si="10"/>
        <v>744</v>
      </c>
      <c r="G230" s="330">
        <v>0</v>
      </c>
      <c r="H230" s="330">
        <v>743627</v>
      </c>
      <c r="M230" s="514"/>
    </row>
    <row r="231" spans="1:13" ht="15.75">
      <c r="A231" s="515">
        <v>584100</v>
      </c>
      <c r="B231" s="514" t="s">
        <v>701</v>
      </c>
      <c r="C231" s="363"/>
      <c r="F231" s="330">
        <f t="shared" si="10"/>
        <v>32</v>
      </c>
      <c r="G231" s="330">
        <v>0</v>
      </c>
      <c r="H231" s="330">
        <v>31795</v>
      </c>
      <c r="M231" s="514"/>
    </row>
    <row r="232" spans="1:13" ht="15.75">
      <c r="A232" s="365">
        <v>585000</v>
      </c>
      <c r="B232" s="364" t="s">
        <v>405</v>
      </c>
      <c r="C232" s="363"/>
      <c r="F232" s="330">
        <f t="shared" si="10"/>
        <v>6</v>
      </c>
      <c r="G232" s="330">
        <v>0</v>
      </c>
      <c r="H232" s="330">
        <v>6275</v>
      </c>
      <c r="M232" s="514"/>
    </row>
    <row r="233" spans="1:13" ht="15.75">
      <c r="A233" s="365">
        <v>586000</v>
      </c>
      <c r="B233" s="364" t="s">
        <v>406</v>
      </c>
      <c r="C233" s="363"/>
      <c r="F233" s="330">
        <f t="shared" si="10"/>
        <v>1413</v>
      </c>
      <c r="G233" s="330">
        <v>0</v>
      </c>
      <c r="H233" s="330">
        <v>1413377</v>
      </c>
      <c r="M233" s="514"/>
    </row>
    <row r="234" spans="1:13" ht="15.75">
      <c r="A234" s="365">
        <v>587000</v>
      </c>
      <c r="B234" s="364" t="s">
        <v>407</v>
      </c>
      <c r="C234" s="363"/>
      <c r="F234" s="330">
        <f t="shared" si="10"/>
        <v>443</v>
      </c>
      <c r="G234" s="330">
        <v>0</v>
      </c>
      <c r="H234" s="330">
        <v>442912</v>
      </c>
      <c r="M234" s="514"/>
    </row>
    <row r="235" spans="1:13" ht="15.75">
      <c r="A235" s="365">
        <v>588000</v>
      </c>
      <c r="B235" s="364" t="s">
        <v>408</v>
      </c>
      <c r="C235" s="363"/>
      <c r="F235" s="330">
        <f t="shared" si="10"/>
        <v>5202</v>
      </c>
      <c r="G235" s="330">
        <v>0</v>
      </c>
      <c r="H235" s="330">
        <v>5201512</v>
      </c>
      <c r="M235" s="514"/>
    </row>
    <row r="236" spans="1:13" ht="15.75">
      <c r="A236" s="365">
        <v>589000</v>
      </c>
      <c r="B236" s="364" t="s">
        <v>340</v>
      </c>
      <c r="C236" s="363"/>
      <c r="F236" s="330">
        <f t="shared" si="10"/>
        <v>233</v>
      </c>
      <c r="G236" s="330">
        <v>0</v>
      </c>
      <c r="H236" s="330">
        <v>233383</v>
      </c>
      <c r="M236" s="514"/>
    </row>
    <row r="237" spans="1:13" ht="15.75">
      <c r="A237" s="370"/>
      <c r="B237" s="364"/>
      <c r="C237" s="363"/>
      <c r="F237" s="330">
        <f t="shared" si="10"/>
        <v>0</v>
      </c>
      <c r="G237" s="330">
        <v>0</v>
      </c>
      <c r="M237" s="514"/>
    </row>
    <row r="238" spans="1:13" ht="15.75">
      <c r="A238" s="362"/>
      <c r="B238" s="363" t="s">
        <v>409</v>
      </c>
      <c r="C238" s="363"/>
      <c r="F238" s="330">
        <f t="shared" si="10"/>
        <v>0</v>
      </c>
      <c r="G238" s="330">
        <v>0</v>
      </c>
      <c r="M238" s="518"/>
    </row>
    <row r="239" spans="1:13" ht="15.75">
      <c r="A239" s="365">
        <v>590000</v>
      </c>
      <c r="B239" s="364" t="s">
        <v>335</v>
      </c>
      <c r="C239" s="363"/>
      <c r="F239" s="330">
        <f t="shared" si="10"/>
        <v>1004</v>
      </c>
      <c r="G239" s="330">
        <v>0</v>
      </c>
      <c r="H239" s="330">
        <v>1003927</v>
      </c>
      <c r="M239" s="514"/>
    </row>
    <row r="240" spans="1:13" ht="15.75">
      <c r="A240" s="365">
        <v>591000</v>
      </c>
      <c r="B240" s="364" t="s">
        <v>342</v>
      </c>
      <c r="C240" s="363"/>
      <c r="F240" s="330">
        <f t="shared" si="10"/>
        <v>289</v>
      </c>
      <c r="G240" s="330">
        <v>0</v>
      </c>
      <c r="H240" s="330">
        <v>289437</v>
      </c>
      <c r="M240" s="514"/>
    </row>
    <row r="241" spans="1:13" ht="15.75">
      <c r="A241" s="365">
        <v>592000</v>
      </c>
      <c r="B241" s="363" t="s">
        <v>374</v>
      </c>
      <c r="C241" s="363"/>
      <c r="F241" s="330">
        <f t="shared" si="10"/>
        <v>670</v>
      </c>
      <c r="G241" s="330">
        <v>0</v>
      </c>
      <c r="H241" s="330">
        <v>669613</v>
      </c>
      <c r="M241" s="518"/>
    </row>
    <row r="242" spans="1:13" ht="15.75">
      <c r="A242" s="515">
        <v>592200</v>
      </c>
      <c r="B242" s="514" t="s">
        <v>701</v>
      </c>
      <c r="C242" s="363"/>
      <c r="F242" s="330">
        <f t="shared" si="10"/>
        <v>0</v>
      </c>
      <c r="G242" s="330">
        <v>0</v>
      </c>
      <c r="H242" s="330">
        <v>0</v>
      </c>
      <c r="M242" s="514"/>
    </row>
    <row r="243" spans="1:13" ht="15.75">
      <c r="A243" s="365">
        <v>593000</v>
      </c>
      <c r="B243" s="364" t="s">
        <v>375</v>
      </c>
      <c r="C243" s="363"/>
      <c r="F243" s="330">
        <f t="shared" si="10"/>
        <v>5200</v>
      </c>
      <c r="G243" s="330">
        <v>0</v>
      </c>
      <c r="H243" s="330">
        <v>5200180</v>
      </c>
      <c r="M243" s="514"/>
    </row>
    <row r="244" spans="1:13" ht="15.75">
      <c r="A244" s="365">
        <v>594000</v>
      </c>
      <c r="B244" s="364" t="s">
        <v>376</v>
      </c>
      <c r="C244" s="363"/>
      <c r="F244" s="330">
        <f t="shared" si="10"/>
        <v>447</v>
      </c>
      <c r="G244" s="330">
        <v>0</v>
      </c>
      <c r="H244" s="330">
        <v>447354</v>
      </c>
      <c r="M244" s="514"/>
    </row>
    <row r="245" spans="1:13" ht="15.75">
      <c r="A245" s="365">
        <v>595000</v>
      </c>
      <c r="B245" s="364" t="s">
        <v>410</v>
      </c>
      <c r="C245" s="363"/>
      <c r="F245" s="330">
        <f t="shared" si="10"/>
        <v>314</v>
      </c>
      <c r="G245" s="330">
        <v>0</v>
      </c>
      <c r="H245" s="330">
        <v>313849</v>
      </c>
      <c r="M245" s="514"/>
    </row>
    <row r="246" spans="1:13" ht="15.75">
      <c r="A246" s="365">
        <v>596000</v>
      </c>
      <c r="B246" s="364" t="s">
        <v>411</v>
      </c>
      <c r="C246" s="363"/>
      <c r="F246" s="330">
        <f t="shared" si="10"/>
        <v>253</v>
      </c>
      <c r="G246" s="330">
        <v>0</v>
      </c>
      <c r="H246" s="330">
        <v>253436</v>
      </c>
      <c r="M246" s="514"/>
    </row>
    <row r="247" spans="1:13" ht="15.75">
      <c r="A247" s="365">
        <v>597000</v>
      </c>
      <c r="B247" s="364" t="s">
        <v>412</v>
      </c>
      <c r="C247" s="363"/>
      <c r="F247" s="330">
        <f t="shared" si="10"/>
        <v>15</v>
      </c>
      <c r="G247" s="330">
        <v>0</v>
      </c>
      <c r="H247" s="330">
        <v>14931</v>
      </c>
      <c r="M247" s="514"/>
    </row>
    <row r="248" spans="1:13" ht="15.75">
      <c r="A248" s="365">
        <v>598000</v>
      </c>
      <c r="B248" s="364" t="s">
        <v>408</v>
      </c>
      <c r="C248" s="363"/>
      <c r="F248" s="330">
        <f t="shared" si="10"/>
        <v>337</v>
      </c>
      <c r="G248" s="330">
        <v>0</v>
      </c>
      <c r="H248" s="330">
        <v>337477</v>
      </c>
      <c r="M248" s="514"/>
    </row>
    <row r="249" spans="1:13" ht="15.75">
      <c r="A249" s="370"/>
      <c r="B249" s="364" t="s">
        <v>413</v>
      </c>
      <c r="C249" s="363"/>
      <c r="F249" s="330">
        <f t="shared" si="10"/>
        <v>21420</v>
      </c>
      <c r="G249" s="330">
        <v>0</v>
      </c>
      <c r="H249" s="330">
        <v>21419972</v>
      </c>
      <c r="M249" s="514"/>
    </row>
    <row r="250" spans="1:13" ht="15.75">
      <c r="A250" s="370"/>
      <c r="B250" s="364"/>
      <c r="C250" s="363"/>
      <c r="F250" s="330">
        <f t="shared" si="10"/>
        <v>0</v>
      </c>
      <c r="G250" s="330">
        <v>0</v>
      </c>
      <c r="M250" s="514"/>
    </row>
    <row r="251" spans="1:13" ht="15.75">
      <c r="A251" s="362"/>
      <c r="B251" s="364" t="s">
        <v>414</v>
      </c>
      <c r="C251" s="363"/>
      <c r="F251" s="330">
        <f t="shared" si="10"/>
        <v>27885</v>
      </c>
      <c r="G251" s="330">
        <v>0</v>
      </c>
      <c r="H251" s="330">
        <v>27885174</v>
      </c>
      <c r="M251" s="514"/>
    </row>
    <row r="252" spans="1:13" ht="15.75">
      <c r="A252" s="369"/>
      <c r="B252" s="367" t="s">
        <v>381</v>
      </c>
      <c r="C252" s="368"/>
      <c r="F252" s="330">
        <f t="shared" si="10"/>
        <v>28</v>
      </c>
      <c r="G252" s="330">
        <v>0</v>
      </c>
      <c r="H252" s="330">
        <v>27688</v>
      </c>
      <c r="M252" s="517"/>
    </row>
    <row r="253" spans="1:13" ht="15.75">
      <c r="A253" s="362"/>
      <c r="B253" s="364" t="s">
        <v>415</v>
      </c>
      <c r="C253" s="363"/>
      <c r="F253" s="330">
        <f t="shared" si="10"/>
        <v>45258</v>
      </c>
      <c r="G253" s="330">
        <v>0</v>
      </c>
      <c r="H253" s="330">
        <v>45257776</v>
      </c>
      <c r="M253" s="514"/>
    </row>
    <row r="254" spans="1:13" ht="15.75">
      <c r="A254" s="369" t="s">
        <v>728</v>
      </c>
      <c r="B254" s="644" t="s">
        <v>586</v>
      </c>
      <c r="C254" s="368"/>
      <c r="F254" s="330">
        <f>ROUND(H254/1000,0)</f>
        <v>0</v>
      </c>
      <c r="G254" s="330">
        <v>0</v>
      </c>
      <c r="M254" s="517"/>
    </row>
    <row r="255" spans="1:13" ht="15.75">
      <c r="A255" s="362"/>
      <c r="B255" s="364" t="s">
        <v>416</v>
      </c>
      <c r="C255" s="363"/>
      <c r="F255" s="330">
        <f t="shared" si="10"/>
        <v>73171</v>
      </c>
      <c r="G255" s="330">
        <v>0</v>
      </c>
      <c r="H255" s="330">
        <v>73170638</v>
      </c>
      <c r="M255" s="514"/>
    </row>
    <row r="256" spans="1:13" ht="15.75">
      <c r="A256" s="362"/>
      <c r="B256" s="364"/>
      <c r="C256" s="363"/>
      <c r="F256" s="330">
        <f t="shared" si="10"/>
        <v>0</v>
      </c>
      <c r="G256" s="330">
        <v>0</v>
      </c>
      <c r="M256" s="514"/>
    </row>
    <row r="257" spans="1:13" ht="15.75">
      <c r="A257" s="362"/>
      <c r="B257" s="364" t="s">
        <v>417</v>
      </c>
      <c r="C257" s="363"/>
      <c r="F257" s="330">
        <f t="shared" si="10"/>
        <v>94591</v>
      </c>
      <c r="G257" s="330">
        <v>0</v>
      </c>
      <c r="H257" s="330">
        <v>94590610</v>
      </c>
      <c r="M257" s="514"/>
    </row>
    <row r="258" spans="1:13" ht="15.75">
      <c r="A258" s="362"/>
      <c r="B258" s="363"/>
      <c r="C258" s="363"/>
      <c r="F258" s="330">
        <f t="shared" si="10"/>
        <v>0</v>
      </c>
      <c r="G258" s="330">
        <v>0</v>
      </c>
      <c r="M258" s="518"/>
    </row>
    <row r="259" spans="1:13" ht="15.75">
      <c r="A259" s="362"/>
      <c r="B259" s="364" t="s">
        <v>418</v>
      </c>
      <c r="C259" s="363"/>
      <c r="F259" s="330">
        <f t="shared" si="10"/>
        <v>0</v>
      </c>
      <c r="G259" s="330">
        <v>0</v>
      </c>
      <c r="M259" s="514"/>
    </row>
    <row r="260" spans="1:13" ht="15.75">
      <c r="A260" s="365">
        <v>901000</v>
      </c>
      <c r="B260" s="364" t="s">
        <v>419</v>
      </c>
      <c r="C260" s="363"/>
      <c r="F260" s="330">
        <f t="shared" si="10"/>
        <v>222</v>
      </c>
      <c r="G260" s="330">
        <v>0</v>
      </c>
      <c r="H260" s="330">
        <v>222445</v>
      </c>
      <c r="M260" s="514"/>
    </row>
    <row r="261" spans="1:13" ht="15.75">
      <c r="A261" s="365">
        <v>902000</v>
      </c>
      <c r="B261" s="364" t="s">
        <v>420</v>
      </c>
      <c r="C261" s="363"/>
      <c r="F261" s="330">
        <f t="shared" si="10"/>
        <v>2945</v>
      </c>
      <c r="G261" s="330">
        <v>0</v>
      </c>
      <c r="H261" s="330">
        <v>2944552</v>
      </c>
      <c r="M261" s="514"/>
    </row>
    <row r="262" spans="1:13" ht="15.75">
      <c r="A262" s="365" t="s">
        <v>421</v>
      </c>
      <c r="B262" s="364" t="s">
        <v>422</v>
      </c>
      <c r="C262" s="363"/>
      <c r="F262" s="330">
        <f t="shared" si="10"/>
        <v>6323</v>
      </c>
      <c r="G262" s="330">
        <v>0</v>
      </c>
      <c r="H262" s="330">
        <v>6323457</v>
      </c>
      <c r="M262" s="514"/>
    </row>
    <row r="263" spans="1:13" ht="15.75">
      <c r="A263" s="365">
        <v>904000</v>
      </c>
      <c r="B263" s="364" t="s">
        <v>423</v>
      </c>
      <c r="C263" s="363"/>
      <c r="F263" s="330">
        <f t="shared" si="10"/>
        <v>2082</v>
      </c>
      <c r="G263" s="330">
        <v>0</v>
      </c>
      <c r="H263" s="330">
        <v>2081575</v>
      </c>
      <c r="M263" s="514"/>
    </row>
    <row r="264" spans="1:13" ht="15.75">
      <c r="A264" s="365">
        <v>905000</v>
      </c>
      <c r="B264" s="364" t="s">
        <v>424</v>
      </c>
      <c r="C264" s="363"/>
      <c r="F264" s="330">
        <f t="shared" si="10"/>
        <v>161</v>
      </c>
      <c r="G264" s="330">
        <v>0</v>
      </c>
      <c r="H264" s="330">
        <v>160937</v>
      </c>
      <c r="M264" s="514"/>
    </row>
    <row r="265" spans="1:13" ht="15.75">
      <c r="A265" s="362"/>
      <c r="B265" s="364" t="s">
        <v>425</v>
      </c>
      <c r="C265" s="363"/>
      <c r="F265" s="330">
        <f t="shared" si="10"/>
        <v>11733</v>
      </c>
      <c r="G265" s="330">
        <v>0</v>
      </c>
      <c r="H265" s="330">
        <v>11732966</v>
      </c>
      <c r="M265" s="514"/>
    </row>
    <row r="266" spans="1:13" ht="15.75">
      <c r="A266" s="362"/>
      <c r="B266" s="364"/>
      <c r="C266" s="363"/>
      <c r="F266" s="330">
        <f t="shared" si="10"/>
        <v>0</v>
      </c>
      <c r="G266" s="330">
        <v>0</v>
      </c>
      <c r="M266" s="514"/>
    </row>
    <row r="267" spans="1:13" ht="15.75">
      <c r="A267" s="362"/>
      <c r="B267" s="364" t="s">
        <v>426</v>
      </c>
      <c r="C267" s="363"/>
      <c r="F267" s="330">
        <f t="shared" si="10"/>
        <v>0</v>
      </c>
      <c r="G267" s="330">
        <v>0</v>
      </c>
      <c r="M267" s="514"/>
    </row>
    <row r="268" spans="1:13" ht="15.75">
      <c r="A268" s="362" t="s">
        <v>427</v>
      </c>
      <c r="B268" s="364" t="s">
        <v>428</v>
      </c>
      <c r="C268" s="363"/>
      <c r="F268" s="330">
        <f t="shared" si="10"/>
        <v>17284</v>
      </c>
      <c r="G268" s="330">
        <v>0</v>
      </c>
      <c r="H268" s="330">
        <v>17283990</v>
      </c>
      <c r="M268" s="514"/>
    </row>
    <row r="269" spans="1:13" ht="15.75">
      <c r="A269" s="365">
        <v>909000</v>
      </c>
      <c r="B269" s="364" t="s">
        <v>429</v>
      </c>
      <c r="C269" s="363"/>
      <c r="F269" s="330">
        <f t="shared" si="10"/>
        <v>642</v>
      </c>
      <c r="G269" s="330">
        <v>0</v>
      </c>
      <c r="H269" s="330">
        <v>642235</v>
      </c>
      <c r="M269" s="514"/>
    </row>
    <row r="270" spans="1:13" ht="15.75">
      <c r="A270" s="365">
        <v>910000</v>
      </c>
      <c r="B270" s="364" t="s">
        <v>430</v>
      </c>
      <c r="C270" s="363"/>
      <c r="F270" s="330">
        <f t="shared" si="10"/>
        <v>155</v>
      </c>
      <c r="G270" s="330">
        <v>0</v>
      </c>
      <c r="H270" s="330">
        <v>155165</v>
      </c>
      <c r="M270" s="514"/>
    </row>
    <row r="271" spans="1:13" ht="15.75">
      <c r="A271" s="365"/>
      <c r="B271" s="364" t="s">
        <v>431</v>
      </c>
      <c r="C271" s="363"/>
      <c r="F271" s="330">
        <f t="shared" si="10"/>
        <v>18081</v>
      </c>
      <c r="G271" s="330">
        <v>0</v>
      </c>
      <c r="H271" s="330">
        <v>18081390</v>
      </c>
      <c r="M271" s="514"/>
    </row>
    <row r="272" spans="1:13" ht="15.75">
      <c r="A272" s="365"/>
      <c r="B272" s="364"/>
      <c r="C272" s="363"/>
      <c r="F272" s="330">
        <f t="shared" si="10"/>
        <v>0</v>
      </c>
      <c r="G272" s="330">
        <v>0</v>
      </c>
      <c r="M272" s="514"/>
    </row>
    <row r="273" spans="1:13" ht="15.75">
      <c r="A273" s="365"/>
      <c r="B273" s="364" t="s">
        <v>432</v>
      </c>
      <c r="C273" s="363"/>
      <c r="F273" s="330">
        <f t="shared" si="10"/>
        <v>0</v>
      </c>
      <c r="G273" s="330">
        <v>0</v>
      </c>
      <c r="M273" s="514"/>
    </row>
    <row r="274" spans="1:13" ht="15.75">
      <c r="A274" s="365">
        <v>912000</v>
      </c>
      <c r="B274" s="364" t="s">
        <v>433</v>
      </c>
      <c r="C274" s="363"/>
      <c r="F274" s="330">
        <f t="shared" si="10"/>
        <v>0</v>
      </c>
      <c r="G274" s="330">
        <v>0</v>
      </c>
      <c r="H274" s="330">
        <v>0</v>
      </c>
      <c r="M274" s="514"/>
    </row>
    <row r="275" spans="1:13" ht="15.75">
      <c r="A275" s="365">
        <v>913000</v>
      </c>
      <c r="B275" s="364" t="s">
        <v>429</v>
      </c>
      <c r="C275" s="363"/>
      <c r="F275" s="330">
        <f t="shared" si="10"/>
        <v>0</v>
      </c>
      <c r="G275" s="330">
        <v>0</v>
      </c>
      <c r="H275" s="330">
        <v>0</v>
      </c>
      <c r="M275" s="514"/>
    </row>
    <row r="276" spans="1:13" ht="15.75">
      <c r="A276" s="365">
        <v>916000</v>
      </c>
      <c r="B276" s="364" t="s">
        <v>434</v>
      </c>
      <c r="C276" s="363"/>
      <c r="F276" s="330">
        <f t="shared" si="10"/>
        <v>0</v>
      </c>
      <c r="G276" s="330">
        <v>0</v>
      </c>
      <c r="H276" s="330">
        <v>0</v>
      </c>
      <c r="M276" s="514"/>
    </row>
    <row r="277" spans="1:13" ht="15.75">
      <c r="A277" s="365"/>
      <c r="B277" s="364" t="s">
        <v>435</v>
      </c>
      <c r="C277" s="363"/>
      <c r="F277" s="330">
        <f t="shared" si="10"/>
        <v>0</v>
      </c>
      <c r="G277" s="330">
        <v>0</v>
      </c>
      <c r="H277" s="330">
        <v>0</v>
      </c>
      <c r="M277" s="514"/>
    </row>
    <row r="278" spans="1:13" ht="15.75">
      <c r="A278" s="365"/>
      <c r="B278" s="364"/>
      <c r="C278" s="363"/>
      <c r="F278" s="330">
        <f t="shared" si="10"/>
        <v>0</v>
      </c>
      <c r="G278" s="330">
        <v>0</v>
      </c>
      <c r="M278" s="514"/>
    </row>
    <row r="279" spans="1:13" ht="15.75">
      <c r="A279" s="365"/>
      <c r="B279" s="364" t="s">
        <v>436</v>
      </c>
      <c r="C279" s="363"/>
      <c r="F279" s="330">
        <f t="shared" si="10"/>
        <v>0</v>
      </c>
      <c r="G279" s="330">
        <v>0</v>
      </c>
      <c r="M279" s="514"/>
    </row>
    <row r="280" spans="1:13" ht="15.75">
      <c r="A280" s="365">
        <v>920000</v>
      </c>
      <c r="B280" s="364" t="s">
        <v>437</v>
      </c>
      <c r="C280" s="363"/>
      <c r="F280" s="330">
        <f t="shared" si="10"/>
        <v>22921</v>
      </c>
      <c r="G280" s="330">
        <v>0</v>
      </c>
      <c r="H280" s="330">
        <v>22921007</v>
      </c>
      <c r="M280" s="514"/>
    </row>
    <row r="281" spans="1:13" ht="15.75">
      <c r="A281" s="365">
        <v>921000</v>
      </c>
      <c r="B281" s="364" t="s">
        <v>438</v>
      </c>
      <c r="C281" s="363"/>
      <c r="F281" s="330">
        <f t="shared" si="10"/>
        <v>3031</v>
      </c>
      <c r="G281" s="330">
        <v>0</v>
      </c>
      <c r="H281" s="330">
        <v>3030624</v>
      </c>
      <c r="M281" s="514"/>
    </row>
    <row r="282" spans="1:13" ht="15.75">
      <c r="A282" s="365">
        <v>922000</v>
      </c>
      <c r="B282" s="364" t="s">
        <v>439</v>
      </c>
      <c r="C282" s="363"/>
      <c r="F282" s="330">
        <f t="shared" si="10"/>
        <v>-86</v>
      </c>
      <c r="G282" s="330">
        <v>0</v>
      </c>
      <c r="H282" s="330">
        <v>-85669</v>
      </c>
      <c r="M282" s="514"/>
    </row>
    <row r="283" spans="1:13" ht="15.75">
      <c r="A283" s="365">
        <v>923000</v>
      </c>
      <c r="B283" s="364" t="s">
        <v>440</v>
      </c>
      <c r="C283" s="363"/>
      <c r="F283" s="330">
        <f t="shared" si="10"/>
        <v>5222</v>
      </c>
      <c r="G283" s="330">
        <v>0</v>
      </c>
      <c r="H283" s="330">
        <v>5222270</v>
      </c>
      <c r="M283" s="514"/>
    </row>
    <row r="284" spans="1:13" ht="15.75">
      <c r="A284" s="365">
        <v>924000</v>
      </c>
      <c r="B284" s="364" t="s">
        <v>441</v>
      </c>
      <c r="C284" s="363"/>
      <c r="F284" s="330">
        <f t="shared" si="10"/>
        <v>871</v>
      </c>
      <c r="G284" s="330">
        <v>0</v>
      </c>
      <c r="H284" s="330">
        <v>870674</v>
      </c>
      <c r="M284" s="514"/>
    </row>
    <row r="285" spans="1:13" ht="15.75">
      <c r="A285" s="362" t="s">
        <v>442</v>
      </c>
      <c r="B285" s="364" t="s">
        <v>443</v>
      </c>
      <c r="C285" s="363"/>
      <c r="F285" s="330">
        <f t="shared" si="10"/>
        <v>2297</v>
      </c>
      <c r="G285" s="330">
        <v>0</v>
      </c>
      <c r="H285" s="330">
        <v>2296657</v>
      </c>
      <c r="M285" s="514"/>
    </row>
    <row r="286" spans="1:13" ht="15.75">
      <c r="A286" s="362" t="s">
        <v>444</v>
      </c>
      <c r="B286" s="364" t="s">
        <v>445</v>
      </c>
      <c r="C286" s="363"/>
      <c r="F286" s="330">
        <f t="shared" si="10"/>
        <v>914</v>
      </c>
      <c r="G286" s="330">
        <v>0</v>
      </c>
      <c r="H286" s="330">
        <v>914223</v>
      </c>
      <c r="M286" s="514"/>
    </row>
    <row r="287" spans="1:13" ht="15.75">
      <c r="A287" s="365">
        <v>927000</v>
      </c>
      <c r="B287" s="364" t="s">
        <v>446</v>
      </c>
      <c r="C287" s="363"/>
      <c r="F287" s="330">
        <f t="shared" si="10"/>
        <v>0</v>
      </c>
      <c r="G287" s="330">
        <v>0</v>
      </c>
      <c r="H287" s="330">
        <v>0</v>
      </c>
      <c r="M287" s="514"/>
    </row>
    <row r="288" spans="1:13" ht="15.75">
      <c r="A288" s="365">
        <v>928000</v>
      </c>
      <c r="B288" s="364" t="s">
        <v>447</v>
      </c>
      <c r="C288" s="363"/>
      <c r="F288" s="330">
        <f t="shared" si="10"/>
        <v>4298</v>
      </c>
      <c r="G288" s="330">
        <v>0</v>
      </c>
      <c r="H288" s="330">
        <v>4298283</v>
      </c>
      <c r="M288" s="514"/>
    </row>
    <row r="289" spans="1:18" ht="15.75">
      <c r="A289" s="365">
        <v>930000</v>
      </c>
      <c r="B289" s="364" t="s">
        <v>448</v>
      </c>
      <c r="C289" s="363"/>
      <c r="F289" s="330">
        <f t="shared" si="10"/>
        <v>2651</v>
      </c>
      <c r="G289" s="330">
        <v>0</v>
      </c>
      <c r="H289" s="330">
        <v>2651143</v>
      </c>
      <c r="M289" s="514"/>
    </row>
    <row r="290" spans="1:18" ht="15.75">
      <c r="A290" s="365">
        <v>931000</v>
      </c>
      <c r="B290" s="364" t="s">
        <v>449</v>
      </c>
      <c r="C290" s="363"/>
      <c r="F290" s="330">
        <f t="shared" si="10"/>
        <v>730</v>
      </c>
      <c r="G290" s="330">
        <v>0</v>
      </c>
      <c r="H290" s="330">
        <v>730224</v>
      </c>
      <c r="M290" s="514"/>
    </row>
    <row r="291" spans="1:18" ht="15.75">
      <c r="A291" s="365">
        <v>935000</v>
      </c>
      <c r="B291" s="364" t="s">
        <v>450</v>
      </c>
      <c r="C291" s="363"/>
      <c r="F291" s="330">
        <f t="shared" si="10"/>
        <v>7718</v>
      </c>
      <c r="G291" s="330">
        <v>0</v>
      </c>
      <c r="H291" s="330">
        <v>7718483</v>
      </c>
      <c r="M291" s="514"/>
      <c r="Q291" s="330">
        <v>10137303</v>
      </c>
    </row>
    <row r="292" spans="1:18" ht="15.75">
      <c r="A292" s="362"/>
      <c r="B292" s="364" t="s">
        <v>451</v>
      </c>
      <c r="C292" s="363"/>
      <c r="F292" s="330">
        <f t="shared" si="10"/>
        <v>50568</v>
      </c>
      <c r="G292" s="330">
        <v>0</v>
      </c>
      <c r="H292" s="330">
        <v>50567919</v>
      </c>
      <c r="M292" s="514"/>
      <c r="Q292" s="330">
        <v>192090</v>
      </c>
    </row>
    <row r="293" spans="1:18" ht="15.75">
      <c r="A293" s="362"/>
      <c r="B293" s="364"/>
      <c r="C293" s="363"/>
      <c r="F293" s="330">
        <f t="shared" si="10"/>
        <v>0</v>
      </c>
      <c r="G293" s="330">
        <v>0</v>
      </c>
      <c r="M293" s="514"/>
      <c r="Q293" s="330">
        <v>5865595</v>
      </c>
      <c r="R293" s="330" t="s">
        <v>727</v>
      </c>
    </row>
    <row r="294" spans="1:18" ht="15.75">
      <c r="A294" s="362"/>
      <c r="B294" s="364" t="s">
        <v>452</v>
      </c>
      <c r="C294" s="363"/>
      <c r="F294" s="330">
        <f t="shared" si="10"/>
        <v>12362</v>
      </c>
      <c r="G294" s="330">
        <v>0</v>
      </c>
      <c r="H294" s="330">
        <v>12361940</v>
      </c>
      <c r="M294" s="514"/>
      <c r="Q294" s="330">
        <v>20485</v>
      </c>
    </row>
    <row r="295" spans="1:18" ht="15.75">
      <c r="A295" s="362"/>
      <c r="B295" s="364" t="s">
        <v>453</v>
      </c>
      <c r="C295" s="363"/>
      <c r="F295" s="330">
        <f t="shared" si="10"/>
        <v>297</v>
      </c>
      <c r="G295" s="330">
        <v>0</v>
      </c>
      <c r="H295" s="330">
        <v>296647</v>
      </c>
      <c r="M295" s="514"/>
    </row>
    <row r="296" spans="1:18" ht="15.75">
      <c r="A296" s="362"/>
      <c r="B296" s="364" t="s">
        <v>454</v>
      </c>
      <c r="C296" s="363"/>
      <c r="F296" s="330">
        <f t="shared" ref="F296:F322" si="11">ROUND(H296/1000,0)</f>
        <v>11177</v>
      </c>
      <c r="G296" s="330">
        <v>0</v>
      </c>
      <c r="H296" s="330">
        <v>11176852</v>
      </c>
      <c r="M296" s="514"/>
    </row>
    <row r="297" spans="1:18" ht="15.75">
      <c r="A297" s="362"/>
      <c r="B297" s="364" t="s">
        <v>455</v>
      </c>
      <c r="C297" s="363"/>
      <c r="F297" s="330">
        <f t="shared" si="11"/>
        <v>41</v>
      </c>
      <c r="G297" s="330">
        <v>0</v>
      </c>
      <c r="H297" s="330">
        <v>41198</v>
      </c>
      <c r="M297" s="514"/>
      <c r="Q297" s="330">
        <f>SUM(Q291:Q296)</f>
        <v>16215473</v>
      </c>
    </row>
    <row r="298" spans="1:18" ht="15.75">
      <c r="A298" s="515">
        <v>407229</v>
      </c>
      <c r="B298" s="514" t="s">
        <v>703</v>
      </c>
      <c r="C298" s="363"/>
      <c r="F298" s="330">
        <f t="shared" si="11"/>
        <v>0</v>
      </c>
      <c r="G298" s="330">
        <v>0</v>
      </c>
      <c r="H298" s="330">
        <v>0</v>
      </c>
      <c r="M298" s="514"/>
    </row>
    <row r="299" spans="1:18" ht="15.75">
      <c r="A299" s="515">
        <v>407468</v>
      </c>
      <c r="B299" s="514" t="s">
        <v>710</v>
      </c>
      <c r="C299" s="363"/>
      <c r="F299" s="330">
        <f t="shared" ref="F299" si="12">ROUND(H299/1000,0)</f>
        <v>0</v>
      </c>
      <c r="G299" s="330">
        <v>1</v>
      </c>
      <c r="H299" s="330">
        <v>0</v>
      </c>
      <c r="M299" s="514"/>
    </row>
    <row r="300" spans="1:18" ht="15.75">
      <c r="A300" s="362"/>
      <c r="B300" s="364" t="s">
        <v>456</v>
      </c>
      <c r="C300" s="363"/>
      <c r="F300" s="330">
        <f t="shared" si="11"/>
        <v>23877</v>
      </c>
      <c r="G300" s="330">
        <v>0</v>
      </c>
      <c r="H300" s="330">
        <v>23876637</v>
      </c>
      <c r="M300" s="514"/>
    </row>
    <row r="301" spans="1:18" ht="15.75">
      <c r="A301" s="362"/>
      <c r="B301" s="364"/>
      <c r="C301" s="363"/>
      <c r="F301" s="330">
        <f t="shared" si="11"/>
        <v>0</v>
      </c>
      <c r="G301" s="330">
        <v>0</v>
      </c>
      <c r="M301" s="514"/>
    </row>
    <row r="302" spans="1:18" ht="15.75">
      <c r="A302" s="365"/>
      <c r="B302" s="364" t="s">
        <v>457</v>
      </c>
      <c r="C302" s="363"/>
      <c r="F302" s="330">
        <f t="shared" si="11"/>
        <v>74445</v>
      </c>
      <c r="G302" s="330">
        <v>0</v>
      </c>
      <c r="H302" s="330">
        <v>74444556</v>
      </c>
      <c r="M302" s="514"/>
    </row>
    <row r="303" spans="1:18" ht="15.75">
      <c r="A303" s="365"/>
      <c r="B303" s="364"/>
      <c r="C303" s="363"/>
      <c r="F303" s="330">
        <f t="shared" si="11"/>
        <v>0</v>
      </c>
      <c r="G303" s="330">
        <v>0</v>
      </c>
      <c r="M303" s="514"/>
    </row>
    <row r="304" spans="1:18" ht="15.75">
      <c r="A304" s="365"/>
      <c r="B304" s="364" t="s">
        <v>458</v>
      </c>
      <c r="C304" s="363"/>
      <c r="F304" s="330">
        <f t="shared" si="11"/>
        <v>526184</v>
      </c>
      <c r="G304" s="330">
        <v>0</v>
      </c>
      <c r="H304" s="330">
        <v>526184421</v>
      </c>
      <c r="M304" s="514"/>
    </row>
    <row r="305" spans="1:13" ht="15.75">
      <c r="A305" s="365"/>
      <c r="B305" s="364"/>
      <c r="C305" s="363"/>
      <c r="F305" s="330">
        <f t="shared" si="11"/>
        <v>0</v>
      </c>
      <c r="G305" s="330">
        <v>0</v>
      </c>
      <c r="M305" s="514"/>
    </row>
    <row r="306" spans="1:13" ht="15.75">
      <c r="A306" s="365"/>
      <c r="B306" s="364" t="s">
        <v>459</v>
      </c>
      <c r="C306" s="363"/>
      <c r="F306" s="330">
        <f t="shared" si="11"/>
        <v>150927</v>
      </c>
      <c r="G306" s="330">
        <v>0</v>
      </c>
      <c r="H306" s="330">
        <v>150927389</v>
      </c>
      <c r="M306" s="514"/>
    </row>
    <row r="307" spans="1:13" ht="15.75">
      <c r="A307" s="365"/>
      <c r="B307" s="364"/>
      <c r="C307" s="363"/>
      <c r="F307" s="330">
        <f t="shared" si="11"/>
        <v>0</v>
      </c>
      <c r="G307" s="330">
        <v>0</v>
      </c>
      <c r="M307" s="514"/>
    </row>
    <row r="308" spans="1:13" ht="15.75">
      <c r="A308" s="365"/>
      <c r="B308" s="364" t="s">
        <v>460</v>
      </c>
      <c r="C308" s="363"/>
      <c r="F308" s="330">
        <f t="shared" si="11"/>
        <v>-25741</v>
      </c>
      <c r="G308" s="330">
        <v>0</v>
      </c>
      <c r="H308" s="330">
        <v>-25741470</v>
      </c>
      <c r="M308" s="514"/>
    </row>
    <row r="309" spans="1:13" ht="15.75">
      <c r="A309" s="365"/>
      <c r="B309" s="364" t="s">
        <v>461</v>
      </c>
      <c r="C309" s="363"/>
      <c r="F309" s="330">
        <f t="shared" si="11"/>
        <v>66436</v>
      </c>
      <c r="G309" s="330">
        <v>0</v>
      </c>
      <c r="H309" s="330">
        <v>66436097</v>
      </c>
      <c r="M309" s="514"/>
    </row>
    <row r="310" spans="1:13" ht="15.75">
      <c r="A310" s="365"/>
      <c r="B310" s="364" t="s">
        <v>462</v>
      </c>
      <c r="C310" s="368"/>
      <c r="F310" s="330">
        <f t="shared" si="11"/>
        <v>-325</v>
      </c>
      <c r="G310" s="330">
        <v>0</v>
      </c>
      <c r="H310" s="330">
        <v>-324886</v>
      </c>
      <c r="M310" s="514"/>
    </row>
    <row r="311" spans="1:13" ht="15.75">
      <c r="A311" s="362"/>
      <c r="B311" s="364" t="s">
        <v>463</v>
      </c>
      <c r="C311" s="363"/>
      <c r="F311" s="330">
        <f t="shared" si="11"/>
        <v>110558</v>
      </c>
      <c r="G311" s="330">
        <v>0</v>
      </c>
      <c r="H311" s="330">
        <v>110557648</v>
      </c>
      <c r="M311" s="514"/>
    </row>
    <row r="312" spans="1:13">
      <c r="F312" s="330">
        <f t="shared" si="11"/>
        <v>0</v>
      </c>
      <c r="G312" s="330">
        <v>0</v>
      </c>
    </row>
    <row r="313" spans="1:13" ht="15.75">
      <c r="A313" s="371"/>
      <c r="B313" s="364" t="s">
        <v>67</v>
      </c>
      <c r="F313" s="330">
        <f t="shared" si="11"/>
        <v>0</v>
      </c>
      <c r="G313" s="330">
        <v>0</v>
      </c>
      <c r="M313" s="514"/>
    </row>
    <row r="314" spans="1:13" ht="15.75">
      <c r="A314" s="371"/>
      <c r="B314" s="364" t="s">
        <v>464</v>
      </c>
      <c r="F314" s="330">
        <f t="shared" si="11"/>
        <v>0</v>
      </c>
      <c r="G314" s="330">
        <v>0</v>
      </c>
      <c r="M314" s="514"/>
    </row>
    <row r="315" spans="1:13" ht="15.75">
      <c r="A315" s="372">
        <v>182324</v>
      </c>
      <c r="B315" s="367" t="s">
        <v>665</v>
      </c>
      <c r="F315" s="330">
        <f t="shared" si="11"/>
        <v>5686</v>
      </c>
      <c r="G315" s="330">
        <v>0</v>
      </c>
      <c r="H315" s="330">
        <v>5685645</v>
      </c>
      <c r="M315" s="517"/>
    </row>
    <row r="316" spans="1:13" ht="15.75">
      <c r="A316" s="372">
        <v>182325</v>
      </c>
      <c r="B316" s="367" t="s">
        <v>666</v>
      </c>
      <c r="F316" s="330">
        <f t="shared" si="11"/>
        <v>1315</v>
      </c>
      <c r="G316" s="330">
        <v>0</v>
      </c>
      <c r="H316" s="330">
        <v>1314600</v>
      </c>
      <c r="M316" s="517"/>
    </row>
    <row r="317" spans="1:13" ht="15.75">
      <c r="A317" s="372">
        <v>182333</v>
      </c>
      <c r="B317" s="367" t="s">
        <v>667</v>
      </c>
      <c r="F317" s="330">
        <f t="shared" ref="F317:F318" si="13">ROUND(H317/1000,0)</f>
        <v>807</v>
      </c>
      <c r="G317" s="330">
        <v>0</v>
      </c>
      <c r="H317" s="330">
        <v>807389</v>
      </c>
      <c r="M317" s="517"/>
    </row>
    <row r="318" spans="1:13" ht="15.75">
      <c r="A318" s="372">
        <v>182381</v>
      </c>
      <c r="B318" s="367" t="s">
        <v>668</v>
      </c>
      <c r="F318" s="330">
        <f t="shared" si="13"/>
        <v>21816</v>
      </c>
      <c r="G318" s="330">
        <v>0</v>
      </c>
      <c r="H318" s="330">
        <v>21815819</v>
      </c>
      <c r="M318" s="517"/>
    </row>
    <row r="319" spans="1:13" ht="15.75">
      <c r="A319" s="373">
        <v>302000</v>
      </c>
      <c r="B319" s="364" t="s">
        <v>465</v>
      </c>
      <c r="F319" s="330">
        <f t="shared" si="11"/>
        <v>29556</v>
      </c>
      <c r="G319" s="330">
        <v>0</v>
      </c>
      <c r="H319" s="330">
        <v>29556255</v>
      </c>
      <c r="M319" s="514"/>
    </row>
    <row r="320" spans="1:13" ht="15.75">
      <c r="A320" s="373">
        <v>303000</v>
      </c>
      <c r="B320" s="367" t="s">
        <v>466</v>
      </c>
      <c r="F320" s="330">
        <f t="shared" si="11"/>
        <v>11440</v>
      </c>
      <c r="G320" s="330">
        <v>0</v>
      </c>
      <c r="H320" s="330">
        <v>11439631</v>
      </c>
      <c r="M320" s="517"/>
    </row>
    <row r="321" spans="1:13" ht="15.75">
      <c r="A321" s="373">
        <v>303100</v>
      </c>
      <c r="B321" s="364" t="s">
        <v>467</v>
      </c>
      <c r="F321" s="330">
        <f t="shared" si="11"/>
        <v>36026</v>
      </c>
      <c r="G321" s="330">
        <v>0</v>
      </c>
      <c r="H321" s="330">
        <v>36026426</v>
      </c>
      <c r="M321" s="514"/>
    </row>
    <row r="322" spans="1:13" ht="15.75">
      <c r="A322" s="373">
        <v>303110</v>
      </c>
      <c r="B322" s="364" t="s">
        <v>468</v>
      </c>
      <c r="F322" s="330">
        <f t="shared" si="11"/>
        <v>2941</v>
      </c>
      <c r="G322" s="330">
        <v>0</v>
      </c>
      <c r="H322" s="330">
        <v>2940873</v>
      </c>
      <c r="M322" s="514"/>
    </row>
    <row r="323" spans="1:13" ht="15.75">
      <c r="A323" s="519">
        <v>303115</v>
      </c>
      <c r="B323" s="514" t="s">
        <v>711</v>
      </c>
      <c r="F323" s="330">
        <f t="shared" ref="F323" si="14">ROUND(H323/1000,0)</f>
        <v>46471</v>
      </c>
      <c r="G323" s="330">
        <v>1</v>
      </c>
      <c r="H323" s="330">
        <v>46470587</v>
      </c>
      <c r="M323" s="514"/>
    </row>
    <row r="324" spans="1:13" ht="15.75">
      <c r="A324" s="374"/>
      <c r="B324" s="364" t="s">
        <v>469</v>
      </c>
      <c r="F324" s="330">
        <f t="shared" ref="F324:F349" si="15">ROUND(H324/1000,0)</f>
        <v>156057</v>
      </c>
      <c r="G324" s="330">
        <v>0</v>
      </c>
      <c r="H324" s="330">
        <v>156057225</v>
      </c>
      <c r="M324" s="514"/>
    </row>
    <row r="325" spans="1:13" ht="15.75">
      <c r="A325" s="371"/>
      <c r="B325" s="364"/>
      <c r="F325" s="330">
        <f t="shared" si="15"/>
        <v>0</v>
      </c>
      <c r="G325" s="330">
        <v>0</v>
      </c>
      <c r="M325" s="514"/>
    </row>
    <row r="326" spans="1:13" ht="15.75">
      <c r="A326" s="371"/>
      <c r="B326" s="364" t="s">
        <v>470</v>
      </c>
      <c r="F326" s="330">
        <f t="shared" si="15"/>
        <v>0</v>
      </c>
      <c r="G326" s="330">
        <v>0</v>
      </c>
      <c r="M326" s="514"/>
    </row>
    <row r="327" spans="1:13" ht="15.75">
      <c r="A327" s="373" t="s">
        <v>471</v>
      </c>
      <c r="B327" s="364" t="s">
        <v>472</v>
      </c>
      <c r="F327" s="330">
        <f t="shared" si="15"/>
        <v>2352</v>
      </c>
      <c r="G327" s="330">
        <v>0</v>
      </c>
      <c r="H327" s="330">
        <v>2351922</v>
      </c>
      <c r="M327" s="514"/>
    </row>
    <row r="328" spans="1:13" ht="15.75">
      <c r="A328" s="373" t="s">
        <v>473</v>
      </c>
      <c r="B328" s="364" t="s">
        <v>474</v>
      </c>
      <c r="F328" s="330">
        <f t="shared" si="15"/>
        <v>86982</v>
      </c>
      <c r="G328" s="330">
        <v>0</v>
      </c>
      <c r="H328" s="330">
        <v>86981968</v>
      </c>
      <c r="M328" s="514"/>
    </row>
    <row r="329" spans="1:13" ht="15.75">
      <c r="A329" s="373">
        <v>312000</v>
      </c>
      <c r="B329" s="364" t="s">
        <v>343</v>
      </c>
      <c r="F329" s="330">
        <f t="shared" si="15"/>
        <v>115829</v>
      </c>
      <c r="G329" s="330">
        <v>0</v>
      </c>
      <c r="H329" s="330">
        <v>115829080</v>
      </c>
      <c r="M329" s="514"/>
    </row>
    <row r="330" spans="1:13" ht="15.75">
      <c r="A330" s="373">
        <v>313000</v>
      </c>
      <c r="B330" s="364" t="s">
        <v>475</v>
      </c>
      <c r="F330" s="330">
        <f t="shared" si="15"/>
        <v>4</v>
      </c>
      <c r="G330" s="330">
        <v>0</v>
      </c>
      <c r="H330" s="330">
        <v>4450</v>
      </c>
      <c r="M330" s="514"/>
    </row>
    <row r="331" spans="1:13" ht="15.75">
      <c r="A331" s="373">
        <v>314000</v>
      </c>
      <c r="B331" s="364" t="s">
        <v>476</v>
      </c>
      <c r="F331" s="330">
        <f t="shared" si="15"/>
        <v>36187</v>
      </c>
      <c r="G331" s="330">
        <v>0</v>
      </c>
      <c r="H331" s="330">
        <v>36187031</v>
      </c>
      <c r="M331" s="514"/>
    </row>
    <row r="332" spans="1:13" ht="15.75">
      <c r="A332" s="373">
        <v>315000</v>
      </c>
      <c r="B332" s="364" t="s">
        <v>477</v>
      </c>
      <c r="F332" s="330">
        <f t="shared" si="15"/>
        <v>17939</v>
      </c>
      <c r="G332" s="330">
        <v>0</v>
      </c>
      <c r="H332" s="330">
        <v>17939049</v>
      </c>
      <c r="M332" s="514"/>
    </row>
    <row r="333" spans="1:13" ht="15.75">
      <c r="A333" s="373">
        <v>316000</v>
      </c>
      <c r="B333" s="364" t="s">
        <v>478</v>
      </c>
      <c r="F333" s="330">
        <f t="shared" si="15"/>
        <v>11465</v>
      </c>
      <c r="G333" s="330">
        <v>0</v>
      </c>
      <c r="H333" s="330">
        <v>11465135</v>
      </c>
      <c r="M333" s="514"/>
    </row>
    <row r="334" spans="1:13" ht="15.75">
      <c r="A334" s="375"/>
      <c r="B334" s="364" t="s">
        <v>479</v>
      </c>
      <c r="F334" s="330">
        <f t="shared" si="15"/>
        <v>270759</v>
      </c>
      <c r="G334" s="330">
        <v>0</v>
      </c>
      <c r="H334" s="330">
        <v>270758635</v>
      </c>
      <c r="M334" s="514"/>
    </row>
    <row r="335" spans="1:13" ht="15.75">
      <c r="A335" s="376"/>
      <c r="B335" s="364"/>
      <c r="F335" s="330">
        <f t="shared" si="15"/>
        <v>0</v>
      </c>
      <c r="G335" s="330">
        <v>0</v>
      </c>
      <c r="M335" s="514"/>
    </row>
    <row r="336" spans="1:13" ht="15.75">
      <c r="A336" s="371"/>
      <c r="B336" s="364" t="s">
        <v>480</v>
      </c>
      <c r="F336" s="330">
        <f t="shared" si="15"/>
        <v>0</v>
      </c>
      <c r="G336" s="330">
        <v>0</v>
      </c>
      <c r="M336" s="514"/>
    </row>
    <row r="337" spans="1:13" ht="15.75">
      <c r="A337" s="373" t="s">
        <v>481</v>
      </c>
      <c r="B337" s="364" t="s">
        <v>472</v>
      </c>
      <c r="F337" s="330">
        <f t="shared" si="15"/>
        <v>39457</v>
      </c>
      <c r="G337" s="330">
        <v>0</v>
      </c>
      <c r="H337" s="330">
        <v>39456899</v>
      </c>
      <c r="M337" s="514"/>
    </row>
    <row r="338" spans="1:13" ht="15.75">
      <c r="A338" s="373" t="s">
        <v>482</v>
      </c>
      <c r="B338" s="364" t="s">
        <v>474</v>
      </c>
      <c r="F338" s="330">
        <f t="shared" si="15"/>
        <v>45405</v>
      </c>
      <c r="G338" s="330">
        <v>0</v>
      </c>
      <c r="H338" s="330">
        <v>45405487</v>
      </c>
      <c r="M338" s="514"/>
    </row>
    <row r="339" spans="1:13" ht="15.75">
      <c r="A339" s="373" t="s">
        <v>483</v>
      </c>
      <c r="B339" s="364" t="s">
        <v>352</v>
      </c>
      <c r="F339" s="330">
        <f t="shared" si="15"/>
        <v>107158</v>
      </c>
      <c r="G339" s="330">
        <v>0</v>
      </c>
      <c r="H339" s="330">
        <v>107158472</v>
      </c>
      <c r="M339" s="514"/>
    </row>
    <row r="340" spans="1:13" ht="15.75">
      <c r="A340" s="373">
        <v>333000</v>
      </c>
      <c r="B340" s="364" t="s">
        <v>484</v>
      </c>
      <c r="F340" s="330">
        <f t="shared" si="15"/>
        <v>132299</v>
      </c>
      <c r="G340" s="330">
        <v>0</v>
      </c>
      <c r="H340" s="330">
        <v>132299242</v>
      </c>
      <c r="M340" s="514"/>
    </row>
    <row r="341" spans="1:13" ht="15.75">
      <c r="A341" s="373">
        <v>334000</v>
      </c>
      <c r="B341" s="364" t="s">
        <v>477</v>
      </c>
      <c r="F341" s="330">
        <f t="shared" si="15"/>
        <v>32830</v>
      </c>
      <c r="G341" s="330">
        <v>0</v>
      </c>
      <c r="H341" s="330">
        <v>32830286</v>
      </c>
      <c r="M341" s="514"/>
    </row>
    <row r="342" spans="1:13" ht="15.75">
      <c r="A342" s="373" t="s">
        <v>485</v>
      </c>
      <c r="B342" s="364" t="s">
        <v>478</v>
      </c>
      <c r="F342" s="330">
        <f t="shared" si="15"/>
        <v>7141</v>
      </c>
      <c r="G342" s="330">
        <v>0</v>
      </c>
      <c r="H342" s="330">
        <v>7141010</v>
      </c>
      <c r="M342" s="514"/>
    </row>
    <row r="343" spans="1:13" ht="15.75">
      <c r="A343" s="373">
        <v>336000</v>
      </c>
      <c r="B343" s="364" t="s">
        <v>486</v>
      </c>
      <c r="F343" s="330">
        <f t="shared" si="15"/>
        <v>1804</v>
      </c>
      <c r="G343" s="330">
        <v>0</v>
      </c>
      <c r="H343" s="330">
        <v>1803547</v>
      </c>
      <c r="M343" s="514"/>
    </row>
    <row r="344" spans="1:13" ht="15.75">
      <c r="A344" s="375"/>
      <c r="B344" s="364" t="s">
        <v>487</v>
      </c>
      <c r="F344" s="330">
        <f t="shared" si="15"/>
        <v>366095</v>
      </c>
      <c r="G344" s="330">
        <v>0</v>
      </c>
      <c r="H344" s="330">
        <v>366094943</v>
      </c>
      <c r="M344" s="514"/>
    </row>
    <row r="345" spans="1:13" ht="15.75">
      <c r="A345" s="376"/>
      <c r="B345" s="364"/>
      <c r="F345" s="330">
        <f t="shared" si="15"/>
        <v>0</v>
      </c>
      <c r="G345" s="330">
        <v>0</v>
      </c>
      <c r="M345" s="514"/>
    </row>
    <row r="346" spans="1:13" ht="15.75">
      <c r="A346" s="371"/>
      <c r="B346" s="364" t="s">
        <v>488</v>
      </c>
      <c r="F346" s="330">
        <f t="shared" si="15"/>
        <v>0</v>
      </c>
      <c r="G346" s="330">
        <v>0</v>
      </c>
      <c r="M346" s="514"/>
    </row>
    <row r="347" spans="1:13" ht="15.75">
      <c r="A347" s="373">
        <v>340200</v>
      </c>
      <c r="B347" s="364" t="s">
        <v>472</v>
      </c>
      <c r="F347" s="330">
        <f t="shared" si="15"/>
        <v>595</v>
      </c>
      <c r="G347" s="330">
        <v>0</v>
      </c>
      <c r="H347" s="330">
        <v>594967</v>
      </c>
      <c r="M347" s="514"/>
    </row>
    <row r="348" spans="1:13" ht="15.75">
      <c r="A348" s="373">
        <v>341000</v>
      </c>
      <c r="B348" s="364" t="s">
        <v>474</v>
      </c>
      <c r="F348" s="330">
        <f t="shared" si="15"/>
        <v>11079</v>
      </c>
      <c r="G348" s="330">
        <v>0</v>
      </c>
      <c r="H348" s="330">
        <v>11078979</v>
      </c>
      <c r="M348" s="514"/>
    </row>
    <row r="349" spans="1:13" ht="15.75">
      <c r="A349" s="373">
        <v>342000</v>
      </c>
      <c r="B349" s="364" t="s">
        <v>489</v>
      </c>
      <c r="F349" s="330">
        <f t="shared" si="15"/>
        <v>14041</v>
      </c>
      <c r="G349" s="330">
        <v>0</v>
      </c>
      <c r="H349" s="330">
        <v>14041200</v>
      </c>
      <c r="M349" s="514"/>
    </row>
    <row r="350" spans="1:13" ht="15.75">
      <c r="A350" s="373">
        <v>343000</v>
      </c>
      <c r="B350" s="364" t="s">
        <v>490</v>
      </c>
      <c r="F350" s="330">
        <f t="shared" ref="F350:F351" si="16">ROUND(H350/1000,0)</f>
        <v>15716</v>
      </c>
      <c r="G350" s="330">
        <v>0</v>
      </c>
      <c r="H350" s="330">
        <v>15715695</v>
      </c>
      <c r="M350" s="514"/>
    </row>
    <row r="351" spans="1:13" ht="15.75">
      <c r="A351" s="373">
        <v>344000</v>
      </c>
      <c r="B351" s="364" t="s">
        <v>475</v>
      </c>
      <c r="F351" s="330">
        <f t="shared" si="16"/>
        <v>139700</v>
      </c>
      <c r="G351" s="330">
        <v>0</v>
      </c>
      <c r="H351" s="330">
        <v>139700422</v>
      </c>
      <c r="M351" s="514"/>
    </row>
    <row r="352" spans="1:13" ht="15.75">
      <c r="A352" s="373">
        <v>344010</v>
      </c>
      <c r="B352" s="364" t="s">
        <v>669</v>
      </c>
      <c r="F352" s="330">
        <f t="shared" ref="F352:F370" si="17">ROUND(H352/1000,0)</f>
        <v>98</v>
      </c>
      <c r="G352" s="330">
        <v>0</v>
      </c>
      <c r="H352" s="330">
        <v>98378</v>
      </c>
      <c r="M352" s="514"/>
    </row>
    <row r="353" spans="1:16384" ht="15.75">
      <c r="A353" s="373">
        <v>345000</v>
      </c>
      <c r="B353" s="364" t="s">
        <v>477</v>
      </c>
      <c r="F353" s="330">
        <f t="shared" si="17"/>
        <v>13551</v>
      </c>
      <c r="G353" s="330">
        <v>0</v>
      </c>
      <c r="H353" s="330">
        <v>13550640</v>
      </c>
      <c r="M353" s="514"/>
    </row>
    <row r="354" spans="1:16384" ht="15.75">
      <c r="A354" s="373">
        <v>345010</v>
      </c>
      <c r="B354" s="364" t="s">
        <v>670</v>
      </c>
      <c r="F354" s="330">
        <f t="shared" si="17"/>
        <v>22</v>
      </c>
      <c r="G354" s="330">
        <v>0</v>
      </c>
      <c r="H354" s="330">
        <v>21829</v>
      </c>
      <c r="I354" s="519"/>
      <c r="J354" s="514"/>
      <c r="K354" s="519"/>
      <c r="M354" s="514"/>
      <c r="Q354" s="519"/>
      <c r="R354" s="514"/>
      <c r="S354" s="519"/>
      <c r="T354" s="514"/>
      <c r="U354" s="519"/>
      <c r="V354" s="514"/>
      <c r="W354" s="519"/>
      <c r="X354" s="514"/>
      <c r="Y354" s="519"/>
      <c r="Z354" s="514"/>
      <c r="AA354" s="519"/>
      <c r="AB354" s="514"/>
      <c r="AC354" s="519"/>
      <c r="AD354" s="514"/>
      <c r="AE354" s="519"/>
      <c r="AF354" s="514"/>
      <c r="AG354" s="519"/>
      <c r="AH354" s="514"/>
      <c r="AI354" s="519"/>
      <c r="AJ354" s="514"/>
      <c r="AK354" s="519"/>
      <c r="AL354" s="514"/>
      <c r="AM354" s="519"/>
      <c r="AN354" s="514"/>
      <c r="AO354" s="519"/>
      <c r="AP354" s="514"/>
      <c r="AQ354" s="519"/>
      <c r="AR354" s="514"/>
      <c r="AS354" s="519"/>
      <c r="AT354" s="514"/>
      <c r="AU354" s="519"/>
      <c r="AV354" s="514"/>
      <c r="AW354" s="519"/>
      <c r="AX354" s="514"/>
      <c r="AY354" s="519"/>
      <c r="AZ354" s="514"/>
      <c r="BA354" s="519"/>
      <c r="BB354" s="514"/>
      <c r="BC354" s="519"/>
      <c r="BD354" s="514"/>
      <c r="BE354" s="519"/>
      <c r="BF354" s="514"/>
      <c r="BG354" s="519"/>
      <c r="BH354" s="514"/>
      <c r="BI354" s="519"/>
      <c r="BJ354" s="514"/>
      <c r="BK354" s="519"/>
      <c r="BL354" s="514"/>
      <c r="BM354" s="519"/>
      <c r="BN354" s="514"/>
      <c r="BO354" s="519"/>
      <c r="BP354" s="514"/>
      <c r="BQ354" s="519"/>
      <c r="BR354" s="514"/>
      <c r="BS354" s="519"/>
      <c r="BT354" s="514"/>
      <c r="BU354" s="519"/>
      <c r="BV354" s="514"/>
      <c r="BW354" s="519"/>
      <c r="BX354" s="514"/>
      <c r="BY354" s="519"/>
      <c r="BZ354" s="514"/>
      <c r="CA354" s="519"/>
      <c r="CB354" s="514"/>
      <c r="CC354" s="519"/>
      <c r="CD354" s="514"/>
      <c r="CE354" s="519"/>
      <c r="CF354" s="514"/>
      <c r="CG354" s="519"/>
      <c r="CH354" s="514"/>
      <c r="CI354" s="519"/>
      <c r="CJ354" s="514"/>
      <c r="CK354" s="519"/>
      <c r="CL354" s="514"/>
      <c r="CM354" s="519"/>
      <c r="CN354" s="514"/>
      <c r="CO354" s="519"/>
      <c r="CP354" s="514"/>
      <c r="CQ354" s="519"/>
      <c r="CR354" s="514"/>
      <c r="CS354" s="519"/>
      <c r="CT354" s="514"/>
      <c r="CU354" s="519"/>
      <c r="CV354" s="514"/>
      <c r="CW354" s="519"/>
      <c r="CX354" s="514"/>
      <c r="CY354" s="519"/>
      <c r="CZ354" s="514"/>
      <c r="DA354" s="519"/>
      <c r="DB354" s="514"/>
      <c r="DC354" s="519"/>
      <c r="DD354" s="514"/>
      <c r="DE354" s="519"/>
      <c r="DF354" s="514"/>
      <c r="DG354" s="519"/>
      <c r="DH354" s="514"/>
      <c r="DI354" s="519"/>
      <c r="DJ354" s="514"/>
      <c r="DK354" s="519"/>
      <c r="DL354" s="514"/>
      <c r="DM354" s="519"/>
      <c r="DN354" s="514"/>
      <c r="DO354" s="519"/>
      <c r="DP354" s="514"/>
      <c r="DQ354" s="519"/>
      <c r="DR354" s="514"/>
      <c r="DS354" s="519"/>
      <c r="DT354" s="514"/>
      <c r="DU354" s="519"/>
      <c r="DV354" s="514"/>
      <c r="DW354" s="519"/>
      <c r="DX354" s="514"/>
      <c r="DY354" s="519"/>
      <c r="DZ354" s="514"/>
      <c r="EA354" s="519"/>
      <c r="EB354" s="514"/>
      <c r="EC354" s="519"/>
      <c r="ED354" s="514"/>
      <c r="EE354" s="519"/>
      <c r="EF354" s="514"/>
      <c r="EG354" s="519"/>
      <c r="EH354" s="514"/>
      <c r="EI354" s="519"/>
      <c r="EJ354" s="514"/>
      <c r="EK354" s="519"/>
      <c r="EL354" s="514"/>
      <c r="EM354" s="519"/>
      <c r="EN354" s="514"/>
      <c r="EO354" s="519"/>
      <c r="EP354" s="514"/>
      <c r="EQ354" s="519"/>
      <c r="ER354" s="514"/>
      <c r="ES354" s="519"/>
      <c r="ET354" s="514"/>
      <c r="EU354" s="519"/>
      <c r="EV354" s="514"/>
      <c r="EW354" s="519"/>
      <c r="EX354" s="514"/>
      <c r="EY354" s="519"/>
      <c r="EZ354" s="514"/>
      <c r="FA354" s="519"/>
      <c r="FB354" s="514"/>
      <c r="FC354" s="519"/>
      <c r="FD354" s="514"/>
      <c r="FE354" s="519"/>
      <c r="FF354" s="514"/>
      <c r="FG354" s="519"/>
      <c r="FH354" s="514"/>
      <c r="FI354" s="519"/>
      <c r="FJ354" s="514"/>
      <c r="FK354" s="519"/>
      <c r="FL354" s="514"/>
      <c r="FM354" s="519"/>
      <c r="FN354" s="514"/>
      <c r="FO354" s="519"/>
      <c r="FP354" s="514"/>
      <c r="FQ354" s="519"/>
      <c r="FR354" s="514"/>
      <c r="FS354" s="519"/>
      <c r="FT354" s="514"/>
      <c r="FU354" s="519"/>
      <c r="FV354" s="514"/>
      <c r="FW354" s="519"/>
      <c r="FX354" s="514"/>
      <c r="FY354" s="519"/>
      <c r="FZ354" s="514"/>
      <c r="GA354" s="519"/>
      <c r="GB354" s="514"/>
      <c r="GC354" s="519"/>
      <c r="GD354" s="514"/>
      <c r="GE354" s="519"/>
      <c r="GF354" s="514"/>
      <c r="GG354" s="519"/>
      <c r="GH354" s="514"/>
      <c r="GI354" s="519"/>
      <c r="GJ354" s="514"/>
      <c r="GK354" s="519"/>
      <c r="GL354" s="514"/>
      <c r="GM354" s="519"/>
      <c r="GN354" s="514"/>
      <c r="GO354" s="519"/>
      <c r="GP354" s="514"/>
      <c r="GQ354" s="519"/>
      <c r="GR354" s="514"/>
      <c r="GS354" s="519"/>
      <c r="GT354" s="514"/>
      <c r="GU354" s="519"/>
      <c r="GV354" s="514"/>
      <c r="GW354" s="519"/>
      <c r="GX354" s="514"/>
      <c r="GY354" s="519"/>
      <c r="GZ354" s="514"/>
      <c r="HA354" s="519"/>
      <c r="HB354" s="514"/>
      <c r="HC354" s="519"/>
      <c r="HD354" s="514"/>
      <c r="HE354" s="519"/>
      <c r="HF354" s="514"/>
      <c r="HG354" s="519"/>
      <c r="HH354" s="514"/>
      <c r="HI354" s="519"/>
      <c r="HJ354" s="514"/>
      <c r="HK354" s="519"/>
      <c r="HL354" s="514"/>
      <c r="HM354" s="519"/>
      <c r="HN354" s="514"/>
      <c r="HO354" s="519"/>
      <c r="HP354" s="514"/>
      <c r="HQ354" s="519"/>
      <c r="HR354" s="514"/>
      <c r="HS354" s="519"/>
      <c r="HT354" s="514"/>
      <c r="HU354" s="519"/>
      <c r="HV354" s="514"/>
      <c r="HW354" s="519"/>
      <c r="HX354" s="514"/>
      <c r="HY354" s="519"/>
      <c r="HZ354" s="514"/>
      <c r="IA354" s="519"/>
      <c r="IB354" s="514"/>
      <c r="IC354" s="519"/>
      <c r="ID354" s="514"/>
      <c r="IE354" s="519"/>
      <c r="IF354" s="514"/>
      <c r="IG354" s="519"/>
      <c r="IH354" s="514"/>
      <c r="II354" s="519"/>
      <c r="IJ354" s="514"/>
      <c r="IK354" s="519"/>
      <c r="IL354" s="514"/>
      <c r="IM354" s="519"/>
      <c r="IN354" s="514"/>
      <c r="IO354" s="519"/>
      <c r="IP354" s="514"/>
      <c r="IQ354" s="519"/>
      <c r="IR354" s="514"/>
      <c r="IS354" s="519"/>
      <c r="IT354" s="514"/>
      <c r="IU354" s="519"/>
      <c r="IV354" s="514"/>
      <c r="IW354" s="519"/>
      <c r="IX354" s="514"/>
      <c r="IY354" s="519"/>
      <c r="IZ354" s="514"/>
      <c r="JA354" s="519"/>
      <c r="JB354" s="514"/>
      <c r="JC354" s="519"/>
      <c r="JD354" s="514"/>
      <c r="JE354" s="519"/>
      <c r="JF354" s="514"/>
      <c r="JG354" s="519"/>
      <c r="JH354" s="514"/>
      <c r="JI354" s="519"/>
      <c r="JJ354" s="514"/>
      <c r="JK354" s="519"/>
      <c r="JL354" s="514"/>
      <c r="JM354" s="519"/>
      <c r="JN354" s="514"/>
      <c r="JO354" s="519"/>
      <c r="JP354" s="514"/>
      <c r="JQ354" s="519"/>
      <c r="JR354" s="514"/>
      <c r="JS354" s="519"/>
      <c r="JT354" s="514"/>
      <c r="JU354" s="519"/>
      <c r="JV354" s="514"/>
      <c r="JW354" s="519"/>
      <c r="JX354" s="514"/>
      <c r="JY354" s="519"/>
      <c r="JZ354" s="514"/>
      <c r="KA354" s="519"/>
      <c r="KB354" s="514"/>
      <c r="KC354" s="519"/>
      <c r="KD354" s="514"/>
      <c r="KE354" s="519"/>
      <c r="KF354" s="514"/>
      <c r="KG354" s="519"/>
      <c r="KH354" s="514"/>
      <c r="KI354" s="519"/>
      <c r="KJ354" s="514"/>
      <c r="KK354" s="519"/>
      <c r="KL354" s="514"/>
      <c r="KM354" s="519"/>
      <c r="KN354" s="514"/>
      <c r="KO354" s="519"/>
      <c r="KP354" s="514"/>
      <c r="KQ354" s="519"/>
      <c r="KR354" s="514"/>
      <c r="KS354" s="519"/>
      <c r="KT354" s="514"/>
      <c r="KU354" s="519"/>
      <c r="KV354" s="514"/>
      <c r="KW354" s="519"/>
      <c r="KX354" s="514"/>
      <c r="KY354" s="519"/>
      <c r="KZ354" s="514"/>
      <c r="LA354" s="519"/>
      <c r="LB354" s="514"/>
      <c r="LC354" s="519"/>
      <c r="LD354" s="514"/>
      <c r="LE354" s="519"/>
      <c r="LF354" s="514"/>
      <c r="LG354" s="519"/>
      <c r="LH354" s="514"/>
      <c r="LI354" s="519"/>
      <c r="LJ354" s="514"/>
      <c r="LK354" s="519"/>
      <c r="LL354" s="514"/>
      <c r="LM354" s="519"/>
      <c r="LN354" s="514"/>
      <c r="LO354" s="519"/>
      <c r="LP354" s="514"/>
      <c r="LQ354" s="519"/>
      <c r="LR354" s="514"/>
      <c r="LS354" s="519"/>
      <c r="LT354" s="514"/>
      <c r="LU354" s="519"/>
      <c r="LV354" s="514"/>
      <c r="LW354" s="519"/>
      <c r="LX354" s="514"/>
      <c r="LY354" s="519"/>
      <c r="LZ354" s="514"/>
      <c r="MA354" s="519"/>
      <c r="MB354" s="514"/>
      <c r="MC354" s="519"/>
      <c r="MD354" s="514"/>
      <c r="ME354" s="519"/>
      <c r="MF354" s="514"/>
      <c r="MG354" s="519"/>
      <c r="MH354" s="514"/>
      <c r="MI354" s="519"/>
      <c r="MJ354" s="514"/>
      <c r="MK354" s="519"/>
      <c r="ML354" s="514"/>
      <c r="MM354" s="519"/>
      <c r="MN354" s="514"/>
      <c r="MO354" s="519"/>
      <c r="MP354" s="514"/>
      <c r="MQ354" s="519"/>
      <c r="MR354" s="514"/>
      <c r="MS354" s="519"/>
      <c r="MT354" s="514"/>
      <c r="MU354" s="519"/>
      <c r="MV354" s="514"/>
      <c r="MW354" s="519"/>
      <c r="MX354" s="514"/>
      <c r="MY354" s="519"/>
      <c r="MZ354" s="514"/>
      <c r="NA354" s="519"/>
      <c r="NB354" s="514"/>
      <c r="NC354" s="519"/>
      <c r="ND354" s="514"/>
      <c r="NE354" s="519"/>
      <c r="NF354" s="514"/>
      <c r="NG354" s="519"/>
      <c r="NH354" s="514"/>
      <c r="NI354" s="519"/>
      <c r="NJ354" s="514"/>
      <c r="NK354" s="519"/>
      <c r="NL354" s="514"/>
      <c r="NM354" s="519"/>
      <c r="NN354" s="514"/>
      <c r="NO354" s="519"/>
      <c r="NP354" s="514"/>
      <c r="NQ354" s="519"/>
      <c r="NR354" s="514"/>
      <c r="NS354" s="519"/>
      <c r="NT354" s="514"/>
      <c r="NU354" s="519"/>
      <c r="NV354" s="514"/>
      <c r="NW354" s="519"/>
      <c r="NX354" s="514"/>
      <c r="NY354" s="519"/>
      <c r="NZ354" s="514"/>
      <c r="OA354" s="519"/>
      <c r="OB354" s="514"/>
      <c r="OC354" s="519"/>
      <c r="OD354" s="514"/>
      <c r="OE354" s="519"/>
      <c r="OF354" s="514"/>
      <c r="OG354" s="519"/>
      <c r="OH354" s="514"/>
      <c r="OI354" s="519"/>
      <c r="OJ354" s="514"/>
      <c r="OK354" s="519"/>
      <c r="OL354" s="514"/>
      <c r="OM354" s="519"/>
      <c r="ON354" s="514"/>
      <c r="OO354" s="519"/>
      <c r="OP354" s="514"/>
      <c r="OQ354" s="519"/>
      <c r="OR354" s="514"/>
      <c r="OS354" s="519"/>
      <c r="OT354" s="514"/>
      <c r="OU354" s="519"/>
      <c r="OV354" s="514"/>
      <c r="OW354" s="519"/>
      <c r="OX354" s="514"/>
      <c r="OY354" s="519"/>
      <c r="OZ354" s="514"/>
      <c r="PA354" s="519"/>
      <c r="PB354" s="514"/>
      <c r="PC354" s="519"/>
      <c r="PD354" s="514"/>
      <c r="PE354" s="519"/>
      <c r="PF354" s="514"/>
      <c r="PG354" s="519"/>
      <c r="PH354" s="514"/>
      <c r="PI354" s="519"/>
      <c r="PJ354" s="514"/>
      <c r="PK354" s="519"/>
      <c r="PL354" s="514"/>
      <c r="PM354" s="519"/>
      <c r="PN354" s="514"/>
      <c r="PO354" s="519"/>
      <c r="PP354" s="514"/>
      <c r="PQ354" s="519"/>
      <c r="PR354" s="514"/>
      <c r="PS354" s="519"/>
      <c r="PT354" s="514"/>
      <c r="PU354" s="519"/>
      <c r="PV354" s="514"/>
      <c r="PW354" s="519"/>
      <c r="PX354" s="514"/>
      <c r="PY354" s="519"/>
      <c r="PZ354" s="514"/>
      <c r="QA354" s="519"/>
      <c r="QB354" s="514"/>
      <c r="QC354" s="519"/>
      <c r="QD354" s="514"/>
      <c r="QE354" s="519"/>
      <c r="QF354" s="514"/>
      <c r="QG354" s="519"/>
      <c r="QH354" s="514"/>
      <c r="QI354" s="519"/>
      <c r="QJ354" s="514"/>
      <c r="QK354" s="519"/>
      <c r="QL354" s="514"/>
      <c r="QM354" s="519"/>
      <c r="QN354" s="514"/>
      <c r="QO354" s="519"/>
      <c r="QP354" s="514"/>
      <c r="QQ354" s="519"/>
      <c r="QR354" s="514"/>
      <c r="QS354" s="519"/>
      <c r="QT354" s="514"/>
      <c r="QU354" s="519"/>
      <c r="QV354" s="514"/>
      <c r="QW354" s="519"/>
      <c r="QX354" s="514"/>
      <c r="QY354" s="519"/>
      <c r="QZ354" s="514"/>
      <c r="RA354" s="519"/>
      <c r="RB354" s="514"/>
      <c r="RC354" s="519"/>
      <c r="RD354" s="514"/>
      <c r="RE354" s="519"/>
      <c r="RF354" s="514"/>
      <c r="RG354" s="519"/>
      <c r="RH354" s="514"/>
      <c r="RI354" s="519"/>
      <c r="RJ354" s="514"/>
      <c r="RK354" s="519"/>
      <c r="RL354" s="514"/>
      <c r="RM354" s="519"/>
      <c r="RN354" s="514"/>
      <c r="RO354" s="519"/>
      <c r="RP354" s="514"/>
      <c r="RQ354" s="519"/>
      <c r="RR354" s="514"/>
      <c r="RS354" s="519"/>
      <c r="RT354" s="514"/>
      <c r="RU354" s="519"/>
      <c r="RV354" s="514"/>
      <c r="RW354" s="519"/>
      <c r="RX354" s="514"/>
      <c r="RY354" s="519"/>
      <c r="RZ354" s="514"/>
      <c r="SA354" s="519"/>
      <c r="SB354" s="514"/>
      <c r="SC354" s="519"/>
      <c r="SD354" s="514"/>
      <c r="SE354" s="519"/>
      <c r="SF354" s="514"/>
      <c r="SG354" s="519"/>
      <c r="SH354" s="514"/>
      <c r="SI354" s="519"/>
      <c r="SJ354" s="514"/>
      <c r="SK354" s="519"/>
      <c r="SL354" s="514"/>
      <c r="SM354" s="519"/>
      <c r="SN354" s="514"/>
      <c r="SO354" s="519"/>
      <c r="SP354" s="514"/>
      <c r="SQ354" s="519"/>
      <c r="SR354" s="514"/>
      <c r="SS354" s="519"/>
      <c r="ST354" s="514"/>
      <c r="SU354" s="519"/>
      <c r="SV354" s="514"/>
      <c r="SW354" s="519"/>
      <c r="SX354" s="514"/>
      <c r="SY354" s="519"/>
      <c r="SZ354" s="514"/>
      <c r="TA354" s="519"/>
      <c r="TB354" s="514"/>
      <c r="TC354" s="519"/>
      <c r="TD354" s="514"/>
      <c r="TE354" s="519"/>
      <c r="TF354" s="514"/>
      <c r="TG354" s="519"/>
      <c r="TH354" s="514"/>
      <c r="TI354" s="519"/>
      <c r="TJ354" s="514"/>
      <c r="TK354" s="519"/>
      <c r="TL354" s="514"/>
      <c r="TM354" s="519"/>
      <c r="TN354" s="514"/>
      <c r="TO354" s="519"/>
      <c r="TP354" s="514"/>
      <c r="TQ354" s="519"/>
      <c r="TR354" s="514"/>
      <c r="TS354" s="519"/>
      <c r="TT354" s="514"/>
      <c r="TU354" s="519"/>
      <c r="TV354" s="514"/>
      <c r="TW354" s="519"/>
      <c r="TX354" s="514"/>
      <c r="TY354" s="519"/>
      <c r="TZ354" s="514"/>
      <c r="UA354" s="519"/>
      <c r="UB354" s="514"/>
      <c r="UC354" s="519"/>
      <c r="UD354" s="514"/>
      <c r="UE354" s="519"/>
      <c r="UF354" s="514"/>
      <c r="UG354" s="519"/>
      <c r="UH354" s="514"/>
      <c r="UI354" s="519"/>
      <c r="UJ354" s="514"/>
      <c r="UK354" s="519"/>
      <c r="UL354" s="514"/>
      <c r="UM354" s="519"/>
      <c r="UN354" s="514"/>
      <c r="UO354" s="519"/>
      <c r="UP354" s="514"/>
      <c r="UQ354" s="519"/>
      <c r="UR354" s="514"/>
      <c r="US354" s="519"/>
      <c r="UT354" s="514"/>
      <c r="UU354" s="519"/>
      <c r="UV354" s="514"/>
      <c r="UW354" s="519"/>
      <c r="UX354" s="514"/>
      <c r="UY354" s="519"/>
      <c r="UZ354" s="514"/>
      <c r="VA354" s="519"/>
      <c r="VB354" s="514"/>
      <c r="VC354" s="519"/>
      <c r="VD354" s="514"/>
      <c r="VE354" s="519"/>
      <c r="VF354" s="514"/>
      <c r="VG354" s="519"/>
      <c r="VH354" s="514"/>
      <c r="VI354" s="519"/>
      <c r="VJ354" s="514"/>
      <c r="VK354" s="519"/>
      <c r="VL354" s="514"/>
      <c r="VM354" s="519"/>
      <c r="VN354" s="514"/>
      <c r="VO354" s="519"/>
      <c r="VP354" s="514"/>
      <c r="VQ354" s="519"/>
      <c r="VR354" s="514"/>
      <c r="VS354" s="519"/>
      <c r="VT354" s="514"/>
      <c r="VU354" s="519"/>
      <c r="VV354" s="514"/>
      <c r="VW354" s="519"/>
      <c r="VX354" s="514"/>
      <c r="VY354" s="519"/>
      <c r="VZ354" s="514"/>
      <c r="WA354" s="519"/>
      <c r="WB354" s="514"/>
      <c r="WC354" s="519"/>
      <c r="WD354" s="514"/>
      <c r="WE354" s="519"/>
      <c r="WF354" s="514"/>
      <c r="WG354" s="519"/>
      <c r="WH354" s="514"/>
      <c r="WI354" s="519"/>
      <c r="WJ354" s="514"/>
      <c r="WK354" s="519"/>
      <c r="WL354" s="514"/>
      <c r="WM354" s="519"/>
      <c r="WN354" s="514"/>
      <c r="WO354" s="519"/>
      <c r="WP354" s="514"/>
      <c r="WQ354" s="519"/>
      <c r="WR354" s="514"/>
      <c r="WS354" s="519"/>
      <c r="WT354" s="514"/>
      <c r="WU354" s="519"/>
      <c r="WV354" s="514"/>
      <c r="WW354" s="519"/>
      <c r="WX354" s="514"/>
      <c r="WY354" s="519"/>
      <c r="WZ354" s="514"/>
      <c r="XA354" s="519"/>
      <c r="XB354" s="514"/>
      <c r="XC354" s="519"/>
      <c r="XD354" s="514"/>
      <c r="XE354" s="519"/>
      <c r="XF354" s="514"/>
      <c r="XG354" s="519"/>
      <c r="XH354" s="514"/>
      <c r="XI354" s="519"/>
      <c r="XJ354" s="514"/>
      <c r="XK354" s="519"/>
      <c r="XL354" s="514"/>
      <c r="XM354" s="519"/>
      <c r="XN354" s="514"/>
      <c r="XO354" s="519"/>
      <c r="XP354" s="514"/>
      <c r="XQ354" s="519"/>
      <c r="XR354" s="514"/>
      <c r="XS354" s="519"/>
      <c r="XT354" s="514"/>
      <c r="XU354" s="519"/>
      <c r="XV354" s="514"/>
      <c r="XW354" s="519"/>
      <c r="XX354" s="514"/>
      <c r="XY354" s="519"/>
      <c r="XZ354" s="514"/>
      <c r="YA354" s="519"/>
      <c r="YB354" s="514"/>
      <c r="YC354" s="519"/>
      <c r="YD354" s="514"/>
      <c r="YE354" s="519"/>
      <c r="YF354" s="514"/>
      <c r="YG354" s="519"/>
      <c r="YH354" s="514"/>
      <c r="YI354" s="519"/>
      <c r="YJ354" s="514"/>
      <c r="YK354" s="519"/>
      <c r="YL354" s="514"/>
      <c r="YM354" s="519"/>
      <c r="YN354" s="514"/>
      <c r="YO354" s="519"/>
      <c r="YP354" s="514"/>
      <c r="YQ354" s="519"/>
      <c r="YR354" s="514"/>
      <c r="YS354" s="519"/>
      <c r="YT354" s="514"/>
      <c r="YU354" s="519"/>
      <c r="YV354" s="514"/>
      <c r="YW354" s="519"/>
      <c r="YX354" s="514"/>
      <c r="YY354" s="519"/>
      <c r="YZ354" s="514"/>
      <c r="ZA354" s="519"/>
      <c r="ZB354" s="514"/>
      <c r="ZC354" s="519"/>
      <c r="ZD354" s="514"/>
      <c r="ZE354" s="519"/>
      <c r="ZF354" s="514"/>
      <c r="ZG354" s="519"/>
      <c r="ZH354" s="514"/>
      <c r="ZI354" s="519"/>
      <c r="ZJ354" s="514"/>
      <c r="ZK354" s="519"/>
      <c r="ZL354" s="514"/>
      <c r="ZM354" s="519"/>
      <c r="ZN354" s="514"/>
      <c r="ZO354" s="519"/>
      <c r="ZP354" s="514"/>
      <c r="ZQ354" s="519"/>
      <c r="ZR354" s="514"/>
      <c r="ZS354" s="519"/>
      <c r="ZT354" s="514"/>
      <c r="ZU354" s="519"/>
      <c r="ZV354" s="514"/>
      <c r="ZW354" s="519"/>
      <c r="ZX354" s="514"/>
      <c r="ZY354" s="519"/>
      <c r="ZZ354" s="514"/>
      <c r="AAA354" s="519"/>
      <c r="AAB354" s="514"/>
      <c r="AAC354" s="519"/>
      <c r="AAD354" s="514"/>
      <c r="AAE354" s="519"/>
      <c r="AAF354" s="514"/>
      <c r="AAG354" s="519"/>
      <c r="AAH354" s="514"/>
      <c r="AAI354" s="519"/>
      <c r="AAJ354" s="514"/>
      <c r="AAK354" s="519"/>
      <c r="AAL354" s="514"/>
      <c r="AAM354" s="519"/>
      <c r="AAN354" s="514"/>
      <c r="AAO354" s="519"/>
      <c r="AAP354" s="514"/>
      <c r="AAQ354" s="519"/>
      <c r="AAR354" s="514"/>
      <c r="AAS354" s="519"/>
      <c r="AAT354" s="514"/>
      <c r="AAU354" s="519"/>
      <c r="AAV354" s="514"/>
      <c r="AAW354" s="519"/>
      <c r="AAX354" s="514"/>
      <c r="AAY354" s="519"/>
      <c r="AAZ354" s="514"/>
      <c r="ABA354" s="519"/>
      <c r="ABB354" s="514"/>
      <c r="ABC354" s="519"/>
      <c r="ABD354" s="514"/>
      <c r="ABE354" s="519"/>
      <c r="ABF354" s="514"/>
      <c r="ABG354" s="519"/>
      <c r="ABH354" s="514"/>
      <c r="ABI354" s="519"/>
      <c r="ABJ354" s="514"/>
      <c r="ABK354" s="519"/>
      <c r="ABL354" s="514"/>
      <c r="ABM354" s="519"/>
      <c r="ABN354" s="514"/>
      <c r="ABO354" s="519"/>
      <c r="ABP354" s="514"/>
      <c r="ABQ354" s="519"/>
      <c r="ABR354" s="514"/>
      <c r="ABS354" s="519"/>
      <c r="ABT354" s="514"/>
      <c r="ABU354" s="519"/>
      <c r="ABV354" s="514"/>
      <c r="ABW354" s="519"/>
      <c r="ABX354" s="514"/>
      <c r="ABY354" s="519"/>
      <c r="ABZ354" s="514"/>
      <c r="ACA354" s="519"/>
      <c r="ACB354" s="514"/>
      <c r="ACC354" s="519"/>
      <c r="ACD354" s="514"/>
      <c r="ACE354" s="519"/>
      <c r="ACF354" s="514"/>
      <c r="ACG354" s="519"/>
      <c r="ACH354" s="514"/>
      <c r="ACI354" s="519"/>
      <c r="ACJ354" s="514"/>
      <c r="ACK354" s="519"/>
      <c r="ACL354" s="514"/>
      <c r="ACM354" s="519"/>
      <c r="ACN354" s="514"/>
      <c r="ACO354" s="519"/>
      <c r="ACP354" s="514"/>
      <c r="ACQ354" s="519"/>
      <c r="ACR354" s="514"/>
      <c r="ACS354" s="519"/>
      <c r="ACT354" s="514"/>
      <c r="ACU354" s="519"/>
      <c r="ACV354" s="514"/>
      <c r="ACW354" s="519"/>
      <c r="ACX354" s="514"/>
      <c r="ACY354" s="519"/>
      <c r="ACZ354" s="514"/>
      <c r="ADA354" s="519"/>
      <c r="ADB354" s="514"/>
      <c r="ADC354" s="519"/>
      <c r="ADD354" s="514"/>
      <c r="ADE354" s="519"/>
      <c r="ADF354" s="514"/>
      <c r="ADG354" s="519"/>
      <c r="ADH354" s="514"/>
      <c r="ADI354" s="519"/>
      <c r="ADJ354" s="514"/>
      <c r="ADK354" s="519"/>
      <c r="ADL354" s="514"/>
      <c r="ADM354" s="519"/>
      <c r="ADN354" s="514"/>
      <c r="ADO354" s="519"/>
      <c r="ADP354" s="514"/>
      <c r="ADQ354" s="519"/>
      <c r="ADR354" s="514"/>
      <c r="ADS354" s="519"/>
      <c r="ADT354" s="514"/>
      <c r="ADU354" s="519"/>
      <c r="ADV354" s="514"/>
      <c r="ADW354" s="519"/>
      <c r="ADX354" s="514"/>
      <c r="ADY354" s="519"/>
      <c r="ADZ354" s="514"/>
      <c r="AEA354" s="519"/>
      <c r="AEB354" s="514"/>
      <c r="AEC354" s="519"/>
      <c r="AED354" s="514"/>
      <c r="AEE354" s="519"/>
      <c r="AEF354" s="514"/>
      <c r="AEG354" s="519"/>
      <c r="AEH354" s="514"/>
      <c r="AEI354" s="519"/>
      <c r="AEJ354" s="514"/>
      <c r="AEK354" s="519"/>
      <c r="AEL354" s="514"/>
      <c r="AEM354" s="519"/>
      <c r="AEN354" s="514"/>
      <c r="AEO354" s="519"/>
      <c r="AEP354" s="514"/>
      <c r="AEQ354" s="519"/>
      <c r="AER354" s="514"/>
      <c r="AES354" s="519"/>
      <c r="AET354" s="514"/>
      <c r="AEU354" s="519"/>
      <c r="AEV354" s="514"/>
      <c r="AEW354" s="519"/>
      <c r="AEX354" s="514"/>
      <c r="AEY354" s="519"/>
      <c r="AEZ354" s="514"/>
      <c r="AFA354" s="519"/>
      <c r="AFB354" s="514"/>
      <c r="AFC354" s="519"/>
      <c r="AFD354" s="514"/>
      <c r="AFE354" s="519"/>
      <c r="AFF354" s="514"/>
      <c r="AFG354" s="519"/>
      <c r="AFH354" s="514"/>
      <c r="AFI354" s="519"/>
      <c r="AFJ354" s="514"/>
      <c r="AFK354" s="519"/>
      <c r="AFL354" s="514"/>
      <c r="AFM354" s="519"/>
      <c r="AFN354" s="514"/>
      <c r="AFO354" s="519"/>
      <c r="AFP354" s="514"/>
      <c r="AFQ354" s="519"/>
      <c r="AFR354" s="514"/>
      <c r="AFS354" s="519"/>
      <c r="AFT354" s="514"/>
      <c r="AFU354" s="519"/>
      <c r="AFV354" s="514"/>
      <c r="AFW354" s="519"/>
      <c r="AFX354" s="514"/>
      <c r="AFY354" s="519"/>
      <c r="AFZ354" s="514"/>
      <c r="AGA354" s="519"/>
      <c r="AGB354" s="514"/>
      <c r="AGC354" s="519"/>
      <c r="AGD354" s="514"/>
      <c r="AGE354" s="519"/>
      <c r="AGF354" s="514"/>
      <c r="AGG354" s="519"/>
      <c r="AGH354" s="514"/>
      <c r="AGI354" s="519"/>
      <c r="AGJ354" s="514"/>
      <c r="AGK354" s="519"/>
      <c r="AGL354" s="514"/>
      <c r="AGM354" s="519"/>
      <c r="AGN354" s="514"/>
      <c r="AGO354" s="519"/>
      <c r="AGP354" s="514"/>
      <c r="AGQ354" s="519"/>
      <c r="AGR354" s="514"/>
      <c r="AGS354" s="519"/>
      <c r="AGT354" s="514"/>
      <c r="AGU354" s="519"/>
      <c r="AGV354" s="514"/>
      <c r="AGW354" s="519"/>
      <c r="AGX354" s="514"/>
      <c r="AGY354" s="519"/>
      <c r="AGZ354" s="514"/>
      <c r="AHA354" s="519"/>
      <c r="AHB354" s="514"/>
      <c r="AHC354" s="519"/>
      <c r="AHD354" s="514"/>
      <c r="AHE354" s="519"/>
      <c r="AHF354" s="514"/>
      <c r="AHG354" s="519"/>
      <c r="AHH354" s="514"/>
      <c r="AHI354" s="519"/>
      <c r="AHJ354" s="514"/>
      <c r="AHK354" s="519"/>
      <c r="AHL354" s="514"/>
      <c r="AHM354" s="519"/>
      <c r="AHN354" s="514"/>
      <c r="AHO354" s="519"/>
      <c r="AHP354" s="514"/>
      <c r="AHQ354" s="519"/>
      <c r="AHR354" s="514"/>
      <c r="AHS354" s="519"/>
      <c r="AHT354" s="514"/>
      <c r="AHU354" s="519"/>
      <c r="AHV354" s="514"/>
      <c r="AHW354" s="519"/>
      <c r="AHX354" s="514"/>
      <c r="AHY354" s="519"/>
      <c r="AHZ354" s="514"/>
      <c r="AIA354" s="519"/>
      <c r="AIB354" s="514"/>
      <c r="AIC354" s="519"/>
      <c r="AID354" s="514"/>
      <c r="AIE354" s="519"/>
      <c r="AIF354" s="514"/>
      <c r="AIG354" s="519"/>
      <c r="AIH354" s="514"/>
      <c r="AII354" s="519"/>
      <c r="AIJ354" s="514"/>
      <c r="AIK354" s="519"/>
      <c r="AIL354" s="514"/>
      <c r="AIM354" s="519"/>
      <c r="AIN354" s="514"/>
      <c r="AIO354" s="519"/>
      <c r="AIP354" s="514"/>
      <c r="AIQ354" s="519"/>
      <c r="AIR354" s="514"/>
      <c r="AIS354" s="519"/>
      <c r="AIT354" s="514"/>
      <c r="AIU354" s="519"/>
      <c r="AIV354" s="514"/>
      <c r="AIW354" s="519"/>
      <c r="AIX354" s="514"/>
      <c r="AIY354" s="519"/>
      <c r="AIZ354" s="514"/>
      <c r="AJA354" s="519"/>
      <c r="AJB354" s="514"/>
      <c r="AJC354" s="519"/>
      <c r="AJD354" s="514"/>
      <c r="AJE354" s="519"/>
      <c r="AJF354" s="514"/>
      <c r="AJG354" s="519"/>
      <c r="AJH354" s="514"/>
      <c r="AJI354" s="519"/>
      <c r="AJJ354" s="514"/>
      <c r="AJK354" s="519"/>
      <c r="AJL354" s="514"/>
      <c r="AJM354" s="519"/>
      <c r="AJN354" s="514"/>
      <c r="AJO354" s="519"/>
      <c r="AJP354" s="514"/>
      <c r="AJQ354" s="519"/>
      <c r="AJR354" s="514"/>
      <c r="AJS354" s="519"/>
      <c r="AJT354" s="514"/>
      <c r="AJU354" s="519"/>
      <c r="AJV354" s="514"/>
      <c r="AJW354" s="519"/>
      <c r="AJX354" s="514"/>
      <c r="AJY354" s="519"/>
      <c r="AJZ354" s="514"/>
      <c r="AKA354" s="519"/>
      <c r="AKB354" s="514"/>
      <c r="AKC354" s="519"/>
      <c r="AKD354" s="514"/>
      <c r="AKE354" s="519"/>
      <c r="AKF354" s="514"/>
      <c r="AKG354" s="519"/>
      <c r="AKH354" s="514"/>
      <c r="AKI354" s="519"/>
      <c r="AKJ354" s="514"/>
      <c r="AKK354" s="519"/>
      <c r="AKL354" s="514"/>
      <c r="AKM354" s="519"/>
      <c r="AKN354" s="514"/>
      <c r="AKO354" s="519"/>
      <c r="AKP354" s="514"/>
      <c r="AKQ354" s="519"/>
      <c r="AKR354" s="514"/>
      <c r="AKS354" s="519"/>
      <c r="AKT354" s="514"/>
      <c r="AKU354" s="519"/>
      <c r="AKV354" s="514"/>
      <c r="AKW354" s="519"/>
      <c r="AKX354" s="514"/>
      <c r="AKY354" s="519"/>
      <c r="AKZ354" s="514"/>
      <c r="ALA354" s="519"/>
      <c r="ALB354" s="514"/>
      <c r="ALC354" s="519"/>
      <c r="ALD354" s="514"/>
      <c r="ALE354" s="519"/>
      <c r="ALF354" s="514"/>
      <c r="ALG354" s="519"/>
      <c r="ALH354" s="514"/>
      <c r="ALI354" s="519"/>
      <c r="ALJ354" s="514"/>
      <c r="ALK354" s="519"/>
      <c r="ALL354" s="514"/>
      <c r="ALM354" s="519"/>
      <c r="ALN354" s="514"/>
      <c r="ALO354" s="519"/>
      <c r="ALP354" s="514"/>
      <c r="ALQ354" s="519"/>
      <c r="ALR354" s="514"/>
      <c r="ALS354" s="519"/>
      <c r="ALT354" s="514"/>
      <c r="ALU354" s="519"/>
      <c r="ALV354" s="514"/>
      <c r="ALW354" s="519"/>
      <c r="ALX354" s="514"/>
      <c r="ALY354" s="519"/>
      <c r="ALZ354" s="514"/>
      <c r="AMA354" s="519"/>
      <c r="AMB354" s="514"/>
      <c r="AMC354" s="519"/>
      <c r="AMD354" s="514"/>
      <c r="AME354" s="519"/>
      <c r="AMF354" s="514"/>
      <c r="AMG354" s="519"/>
      <c r="AMH354" s="514"/>
      <c r="AMI354" s="519"/>
      <c r="AMJ354" s="514"/>
      <c r="AMK354" s="519"/>
      <c r="AML354" s="514"/>
      <c r="AMM354" s="519"/>
      <c r="AMN354" s="514"/>
      <c r="AMO354" s="519"/>
      <c r="AMP354" s="514"/>
      <c r="AMQ354" s="519"/>
      <c r="AMR354" s="514"/>
      <c r="AMS354" s="519"/>
      <c r="AMT354" s="514"/>
      <c r="AMU354" s="519"/>
      <c r="AMV354" s="514"/>
      <c r="AMW354" s="519"/>
      <c r="AMX354" s="514"/>
      <c r="AMY354" s="519"/>
      <c r="AMZ354" s="514"/>
      <c r="ANA354" s="519"/>
      <c r="ANB354" s="514"/>
      <c r="ANC354" s="519"/>
      <c r="AND354" s="514"/>
      <c r="ANE354" s="519"/>
      <c r="ANF354" s="514"/>
      <c r="ANG354" s="519"/>
      <c r="ANH354" s="514"/>
      <c r="ANI354" s="519"/>
      <c r="ANJ354" s="514"/>
      <c r="ANK354" s="519"/>
      <c r="ANL354" s="514"/>
      <c r="ANM354" s="519"/>
      <c r="ANN354" s="514"/>
      <c r="ANO354" s="519"/>
      <c r="ANP354" s="514"/>
      <c r="ANQ354" s="519"/>
      <c r="ANR354" s="514"/>
      <c r="ANS354" s="519"/>
      <c r="ANT354" s="514"/>
      <c r="ANU354" s="519"/>
      <c r="ANV354" s="514"/>
      <c r="ANW354" s="519"/>
      <c r="ANX354" s="514"/>
      <c r="ANY354" s="519"/>
      <c r="ANZ354" s="514"/>
      <c r="AOA354" s="519"/>
      <c r="AOB354" s="514"/>
      <c r="AOC354" s="519"/>
      <c r="AOD354" s="514"/>
      <c r="AOE354" s="519"/>
      <c r="AOF354" s="514"/>
      <c r="AOG354" s="519"/>
      <c r="AOH354" s="514"/>
      <c r="AOI354" s="519"/>
      <c r="AOJ354" s="514"/>
      <c r="AOK354" s="519"/>
      <c r="AOL354" s="514"/>
      <c r="AOM354" s="519"/>
      <c r="AON354" s="514"/>
      <c r="AOO354" s="519"/>
      <c r="AOP354" s="514"/>
      <c r="AOQ354" s="519"/>
      <c r="AOR354" s="514"/>
      <c r="AOS354" s="519"/>
      <c r="AOT354" s="514"/>
      <c r="AOU354" s="519"/>
      <c r="AOV354" s="514"/>
      <c r="AOW354" s="519"/>
      <c r="AOX354" s="514"/>
      <c r="AOY354" s="519"/>
      <c r="AOZ354" s="514"/>
      <c r="APA354" s="519"/>
      <c r="APB354" s="514"/>
      <c r="APC354" s="519"/>
      <c r="APD354" s="514"/>
      <c r="APE354" s="519"/>
      <c r="APF354" s="514"/>
      <c r="APG354" s="519"/>
      <c r="APH354" s="514"/>
      <c r="API354" s="519"/>
      <c r="APJ354" s="514"/>
      <c r="APK354" s="519"/>
      <c r="APL354" s="514"/>
      <c r="APM354" s="519"/>
      <c r="APN354" s="514"/>
      <c r="APO354" s="519"/>
      <c r="APP354" s="514"/>
      <c r="APQ354" s="519"/>
      <c r="APR354" s="514"/>
      <c r="APS354" s="519"/>
      <c r="APT354" s="514"/>
      <c r="APU354" s="519"/>
      <c r="APV354" s="514"/>
      <c r="APW354" s="519"/>
      <c r="APX354" s="514"/>
      <c r="APY354" s="519"/>
      <c r="APZ354" s="514"/>
      <c r="AQA354" s="519"/>
      <c r="AQB354" s="514"/>
      <c r="AQC354" s="519"/>
      <c r="AQD354" s="514"/>
      <c r="AQE354" s="519"/>
      <c r="AQF354" s="514"/>
      <c r="AQG354" s="519"/>
      <c r="AQH354" s="514"/>
      <c r="AQI354" s="519"/>
      <c r="AQJ354" s="514"/>
      <c r="AQK354" s="519"/>
      <c r="AQL354" s="514"/>
      <c r="AQM354" s="519"/>
      <c r="AQN354" s="514"/>
      <c r="AQO354" s="519"/>
      <c r="AQP354" s="514"/>
      <c r="AQQ354" s="519"/>
      <c r="AQR354" s="514"/>
      <c r="AQS354" s="519"/>
      <c r="AQT354" s="514"/>
      <c r="AQU354" s="519"/>
      <c r="AQV354" s="514"/>
      <c r="AQW354" s="519"/>
      <c r="AQX354" s="514"/>
      <c r="AQY354" s="519"/>
      <c r="AQZ354" s="514"/>
      <c r="ARA354" s="519"/>
      <c r="ARB354" s="514"/>
      <c r="ARC354" s="519"/>
      <c r="ARD354" s="514"/>
      <c r="ARE354" s="519"/>
      <c r="ARF354" s="514"/>
      <c r="ARG354" s="519"/>
      <c r="ARH354" s="514"/>
      <c r="ARI354" s="519"/>
      <c r="ARJ354" s="514"/>
      <c r="ARK354" s="519"/>
      <c r="ARL354" s="514"/>
      <c r="ARM354" s="519"/>
      <c r="ARN354" s="514"/>
      <c r="ARO354" s="519"/>
      <c r="ARP354" s="514"/>
      <c r="ARQ354" s="519"/>
      <c r="ARR354" s="514"/>
      <c r="ARS354" s="519"/>
      <c r="ART354" s="514"/>
      <c r="ARU354" s="519"/>
      <c r="ARV354" s="514"/>
      <c r="ARW354" s="519"/>
      <c r="ARX354" s="514"/>
      <c r="ARY354" s="519"/>
      <c r="ARZ354" s="514"/>
      <c r="ASA354" s="519"/>
      <c r="ASB354" s="514"/>
      <c r="ASC354" s="519"/>
      <c r="ASD354" s="514"/>
      <c r="ASE354" s="519"/>
      <c r="ASF354" s="514"/>
      <c r="ASG354" s="519"/>
      <c r="ASH354" s="514"/>
      <c r="ASI354" s="519"/>
      <c r="ASJ354" s="514"/>
      <c r="ASK354" s="519"/>
      <c r="ASL354" s="514"/>
      <c r="ASM354" s="519"/>
      <c r="ASN354" s="514"/>
      <c r="ASO354" s="519"/>
      <c r="ASP354" s="514"/>
      <c r="ASQ354" s="519"/>
      <c r="ASR354" s="514"/>
      <c r="ASS354" s="519"/>
      <c r="AST354" s="514"/>
      <c r="ASU354" s="519"/>
      <c r="ASV354" s="514"/>
      <c r="ASW354" s="519"/>
      <c r="ASX354" s="514"/>
      <c r="ASY354" s="519"/>
      <c r="ASZ354" s="514"/>
      <c r="ATA354" s="519"/>
      <c r="ATB354" s="514"/>
      <c r="ATC354" s="519"/>
      <c r="ATD354" s="514"/>
      <c r="ATE354" s="519"/>
      <c r="ATF354" s="514"/>
      <c r="ATG354" s="519"/>
      <c r="ATH354" s="514"/>
      <c r="ATI354" s="519"/>
      <c r="ATJ354" s="514"/>
      <c r="ATK354" s="519"/>
      <c r="ATL354" s="514"/>
      <c r="ATM354" s="519"/>
      <c r="ATN354" s="514"/>
      <c r="ATO354" s="519"/>
      <c r="ATP354" s="514"/>
      <c r="ATQ354" s="519"/>
      <c r="ATR354" s="514"/>
      <c r="ATS354" s="519"/>
      <c r="ATT354" s="514"/>
      <c r="ATU354" s="519"/>
      <c r="ATV354" s="514"/>
      <c r="ATW354" s="519"/>
      <c r="ATX354" s="514"/>
      <c r="ATY354" s="519"/>
      <c r="ATZ354" s="514"/>
      <c r="AUA354" s="519"/>
      <c r="AUB354" s="514"/>
      <c r="AUC354" s="519"/>
      <c r="AUD354" s="514"/>
      <c r="AUE354" s="519"/>
      <c r="AUF354" s="514"/>
      <c r="AUG354" s="519"/>
      <c r="AUH354" s="514"/>
      <c r="AUI354" s="519"/>
      <c r="AUJ354" s="514"/>
      <c r="AUK354" s="519"/>
      <c r="AUL354" s="514"/>
      <c r="AUM354" s="519"/>
      <c r="AUN354" s="514"/>
      <c r="AUO354" s="519"/>
      <c r="AUP354" s="514"/>
      <c r="AUQ354" s="519"/>
      <c r="AUR354" s="514"/>
      <c r="AUS354" s="519"/>
      <c r="AUT354" s="514"/>
      <c r="AUU354" s="519"/>
      <c r="AUV354" s="514"/>
      <c r="AUW354" s="519"/>
      <c r="AUX354" s="514"/>
      <c r="AUY354" s="519"/>
      <c r="AUZ354" s="514"/>
      <c r="AVA354" s="519"/>
      <c r="AVB354" s="514"/>
      <c r="AVC354" s="519"/>
      <c r="AVD354" s="514"/>
      <c r="AVE354" s="519"/>
      <c r="AVF354" s="514"/>
      <c r="AVG354" s="519"/>
      <c r="AVH354" s="514"/>
      <c r="AVI354" s="519"/>
      <c r="AVJ354" s="514"/>
      <c r="AVK354" s="519"/>
      <c r="AVL354" s="514"/>
      <c r="AVM354" s="519"/>
      <c r="AVN354" s="514"/>
      <c r="AVO354" s="519"/>
      <c r="AVP354" s="514"/>
      <c r="AVQ354" s="519"/>
      <c r="AVR354" s="514"/>
      <c r="AVS354" s="519"/>
      <c r="AVT354" s="514"/>
      <c r="AVU354" s="519"/>
      <c r="AVV354" s="514"/>
      <c r="AVW354" s="519"/>
      <c r="AVX354" s="514"/>
      <c r="AVY354" s="519"/>
      <c r="AVZ354" s="514"/>
      <c r="AWA354" s="519"/>
      <c r="AWB354" s="514"/>
      <c r="AWC354" s="519"/>
      <c r="AWD354" s="514"/>
      <c r="AWE354" s="519"/>
      <c r="AWF354" s="514"/>
      <c r="AWG354" s="519"/>
      <c r="AWH354" s="514"/>
      <c r="AWI354" s="519"/>
      <c r="AWJ354" s="514"/>
      <c r="AWK354" s="519"/>
      <c r="AWL354" s="514"/>
      <c r="AWM354" s="519"/>
      <c r="AWN354" s="514"/>
      <c r="AWO354" s="519"/>
      <c r="AWP354" s="514"/>
      <c r="AWQ354" s="519"/>
      <c r="AWR354" s="514"/>
      <c r="AWS354" s="519"/>
      <c r="AWT354" s="514"/>
      <c r="AWU354" s="519"/>
      <c r="AWV354" s="514"/>
      <c r="AWW354" s="519"/>
      <c r="AWX354" s="514"/>
      <c r="AWY354" s="519"/>
      <c r="AWZ354" s="514"/>
      <c r="AXA354" s="519"/>
      <c r="AXB354" s="514"/>
      <c r="AXC354" s="519"/>
      <c r="AXD354" s="514"/>
      <c r="AXE354" s="519"/>
      <c r="AXF354" s="514"/>
      <c r="AXG354" s="519"/>
      <c r="AXH354" s="514"/>
      <c r="AXI354" s="519"/>
      <c r="AXJ354" s="514"/>
      <c r="AXK354" s="519"/>
      <c r="AXL354" s="514"/>
      <c r="AXM354" s="519"/>
      <c r="AXN354" s="514"/>
      <c r="AXO354" s="519"/>
      <c r="AXP354" s="514"/>
      <c r="AXQ354" s="519"/>
      <c r="AXR354" s="514"/>
      <c r="AXS354" s="519"/>
      <c r="AXT354" s="514"/>
      <c r="AXU354" s="519"/>
      <c r="AXV354" s="514"/>
      <c r="AXW354" s="519"/>
      <c r="AXX354" s="514"/>
      <c r="AXY354" s="519"/>
      <c r="AXZ354" s="514"/>
      <c r="AYA354" s="519"/>
      <c r="AYB354" s="514"/>
      <c r="AYC354" s="519"/>
      <c r="AYD354" s="514"/>
      <c r="AYE354" s="519"/>
      <c r="AYF354" s="514"/>
      <c r="AYG354" s="519"/>
      <c r="AYH354" s="514"/>
      <c r="AYI354" s="519"/>
      <c r="AYJ354" s="514"/>
      <c r="AYK354" s="519"/>
      <c r="AYL354" s="514"/>
      <c r="AYM354" s="519"/>
      <c r="AYN354" s="514"/>
      <c r="AYO354" s="519"/>
      <c r="AYP354" s="514"/>
      <c r="AYQ354" s="519"/>
      <c r="AYR354" s="514"/>
      <c r="AYS354" s="519"/>
      <c r="AYT354" s="514"/>
      <c r="AYU354" s="519"/>
      <c r="AYV354" s="514"/>
      <c r="AYW354" s="519"/>
      <c r="AYX354" s="514"/>
      <c r="AYY354" s="519"/>
      <c r="AYZ354" s="514"/>
      <c r="AZA354" s="519"/>
      <c r="AZB354" s="514"/>
      <c r="AZC354" s="519"/>
      <c r="AZD354" s="514"/>
      <c r="AZE354" s="519"/>
      <c r="AZF354" s="514"/>
      <c r="AZG354" s="519"/>
      <c r="AZH354" s="514"/>
      <c r="AZI354" s="519"/>
      <c r="AZJ354" s="514"/>
      <c r="AZK354" s="519"/>
      <c r="AZL354" s="514"/>
      <c r="AZM354" s="519"/>
      <c r="AZN354" s="514"/>
      <c r="AZO354" s="519"/>
      <c r="AZP354" s="514"/>
      <c r="AZQ354" s="519"/>
      <c r="AZR354" s="514"/>
      <c r="AZS354" s="519"/>
      <c r="AZT354" s="514"/>
      <c r="AZU354" s="519"/>
      <c r="AZV354" s="514"/>
      <c r="AZW354" s="519"/>
      <c r="AZX354" s="514"/>
      <c r="AZY354" s="519"/>
      <c r="AZZ354" s="514"/>
      <c r="BAA354" s="519"/>
      <c r="BAB354" s="514"/>
      <c r="BAC354" s="519"/>
      <c r="BAD354" s="514"/>
      <c r="BAE354" s="519"/>
      <c r="BAF354" s="514"/>
      <c r="BAG354" s="519"/>
      <c r="BAH354" s="514"/>
      <c r="BAI354" s="519"/>
      <c r="BAJ354" s="514"/>
      <c r="BAK354" s="519"/>
      <c r="BAL354" s="514"/>
      <c r="BAM354" s="519"/>
      <c r="BAN354" s="514"/>
      <c r="BAO354" s="519"/>
      <c r="BAP354" s="514"/>
      <c r="BAQ354" s="519"/>
      <c r="BAR354" s="514"/>
      <c r="BAS354" s="519"/>
      <c r="BAT354" s="514"/>
      <c r="BAU354" s="519"/>
      <c r="BAV354" s="514"/>
      <c r="BAW354" s="519"/>
      <c r="BAX354" s="514"/>
      <c r="BAY354" s="519"/>
      <c r="BAZ354" s="514"/>
      <c r="BBA354" s="519"/>
      <c r="BBB354" s="514"/>
      <c r="BBC354" s="519"/>
      <c r="BBD354" s="514"/>
      <c r="BBE354" s="519"/>
      <c r="BBF354" s="514"/>
      <c r="BBG354" s="519"/>
      <c r="BBH354" s="514"/>
      <c r="BBI354" s="519"/>
      <c r="BBJ354" s="514"/>
      <c r="BBK354" s="519"/>
      <c r="BBL354" s="514"/>
      <c r="BBM354" s="519"/>
      <c r="BBN354" s="514"/>
      <c r="BBO354" s="519"/>
      <c r="BBP354" s="514"/>
      <c r="BBQ354" s="519"/>
      <c r="BBR354" s="514"/>
      <c r="BBS354" s="519"/>
      <c r="BBT354" s="514"/>
      <c r="BBU354" s="519"/>
      <c r="BBV354" s="514"/>
      <c r="BBW354" s="519"/>
      <c r="BBX354" s="514"/>
      <c r="BBY354" s="519"/>
      <c r="BBZ354" s="514"/>
      <c r="BCA354" s="519"/>
      <c r="BCB354" s="514"/>
      <c r="BCC354" s="519"/>
      <c r="BCD354" s="514"/>
      <c r="BCE354" s="519"/>
      <c r="BCF354" s="514"/>
      <c r="BCG354" s="519"/>
      <c r="BCH354" s="514"/>
      <c r="BCI354" s="519"/>
      <c r="BCJ354" s="514"/>
      <c r="BCK354" s="519"/>
      <c r="BCL354" s="514"/>
      <c r="BCM354" s="519"/>
      <c r="BCN354" s="514"/>
      <c r="BCO354" s="519"/>
      <c r="BCP354" s="514"/>
      <c r="BCQ354" s="519"/>
      <c r="BCR354" s="514"/>
      <c r="BCS354" s="519"/>
      <c r="BCT354" s="514"/>
      <c r="BCU354" s="519"/>
      <c r="BCV354" s="514"/>
      <c r="BCW354" s="519"/>
      <c r="BCX354" s="514"/>
      <c r="BCY354" s="519"/>
      <c r="BCZ354" s="514"/>
      <c r="BDA354" s="519"/>
      <c r="BDB354" s="514"/>
      <c r="BDC354" s="519"/>
      <c r="BDD354" s="514"/>
      <c r="BDE354" s="519"/>
      <c r="BDF354" s="514"/>
      <c r="BDG354" s="519"/>
      <c r="BDH354" s="514"/>
      <c r="BDI354" s="519"/>
      <c r="BDJ354" s="514"/>
      <c r="BDK354" s="519"/>
      <c r="BDL354" s="514"/>
      <c r="BDM354" s="519"/>
      <c r="BDN354" s="514"/>
      <c r="BDO354" s="519"/>
      <c r="BDP354" s="514"/>
      <c r="BDQ354" s="519"/>
      <c r="BDR354" s="514"/>
      <c r="BDS354" s="519"/>
      <c r="BDT354" s="514"/>
      <c r="BDU354" s="519"/>
      <c r="BDV354" s="514"/>
      <c r="BDW354" s="519"/>
      <c r="BDX354" s="514"/>
      <c r="BDY354" s="519"/>
      <c r="BDZ354" s="514"/>
      <c r="BEA354" s="519"/>
      <c r="BEB354" s="514"/>
      <c r="BEC354" s="519"/>
      <c r="BED354" s="514"/>
      <c r="BEE354" s="519"/>
      <c r="BEF354" s="514"/>
      <c r="BEG354" s="519"/>
      <c r="BEH354" s="514"/>
      <c r="BEI354" s="519"/>
      <c r="BEJ354" s="514"/>
      <c r="BEK354" s="519"/>
      <c r="BEL354" s="514"/>
      <c r="BEM354" s="519"/>
      <c r="BEN354" s="514"/>
      <c r="BEO354" s="519"/>
      <c r="BEP354" s="514"/>
      <c r="BEQ354" s="519"/>
      <c r="BER354" s="514"/>
      <c r="BES354" s="519"/>
      <c r="BET354" s="514"/>
      <c r="BEU354" s="519"/>
      <c r="BEV354" s="514"/>
      <c r="BEW354" s="519"/>
      <c r="BEX354" s="514"/>
      <c r="BEY354" s="519"/>
      <c r="BEZ354" s="514"/>
      <c r="BFA354" s="519"/>
      <c r="BFB354" s="514"/>
      <c r="BFC354" s="519"/>
      <c r="BFD354" s="514"/>
      <c r="BFE354" s="519"/>
      <c r="BFF354" s="514"/>
      <c r="BFG354" s="519"/>
      <c r="BFH354" s="514"/>
      <c r="BFI354" s="519"/>
      <c r="BFJ354" s="514"/>
      <c r="BFK354" s="519"/>
      <c r="BFL354" s="514"/>
      <c r="BFM354" s="519"/>
      <c r="BFN354" s="514"/>
      <c r="BFO354" s="519"/>
      <c r="BFP354" s="514"/>
      <c r="BFQ354" s="519"/>
      <c r="BFR354" s="514"/>
      <c r="BFS354" s="519"/>
      <c r="BFT354" s="514"/>
      <c r="BFU354" s="519"/>
      <c r="BFV354" s="514"/>
      <c r="BFW354" s="519"/>
      <c r="BFX354" s="514"/>
      <c r="BFY354" s="519"/>
      <c r="BFZ354" s="514"/>
      <c r="BGA354" s="519"/>
      <c r="BGB354" s="514"/>
      <c r="BGC354" s="519"/>
      <c r="BGD354" s="514"/>
      <c r="BGE354" s="519"/>
      <c r="BGF354" s="514"/>
      <c r="BGG354" s="519"/>
      <c r="BGH354" s="514"/>
      <c r="BGI354" s="519"/>
      <c r="BGJ354" s="514"/>
      <c r="BGK354" s="519"/>
      <c r="BGL354" s="514"/>
      <c r="BGM354" s="519"/>
      <c r="BGN354" s="514"/>
      <c r="BGO354" s="519"/>
      <c r="BGP354" s="514"/>
      <c r="BGQ354" s="519"/>
      <c r="BGR354" s="514"/>
      <c r="BGS354" s="519"/>
      <c r="BGT354" s="514"/>
      <c r="BGU354" s="519"/>
      <c r="BGV354" s="514"/>
      <c r="BGW354" s="519"/>
      <c r="BGX354" s="514"/>
      <c r="BGY354" s="519"/>
      <c r="BGZ354" s="514"/>
      <c r="BHA354" s="519"/>
      <c r="BHB354" s="514"/>
      <c r="BHC354" s="519"/>
      <c r="BHD354" s="514"/>
      <c r="BHE354" s="519"/>
      <c r="BHF354" s="514"/>
      <c r="BHG354" s="519"/>
      <c r="BHH354" s="514"/>
      <c r="BHI354" s="519"/>
      <c r="BHJ354" s="514"/>
      <c r="BHK354" s="519"/>
      <c r="BHL354" s="514"/>
      <c r="BHM354" s="519"/>
      <c r="BHN354" s="514"/>
      <c r="BHO354" s="519"/>
      <c r="BHP354" s="514"/>
      <c r="BHQ354" s="519"/>
      <c r="BHR354" s="514"/>
      <c r="BHS354" s="519"/>
      <c r="BHT354" s="514"/>
      <c r="BHU354" s="519"/>
      <c r="BHV354" s="514"/>
      <c r="BHW354" s="519"/>
      <c r="BHX354" s="514"/>
      <c r="BHY354" s="519"/>
      <c r="BHZ354" s="514"/>
      <c r="BIA354" s="519"/>
      <c r="BIB354" s="514"/>
      <c r="BIC354" s="519"/>
      <c r="BID354" s="514"/>
      <c r="BIE354" s="519"/>
      <c r="BIF354" s="514"/>
      <c r="BIG354" s="519"/>
      <c r="BIH354" s="514"/>
      <c r="BII354" s="519"/>
      <c r="BIJ354" s="514"/>
      <c r="BIK354" s="519"/>
      <c r="BIL354" s="514"/>
      <c r="BIM354" s="519"/>
      <c r="BIN354" s="514"/>
      <c r="BIO354" s="519"/>
      <c r="BIP354" s="514"/>
      <c r="BIQ354" s="519"/>
      <c r="BIR354" s="514"/>
      <c r="BIS354" s="519"/>
      <c r="BIT354" s="514"/>
      <c r="BIU354" s="519"/>
      <c r="BIV354" s="514"/>
      <c r="BIW354" s="519"/>
      <c r="BIX354" s="514"/>
      <c r="BIY354" s="519"/>
      <c r="BIZ354" s="514"/>
      <c r="BJA354" s="519"/>
      <c r="BJB354" s="514"/>
      <c r="BJC354" s="519"/>
      <c r="BJD354" s="514"/>
      <c r="BJE354" s="519"/>
      <c r="BJF354" s="514"/>
      <c r="BJG354" s="519"/>
      <c r="BJH354" s="514"/>
      <c r="BJI354" s="519"/>
      <c r="BJJ354" s="514"/>
      <c r="BJK354" s="519"/>
      <c r="BJL354" s="514"/>
      <c r="BJM354" s="519"/>
      <c r="BJN354" s="514"/>
      <c r="BJO354" s="519"/>
      <c r="BJP354" s="514"/>
      <c r="BJQ354" s="519"/>
      <c r="BJR354" s="514"/>
      <c r="BJS354" s="519"/>
      <c r="BJT354" s="514"/>
      <c r="BJU354" s="519"/>
      <c r="BJV354" s="514"/>
      <c r="BJW354" s="519"/>
      <c r="BJX354" s="514"/>
      <c r="BJY354" s="519"/>
      <c r="BJZ354" s="514"/>
      <c r="BKA354" s="519"/>
      <c r="BKB354" s="514"/>
      <c r="BKC354" s="519"/>
      <c r="BKD354" s="514"/>
      <c r="BKE354" s="519"/>
      <c r="BKF354" s="514"/>
      <c r="BKG354" s="519"/>
      <c r="BKH354" s="514"/>
      <c r="BKI354" s="519"/>
      <c r="BKJ354" s="514"/>
      <c r="BKK354" s="519"/>
      <c r="BKL354" s="514"/>
      <c r="BKM354" s="519"/>
      <c r="BKN354" s="514"/>
      <c r="BKO354" s="519"/>
      <c r="BKP354" s="514"/>
      <c r="BKQ354" s="519"/>
      <c r="BKR354" s="514"/>
      <c r="BKS354" s="519"/>
      <c r="BKT354" s="514"/>
      <c r="BKU354" s="519"/>
      <c r="BKV354" s="514"/>
      <c r="BKW354" s="519"/>
      <c r="BKX354" s="514"/>
      <c r="BKY354" s="519"/>
      <c r="BKZ354" s="514"/>
      <c r="BLA354" s="519"/>
      <c r="BLB354" s="514"/>
      <c r="BLC354" s="519"/>
      <c r="BLD354" s="514"/>
      <c r="BLE354" s="519"/>
      <c r="BLF354" s="514"/>
      <c r="BLG354" s="519"/>
      <c r="BLH354" s="514"/>
      <c r="BLI354" s="519"/>
      <c r="BLJ354" s="514"/>
      <c r="BLK354" s="519"/>
      <c r="BLL354" s="514"/>
      <c r="BLM354" s="519"/>
      <c r="BLN354" s="514"/>
      <c r="BLO354" s="519"/>
      <c r="BLP354" s="514"/>
      <c r="BLQ354" s="519"/>
      <c r="BLR354" s="514"/>
      <c r="BLS354" s="519"/>
      <c r="BLT354" s="514"/>
      <c r="BLU354" s="519"/>
      <c r="BLV354" s="514"/>
      <c r="BLW354" s="519"/>
      <c r="BLX354" s="514"/>
      <c r="BLY354" s="519"/>
      <c r="BLZ354" s="514"/>
      <c r="BMA354" s="519"/>
      <c r="BMB354" s="514"/>
      <c r="BMC354" s="519"/>
      <c r="BMD354" s="514"/>
      <c r="BME354" s="519"/>
      <c r="BMF354" s="514"/>
      <c r="BMG354" s="519"/>
      <c r="BMH354" s="514"/>
      <c r="BMI354" s="519"/>
      <c r="BMJ354" s="514"/>
      <c r="BMK354" s="519"/>
      <c r="BML354" s="514"/>
      <c r="BMM354" s="519"/>
      <c r="BMN354" s="514"/>
      <c r="BMO354" s="519"/>
      <c r="BMP354" s="514"/>
      <c r="BMQ354" s="519"/>
      <c r="BMR354" s="514"/>
      <c r="BMS354" s="519"/>
      <c r="BMT354" s="514"/>
      <c r="BMU354" s="519"/>
      <c r="BMV354" s="514"/>
      <c r="BMW354" s="519"/>
      <c r="BMX354" s="514"/>
      <c r="BMY354" s="519"/>
      <c r="BMZ354" s="514"/>
      <c r="BNA354" s="519"/>
      <c r="BNB354" s="514"/>
      <c r="BNC354" s="519"/>
      <c r="BND354" s="514"/>
      <c r="BNE354" s="519"/>
      <c r="BNF354" s="514"/>
      <c r="BNG354" s="519"/>
      <c r="BNH354" s="514"/>
      <c r="BNI354" s="519"/>
      <c r="BNJ354" s="514"/>
      <c r="BNK354" s="519"/>
      <c r="BNL354" s="514"/>
      <c r="BNM354" s="519"/>
      <c r="BNN354" s="514"/>
      <c r="BNO354" s="519"/>
      <c r="BNP354" s="514"/>
      <c r="BNQ354" s="519"/>
      <c r="BNR354" s="514"/>
      <c r="BNS354" s="519"/>
      <c r="BNT354" s="514"/>
      <c r="BNU354" s="519"/>
      <c r="BNV354" s="514"/>
      <c r="BNW354" s="519"/>
      <c r="BNX354" s="514"/>
      <c r="BNY354" s="519"/>
      <c r="BNZ354" s="514"/>
      <c r="BOA354" s="519"/>
      <c r="BOB354" s="514"/>
      <c r="BOC354" s="519"/>
      <c r="BOD354" s="514"/>
      <c r="BOE354" s="519"/>
      <c r="BOF354" s="514"/>
      <c r="BOG354" s="519"/>
      <c r="BOH354" s="514"/>
      <c r="BOI354" s="519"/>
      <c r="BOJ354" s="514"/>
      <c r="BOK354" s="519"/>
      <c r="BOL354" s="514"/>
      <c r="BOM354" s="519"/>
      <c r="BON354" s="514"/>
      <c r="BOO354" s="519"/>
      <c r="BOP354" s="514"/>
      <c r="BOQ354" s="519"/>
      <c r="BOR354" s="514"/>
      <c r="BOS354" s="519"/>
      <c r="BOT354" s="514"/>
      <c r="BOU354" s="519"/>
      <c r="BOV354" s="514"/>
      <c r="BOW354" s="519"/>
      <c r="BOX354" s="514"/>
      <c r="BOY354" s="519"/>
      <c r="BOZ354" s="514"/>
      <c r="BPA354" s="519"/>
      <c r="BPB354" s="514"/>
      <c r="BPC354" s="519"/>
      <c r="BPD354" s="514"/>
      <c r="BPE354" s="519"/>
      <c r="BPF354" s="514"/>
      <c r="BPG354" s="519"/>
      <c r="BPH354" s="514"/>
      <c r="BPI354" s="519"/>
      <c r="BPJ354" s="514"/>
      <c r="BPK354" s="519"/>
      <c r="BPL354" s="514"/>
      <c r="BPM354" s="519"/>
      <c r="BPN354" s="514"/>
      <c r="BPO354" s="519"/>
      <c r="BPP354" s="514"/>
      <c r="BPQ354" s="519"/>
      <c r="BPR354" s="514"/>
      <c r="BPS354" s="519"/>
      <c r="BPT354" s="514"/>
      <c r="BPU354" s="519"/>
      <c r="BPV354" s="514"/>
      <c r="BPW354" s="519"/>
      <c r="BPX354" s="514"/>
      <c r="BPY354" s="519"/>
      <c r="BPZ354" s="514"/>
      <c r="BQA354" s="519"/>
      <c r="BQB354" s="514"/>
      <c r="BQC354" s="519"/>
      <c r="BQD354" s="514"/>
      <c r="BQE354" s="519"/>
      <c r="BQF354" s="514"/>
      <c r="BQG354" s="519"/>
      <c r="BQH354" s="514"/>
      <c r="BQI354" s="519"/>
      <c r="BQJ354" s="514"/>
      <c r="BQK354" s="519"/>
      <c r="BQL354" s="514"/>
      <c r="BQM354" s="519"/>
      <c r="BQN354" s="514"/>
      <c r="BQO354" s="519"/>
      <c r="BQP354" s="514"/>
      <c r="BQQ354" s="519"/>
      <c r="BQR354" s="514"/>
      <c r="BQS354" s="519"/>
      <c r="BQT354" s="514"/>
      <c r="BQU354" s="519"/>
      <c r="BQV354" s="514"/>
      <c r="BQW354" s="519"/>
      <c r="BQX354" s="514"/>
      <c r="BQY354" s="519"/>
      <c r="BQZ354" s="514"/>
      <c r="BRA354" s="519"/>
      <c r="BRB354" s="514"/>
      <c r="BRC354" s="519"/>
      <c r="BRD354" s="514"/>
      <c r="BRE354" s="519"/>
      <c r="BRF354" s="514"/>
      <c r="BRG354" s="519"/>
      <c r="BRH354" s="514"/>
      <c r="BRI354" s="519"/>
      <c r="BRJ354" s="514"/>
      <c r="BRK354" s="519"/>
      <c r="BRL354" s="514"/>
      <c r="BRM354" s="519"/>
      <c r="BRN354" s="514"/>
      <c r="BRO354" s="519"/>
      <c r="BRP354" s="514"/>
      <c r="BRQ354" s="519"/>
      <c r="BRR354" s="514"/>
      <c r="BRS354" s="519"/>
      <c r="BRT354" s="514"/>
      <c r="BRU354" s="519"/>
      <c r="BRV354" s="514"/>
      <c r="BRW354" s="519"/>
      <c r="BRX354" s="514"/>
      <c r="BRY354" s="519"/>
      <c r="BRZ354" s="514"/>
      <c r="BSA354" s="519"/>
      <c r="BSB354" s="514"/>
      <c r="BSC354" s="519"/>
      <c r="BSD354" s="514"/>
      <c r="BSE354" s="519"/>
      <c r="BSF354" s="514"/>
      <c r="BSG354" s="519"/>
      <c r="BSH354" s="514"/>
      <c r="BSI354" s="519"/>
      <c r="BSJ354" s="514"/>
      <c r="BSK354" s="519"/>
      <c r="BSL354" s="514"/>
      <c r="BSM354" s="519"/>
      <c r="BSN354" s="514"/>
      <c r="BSO354" s="519"/>
      <c r="BSP354" s="514"/>
      <c r="BSQ354" s="519"/>
      <c r="BSR354" s="514"/>
      <c r="BSS354" s="519"/>
      <c r="BST354" s="514"/>
      <c r="BSU354" s="519"/>
      <c r="BSV354" s="514"/>
      <c r="BSW354" s="519"/>
      <c r="BSX354" s="514"/>
      <c r="BSY354" s="519"/>
      <c r="BSZ354" s="514"/>
      <c r="BTA354" s="519"/>
      <c r="BTB354" s="514"/>
      <c r="BTC354" s="519"/>
      <c r="BTD354" s="514"/>
      <c r="BTE354" s="519"/>
      <c r="BTF354" s="514"/>
      <c r="BTG354" s="519"/>
      <c r="BTH354" s="514"/>
      <c r="BTI354" s="519"/>
      <c r="BTJ354" s="514"/>
      <c r="BTK354" s="519"/>
      <c r="BTL354" s="514"/>
      <c r="BTM354" s="519"/>
      <c r="BTN354" s="514"/>
      <c r="BTO354" s="519"/>
      <c r="BTP354" s="514"/>
      <c r="BTQ354" s="519"/>
      <c r="BTR354" s="514"/>
      <c r="BTS354" s="519"/>
      <c r="BTT354" s="514"/>
      <c r="BTU354" s="519"/>
      <c r="BTV354" s="514"/>
      <c r="BTW354" s="519"/>
      <c r="BTX354" s="514"/>
      <c r="BTY354" s="519"/>
      <c r="BTZ354" s="514"/>
      <c r="BUA354" s="519"/>
      <c r="BUB354" s="514"/>
      <c r="BUC354" s="519"/>
      <c r="BUD354" s="514"/>
      <c r="BUE354" s="519"/>
      <c r="BUF354" s="514"/>
      <c r="BUG354" s="519"/>
      <c r="BUH354" s="514"/>
      <c r="BUI354" s="519"/>
      <c r="BUJ354" s="514"/>
      <c r="BUK354" s="519"/>
      <c r="BUL354" s="514"/>
      <c r="BUM354" s="519"/>
      <c r="BUN354" s="514"/>
      <c r="BUO354" s="519"/>
      <c r="BUP354" s="514"/>
      <c r="BUQ354" s="519"/>
      <c r="BUR354" s="514"/>
      <c r="BUS354" s="519"/>
      <c r="BUT354" s="514"/>
      <c r="BUU354" s="519"/>
      <c r="BUV354" s="514"/>
      <c r="BUW354" s="519"/>
      <c r="BUX354" s="514"/>
      <c r="BUY354" s="519"/>
      <c r="BUZ354" s="514"/>
      <c r="BVA354" s="519"/>
      <c r="BVB354" s="514"/>
      <c r="BVC354" s="519"/>
      <c r="BVD354" s="514"/>
      <c r="BVE354" s="519"/>
      <c r="BVF354" s="514"/>
      <c r="BVG354" s="519"/>
      <c r="BVH354" s="514"/>
      <c r="BVI354" s="519"/>
      <c r="BVJ354" s="514"/>
      <c r="BVK354" s="519"/>
      <c r="BVL354" s="514"/>
      <c r="BVM354" s="519"/>
      <c r="BVN354" s="514"/>
      <c r="BVO354" s="519"/>
      <c r="BVP354" s="514"/>
      <c r="BVQ354" s="519"/>
      <c r="BVR354" s="514"/>
      <c r="BVS354" s="519"/>
      <c r="BVT354" s="514"/>
      <c r="BVU354" s="519"/>
      <c r="BVV354" s="514"/>
      <c r="BVW354" s="519"/>
      <c r="BVX354" s="514"/>
      <c r="BVY354" s="519"/>
      <c r="BVZ354" s="514"/>
      <c r="BWA354" s="519"/>
      <c r="BWB354" s="514"/>
      <c r="BWC354" s="519"/>
      <c r="BWD354" s="514"/>
      <c r="BWE354" s="519"/>
      <c r="BWF354" s="514"/>
      <c r="BWG354" s="519"/>
      <c r="BWH354" s="514"/>
      <c r="BWI354" s="519"/>
      <c r="BWJ354" s="514"/>
      <c r="BWK354" s="519"/>
      <c r="BWL354" s="514"/>
      <c r="BWM354" s="519"/>
      <c r="BWN354" s="514"/>
      <c r="BWO354" s="519"/>
      <c r="BWP354" s="514"/>
      <c r="BWQ354" s="519"/>
      <c r="BWR354" s="514"/>
      <c r="BWS354" s="519"/>
      <c r="BWT354" s="514"/>
      <c r="BWU354" s="519"/>
      <c r="BWV354" s="514"/>
      <c r="BWW354" s="519"/>
      <c r="BWX354" s="514"/>
      <c r="BWY354" s="519"/>
      <c r="BWZ354" s="514"/>
      <c r="BXA354" s="519"/>
      <c r="BXB354" s="514"/>
      <c r="BXC354" s="519"/>
      <c r="BXD354" s="514"/>
      <c r="BXE354" s="519"/>
      <c r="BXF354" s="514"/>
      <c r="BXG354" s="519"/>
      <c r="BXH354" s="514"/>
      <c r="BXI354" s="519"/>
      <c r="BXJ354" s="514"/>
      <c r="BXK354" s="519"/>
      <c r="BXL354" s="514"/>
      <c r="BXM354" s="519"/>
      <c r="BXN354" s="514"/>
      <c r="BXO354" s="519"/>
      <c r="BXP354" s="514"/>
      <c r="BXQ354" s="519"/>
      <c r="BXR354" s="514"/>
      <c r="BXS354" s="519"/>
      <c r="BXT354" s="514"/>
      <c r="BXU354" s="519"/>
      <c r="BXV354" s="514"/>
      <c r="BXW354" s="519"/>
      <c r="BXX354" s="514"/>
      <c r="BXY354" s="519"/>
      <c r="BXZ354" s="514"/>
      <c r="BYA354" s="519"/>
      <c r="BYB354" s="514"/>
      <c r="BYC354" s="519"/>
      <c r="BYD354" s="514"/>
      <c r="BYE354" s="519"/>
      <c r="BYF354" s="514"/>
      <c r="BYG354" s="519"/>
      <c r="BYH354" s="514"/>
      <c r="BYI354" s="519"/>
      <c r="BYJ354" s="514"/>
      <c r="BYK354" s="519"/>
      <c r="BYL354" s="514"/>
      <c r="BYM354" s="519"/>
      <c r="BYN354" s="514"/>
      <c r="BYO354" s="519"/>
      <c r="BYP354" s="514"/>
      <c r="BYQ354" s="519"/>
      <c r="BYR354" s="514"/>
      <c r="BYS354" s="519"/>
      <c r="BYT354" s="514"/>
      <c r="BYU354" s="519"/>
      <c r="BYV354" s="514"/>
      <c r="BYW354" s="519"/>
      <c r="BYX354" s="514"/>
      <c r="BYY354" s="519"/>
      <c r="BYZ354" s="514"/>
      <c r="BZA354" s="519"/>
      <c r="BZB354" s="514"/>
      <c r="BZC354" s="519"/>
      <c r="BZD354" s="514"/>
      <c r="BZE354" s="519"/>
      <c r="BZF354" s="514"/>
      <c r="BZG354" s="519"/>
      <c r="BZH354" s="514"/>
      <c r="BZI354" s="519"/>
      <c r="BZJ354" s="514"/>
      <c r="BZK354" s="519"/>
      <c r="BZL354" s="514"/>
      <c r="BZM354" s="519"/>
      <c r="BZN354" s="514"/>
      <c r="BZO354" s="519"/>
      <c r="BZP354" s="514"/>
      <c r="BZQ354" s="519"/>
      <c r="BZR354" s="514"/>
      <c r="BZS354" s="519"/>
      <c r="BZT354" s="514"/>
      <c r="BZU354" s="519"/>
      <c r="BZV354" s="514"/>
      <c r="BZW354" s="519"/>
      <c r="BZX354" s="514"/>
      <c r="BZY354" s="519"/>
      <c r="BZZ354" s="514"/>
      <c r="CAA354" s="519"/>
      <c r="CAB354" s="514"/>
      <c r="CAC354" s="519"/>
      <c r="CAD354" s="514"/>
      <c r="CAE354" s="519"/>
      <c r="CAF354" s="514"/>
      <c r="CAG354" s="519"/>
      <c r="CAH354" s="514"/>
      <c r="CAI354" s="519"/>
      <c r="CAJ354" s="514"/>
      <c r="CAK354" s="519"/>
      <c r="CAL354" s="514"/>
      <c r="CAM354" s="519"/>
      <c r="CAN354" s="514"/>
      <c r="CAO354" s="519"/>
      <c r="CAP354" s="514"/>
      <c r="CAQ354" s="519"/>
      <c r="CAR354" s="514"/>
      <c r="CAS354" s="519"/>
      <c r="CAT354" s="514"/>
      <c r="CAU354" s="519"/>
      <c r="CAV354" s="514"/>
      <c r="CAW354" s="519"/>
      <c r="CAX354" s="514"/>
      <c r="CAY354" s="519"/>
      <c r="CAZ354" s="514"/>
      <c r="CBA354" s="519"/>
      <c r="CBB354" s="514"/>
      <c r="CBC354" s="519"/>
      <c r="CBD354" s="514"/>
      <c r="CBE354" s="519"/>
      <c r="CBF354" s="514"/>
      <c r="CBG354" s="519"/>
      <c r="CBH354" s="514"/>
      <c r="CBI354" s="519"/>
      <c r="CBJ354" s="514"/>
      <c r="CBK354" s="519"/>
      <c r="CBL354" s="514"/>
      <c r="CBM354" s="519"/>
      <c r="CBN354" s="514"/>
      <c r="CBO354" s="519"/>
      <c r="CBP354" s="514"/>
      <c r="CBQ354" s="519"/>
      <c r="CBR354" s="514"/>
      <c r="CBS354" s="519"/>
      <c r="CBT354" s="514"/>
      <c r="CBU354" s="519"/>
      <c r="CBV354" s="514"/>
      <c r="CBW354" s="519"/>
      <c r="CBX354" s="514"/>
      <c r="CBY354" s="519"/>
      <c r="CBZ354" s="514"/>
      <c r="CCA354" s="519"/>
      <c r="CCB354" s="514"/>
      <c r="CCC354" s="519"/>
      <c r="CCD354" s="514"/>
      <c r="CCE354" s="519"/>
      <c r="CCF354" s="514"/>
      <c r="CCG354" s="519"/>
      <c r="CCH354" s="514"/>
      <c r="CCI354" s="519"/>
      <c r="CCJ354" s="514"/>
      <c r="CCK354" s="519"/>
      <c r="CCL354" s="514"/>
      <c r="CCM354" s="519"/>
      <c r="CCN354" s="514"/>
      <c r="CCO354" s="519"/>
      <c r="CCP354" s="514"/>
      <c r="CCQ354" s="519"/>
      <c r="CCR354" s="514"/>
      <c r="CCS354" s="519"/>
      <c r="CCT354" s="514"/>
      <c r="CCU354" s="519"/>
      <c r="CCV354" s="514"/>
      <c r="CCW354" s="519"/>
      <c r="CCX354" s="514"/>
      <c r="CCY354" s="519"/>
      <c r="CCZ354" s="514"/>
      <c r="CDA354" s="519"/>
      <c r="CDB354" s="514"/>
      <c r="CDC354" s="519"/>
      <c r="CDD354" s="514"/>
      <c r="CDE354" s="519"/>
      <c r="CDF354" s="514"/>
      <c r="CDG354" s="519"/>
      <c r="CDH354" s="514"/>
      <c r="CDI354" s="519"/>
      <c r="CDJ354" s="514"/>
      <c r="CDK354" s="519"/>
      <c r="CDL354" s="514"/>
      <c r="CDM354" s="519"/>
      <c r="CDN354" s="514"/>
      <c r="CDO354" s="519"/>
      <c r="CDP354" s="514"/>
      <c r="CDQ354" s="519"/>
      <c r="CDR354" s="514"/>
      <c r="CDS354" s="519"/>
      <c r="CDT354" s="514"/>
      <c r="CDU354" s="519"/>
      <c r="CDV354" s="514"/>
      <c r="CDW354" s="519"/>
      <c r="CDX354" s="514"/>
      <c r="CDY354" s="519"/>
      <c r="CDZ354" s="514"/>
      <c r="CEA354" s="519"/>
      <c r="CEB354" s="514"/>
      <c r="CEC354" s="519"/>
      <c r="CED354" s="514"/>
      <c r="CEE354" s="519"/>
      <c r="CEF354" s="514"/>
      <c r="CEG354" s="519"/>
      <c r="CEH354" s="514"/>
      <c r="CEI354" s="519"/>
      <c r="CEJ354" s="514"/>
      <c r="CEK354" s="519"/>
      <c r="CEL354" s="514"/>
      <c r="CEM354" s="519"/>
      <c r="CEN354" s="514"/>
      <c r="CEO354" s="519"/>
      <c r="CEP354" s="514"/>
      <c r="CEQ354" s="519"/>
      <c r="CER354" s="514"/>
      <c r="CES354" s="519"/>
      <c r="CET354" s="514"/>
      <c r="CEU354" s="519"/>
      <c r="CEV354" s="514"/>
      <c r="CEW354" s="519"/>
      <c r="CEX354" s="514"/>
      <c r="CEY354" s="519"/>
      <c r="CEZ354" s="514"/>
      <c r="CFA354" s="519"/>
      <c r="CFB354" s="514"/>
      <c r="CFC354" s="519"/>
      <c r="CFD354" s="514"/>
      <c r="CFE354" s="519"/>
      <c r="CFF354" s="514"/>
      <c r="CFG354" s="519"/>
      <c r="CFH354" s="514"/>
      <c r="CFI354" s="519"/>
      <c r="CFJ354" s="514"/>
      <c r="CFK354" s="519"/>
      <c r="CFL354" s="514"/>
      <c r="CFM354" s="519"/>
      <c r="CFN354" s="514"/>
      <c r="CFO354" s="519"/>
      <c r="CFP354" s="514"/>
      <c r="CFQ354" s="519"/>
      <c r="CFR354" s="514"/>
      <c r="CFS354" s="519"/>
      <c r="CFT354" s="514"/>
      <c r="CFU354" s="519"/>
      <c r="CFV354" s="514"/>
      <c r="CFW354" s="519"/>
      <c r="CFX354" s="514"/>
      <c r="CFY354" s="519"/>
      <c r="CFZ354" s="514"/>
      <c r="CGA354" s="519"/>
      <c r="CGB354" s="514"/>
      <c r="CGC354" s="519"/>
      <c r="CGD354" s="514"/>
      <c r="CGE354" s="519"/>
      <c r="CGF354" s="514"/>
      <c r="CGG354" s="519"/>
      <c r="CGH354" s="514"/>
      <c r="CGI354" s="519"/>
      <c r="CGJ354" s="514"/>
      <c r="CGK354" s="519"/>
      <c r="CGL354" s="514"/>
      <c r="CGM354" s="519"/>
      <c r="CGN354" s="514"/>
      <c r="CGO354" s="519"/>
      <c r="CGP354" s="514"/>
      <c r="CGQ354" s="519"/>
      <c r="CGR354" s="514"/>
      <c r="CGS354" s="519"/>
      <c r="CGT354" s="514"/>
      <c r="CGU354" s="519"/>
      <c r="CGV354" s="514"/>
      <c r="CGW354" s="519"/>
      <c r="CGX354" s="514"/>
      <c r="CGY354" s="519"/>
      <c r="CGZ354" s="514"/>
      <c r="CHA354" s="519"/>
      <c r="CHB354" s="514"/>
      <c r="CHC354" s="519"/>
      <c r="CHD354" s="514"/>
      <c r="CHE354" s="519"/>
      <c r="CHF354" s="514"/>
      <c r="CHG354" s="519"/>
      <c r="CHH354" s="514"/>
      <c r="CHI354" s="519"/>
      <c r="CHJ354" s="514"/>
      <c r="CHK354" s="519"/>
      <c r="CHL354" s="514"/>
      <c r="CHM354" s="519"/>
      <c r="CHN354" s="514"/>
      <c r="CHO354" s="519"/>
      <c r="CHP354" s="514"/>
      <c r="CHQ354" s="519"/>
      <c r="CHR354" s="514"/>
      <c r="CHS354" s="519"/>
      <c r="CHT354" s="514"/>
      <c r="CHU354" s="519"/>
      <c r="CHV354" s="514"/>
      <c r="CHW354" s="519"/>
      <c r="CHX354" s="514"/>
      <c r="CHY354" s="519"/>
      <c r="CHZ354" s="514"/>
      <c r="CIA354" s="519"/>
      <c r="CIB354" s="514"/>
      <c r="CIC354" s="519"/>
      <c r="CID354" s="514"/>
      <c r="CIE354" s="519"/>
      <c r="CIF354" s="514"/>
      <c r="CIG354" s="519"/>
      <c r="CIH354" s="514"/>
      <c r="CII354" s="519"/>
      <c r="CIJ354" s="514"/>
      <c r="CIK354" s="519"/>
      <c r="CIL354" s="514"/>
      <c r="CIM354" s="519"/>
      <c r="CIN354" s="514"/>
      <c r="CIO354" s="519"/>
      <c r="CIP354" s="514"/>
      <c r="CIQ354" s="519"/>
      <c r="CIR354" s="514"/>
      <c r="CIS354" s="519"/>
      <c r="CIT354" s="514"/>
      <c r="CIU354" s="519"/>
      <c r="CIV354" s="514"/>
      <c r="CIW354" s="519"/>
      <c r="CIX354" s="514"/>
      <c r="CIY354" s="519"/>
      <c r="CIZ354" s="514"/>
      <c r="CJA354" s="519"/>
      <c r="CJB354" s="514"/>
      <c r="CJC354" s="519"/>
      <c r="CJD354" s="514"/>
      <c r="CJE354" s="519"/>
      <c r="CJF354" s="514"/>
      <c r="CJG354" s="519"/>
      <c r="CJH354" s="514"/>
      <c r="CJI354" s="519"/>
      <c r="CJJ354" s="514"/>
      <c r="CJK354" s="519"/>
      <c r="CJL354" s="514"/>
      <c r="CJM354" s="519"/>
      <c r="CJN354" s="514"/>
      <c r="CJO354" s="519"/>
      <c r="CJP354" s="514"/>
      <c r="CJQ354" s="519"/>
      <c r="CJR354" s="514"/>
      <c r="CJS354" s="519"/>
      <c r="CJT354" s="514"/>
      <c r="CJU354" s="519"/>
      <c r="CJV354" s="514"/>
      <c r="CJW354" s="519"/>
      <c r="CJX354" s="514"/>
      <c r="CJY354" s="519"/>
      <c r="CJZ354" s="514"/>
      <c r="CKA354" s="519"/>
      <c r="CKB354" s="514"/>
      <c r="CKC354" s="519"/>
      <c r="CKD354" s="514"/>
      <c r="CKE354" s="519"/>
      <c r="CKF354" s="514"/>
      <c r="CKG354" s="519"/>
      <c r="CKH354" s="514"/>
      <c r="CKI354" s="519"/>
      <c r="CKJ354" s="514"/>
      <c r="CKK354" s="519"/>
      <c r="CKL354" s="514"/>
      <c r="CKM354" s="519"/>
      <c r="CKN354" s="514"/>
      <c r="CKO354" s="519"/>
      <c r="CKP354" s="514"/>
      <c r="CKQ354" s="519"/>
      <c r="CKR354" s="514"/>
      <c r="CKS354" s="519"/>
      <c r="CKT354" s="514"/>
      <c r="CKU354" s="519"/>
      <c r="CKV354" s="514"/>
      <c r="CKW354" s="519"/>
      <c r="CKX354" s="514"/>
      <c r="CKY354" s="519"/>
      <c r="CKZ354" s="514"/>
      <c r="CLA354" s="519"/>
      <c r="CLB354" s="514"/>
      <c r="CLC354" s="519"/>
      <c r="CLD354" s="514"/>
      <c r="CLE354" s="519"/>
      <c r="CLF354" s="514"/>
      <c r="CLG354" s="519"/>
      <c r="CLH354" s="514"/>
      <c r="CLI354" s="519"/>
      <c r="CLJ354" s="514"/>
      <c r="CLK354" s="519"/>
      <c r="CLL354" s="514"/>
      <c r="CLM354" s="519"/>
      <c r="CLN354" s="514"/>
      <c r="CLO354" s="519"/>
      <c r="CLP354" s="514"/>
      <c r="CLQ354" s="519"/>
      <c r="CLR354" s="514"/>
      <c r="CLS354" s="519"/>
      <c r="CLT354" s="514"/>
      <c r="CLU354" s="519"/>
      <c r="CLV354" s="514"/>
      <c r="CLW354" s="519"/>
      <c r="CLX354" s="514"/>
      <c r="CLY354" s="519"/>
      <c r="CLZ354" s="514"/>
      <c r="CMA354" s="519"/>
      <c r="CMB354" s="514"/>
      <c r="CMC354" s="519"/>
      <c r="CMD354" s="514"/>
      <c r="CME354" s="519"/>
      <c r="CMF354" s="514"/>
      <c r="CMG354" s="519"/>
      <c r="CMH354" s="514"/>
      <c r="CMI354" s="519"/>
      <c r="CMJ354" s="514"/>
      <c r="CMK354" s="519"/>
      <c r="CML354" s="514"/>
      <c r="CMM354" s="519"/>
      <c r="CMN354" s="514"/>
      <c r="CMO354" s="519"/>
      <c r="CMP354" s="514"/>
      <c r="CMQ354" s="519"/>
      <c r="CMR354" s="514"/>
      <c r="CMS354" s="519"/>
      <c r="CMT354" s="514"/>
      <c r="CMU354" s="519"/>
      <c r="CMV354" s="514"/>
      <c r="CMW354" s="519"/>
      <c r="CMX354" s="514"/>
      <c r="CMY354" s="519"/>
      <c r="CMZ354" s="514"/>
      <c r="CNA354" s="519"/>
      <c r="CNB354" s="514"/>
      <c r="CNC354" s="519"/>
      <c r="CND354" s="514"/>
      <c r="CNE354" s="519"/>
      <c r="CNF354" s="514"/>
      <c r="CNG354" s="519"/>
      <c r="CNH354" s="514"/>
      <c r="CNI354" s="519"/>
      <c r="CNJ354" s="514"/>
      <c r="CNK354" s="519"/>
      <c r="CNL354" s="514"/>
      <c r="CNM354" s="519"/>
      <c r="CNN354" s="514"/>
      <c r="CNO354" s="519"/>
      <c r="CNP354" s="514"/>
      <c r="CNQ354" s="519"/>
      <c r="CNR354" s="514"/>
      <c r="CNS354" s="519"/>
      <c r="CNT354" s="514"/>
      <c r="CNU354" s="519"/>
      <c r="CNV354" s="514"/>
      <c r="CNW354" s="519"/>
      <c r="CNX354" s="514"/>
      <c r="CNY354" s="519"/>
      <c r="CNZ354" s="514"/>
      <c r="COA354" s="519"/>
      <c r="COB354" s="514"/>
      <c r="COC354" s="519"/>
      <c r="COD354" s="514"/>
      <c r="COE354" s="519"/>
      <c r="COF354" s="514"/>
      <c r="COG354" s="519"/>
      <c r="COH354" s="514"/>
      <c r="COI354" s="519"/>
      <c r="COJ354" s="514"/>
      <c r="COK354" s="519"/>
      <c r="COL354" s="514"/>
      <c r="COM354" s="519"/>
      <c r="CON354" s="514"/>
      <c r="COO354" s="519"/>
      <c r="COP354" s="514"/>
      <c r="COQ354" s="519"/>
      <c r="COR354" s="514"/>
      <c r="COS354" s="519"/>
      <c r="COT354" s="514"/>
      <c r="COU354" s="519"/>
      <c r="COV354" s="514"/>
      <c r="COW354" s="519"/>
      <c r="COX354" s="514"/>
      <c r="COY354" s="519"/>
      <c r="COZ354" s="514"/>
      <c r="CPA354" s="519"/>
      <c r="CPB354" s="514"/>
      <c r="CPC354" s="519"/>
      <c r="CPD354" s="514"/>
      <c r="CPE354" s="519"/>
      <c r="CPF354" s="514"/>
      <c r="CPG354" s="519"/>
      <c r="CPH354" s="514"/>
      <c r="CPI354" s="519"/>
      <c r="CPJ354" s="514"/>
      <c r="CPK354" s="519"/>
      <c r="CPL354" s="514"/>
      <c r="CPM354" s="519"/>
      <c r="CPN354" s="514"/>
      <c r="CPO354" s="519"/>
      <c r="CPP354" s="514"/>
      <c r="CPQ354" s="519"/>
      <c r="CPR354" s="514"/>
      <c r="CPS354" s="519"/>
      <c r="CPT354" s="514"/>
      <c r="CPU354" s="519"/>
      <c r="CPV354" s="514"/>
      <c r="CPW354" s="519"/>
      <c r="CPX354" s="514"/>
      <c r="CPY354" s="519"/>
      <c r="CPZ354" s="514"/>
      <c r="CQA354" s="519"/>
      <c r="CQB354" s="514"/>
      <c r="CQC354" s="519"/>
      <c r="CQD354" s="514"/>
      <c r="CQE354" s="519"/>
      <c r="CQF354" s="514"/>
      <c r="CQG354" s="519"/>
      <c r="CQH354" s="514"/>
      <c r="CQI354" s="519"/>
      <c r="CQJ354" s="514"/>
      <c r="CQK354" s="519"/>
      <c r="CQL354" s="514"/>
      <c r="CQM354" s="519"/>
      <c r="CQN354" s="514"/>
      <c r="CQO354" s="519"/>
      <c r="CQP354" s="514"/>
      <c r="CQQ354" s="519"/>
      <c r="CQR354" s="514"/>
      <c r="CQS354" s="519"/>
      <c r="CQT354" s="514"/>
      <c r="CQU354" s="519"/>
      <c r="CQV354" s="514"/>
      <c r="CQW354" s="519"/>
      <c r="CQX354" s="514"/>
      <c r="CQY354" s="519"/>
      <c r="CQZ354" s="514"/>
      <c r="CRA354" s="519"/>
      <c r="CRB354" s="514"/>
      <c r="CRC354" s="519"/>
      <c r="CRD354" s="514"/>
      <c r="CRE354" s="519"/>
      <c r="CRF354" s="514"/>
      <c r="CRG354" s="519"/>
      <c r="CRH354" s="514"/>
      <c r="CRI354" s="519"/>
      <c r="CRJ354" s="514"/>
      <c r="CRK354" s="519"/>
      <c r="CRL354" s="514"/>
      <c r="CRM354" s="519"/>
      <c r="CRN354" s="514"/>
      <c r="CRO354" s="519"/>
      <c r="CRP354" s="514"/>
      <c r="CRQ354" s="519"/>
      <c r="CRR354" s="514"/>
      <c r="CRS354" s="519"/>
      <c r="CRT354" s="514"/>
      <c r="CRU354" s="519"/>
      <c r="CRV354" s="514"/>
      <c r="CRW354" s="519"/>
      <c r="CRX354" s="514"/>
      <c r="CRY354" s="519"/>
      <c r="CRZ354" s="514"/>
      <c r="CSA354" s="519"/>
      <c r="CSB354" s="514"/>
      <c r="CSC354" s="519"/>
      <c r="CSD354" s="514"/>
      <c r="CSE354" s="519"/>
      <c r="CSF354" s="514"/>
      <c r="CSG354" s="519"/>
      <c r="CSH354" s="514"/>
      <c r="CSI354" s="519"/>
      <c r="CSJ354" s="514"/>
      <c r="CSK354" s="519"/>
      <c r="CSL354" s="514"/>
      <c r="CSM354" s="519"/>
      <c r="CSN354" s="514"/>
      <c r="CSO354" s="519"/>
      <c r="CSP354" s="514"/>
      <c r="CSQ354" s="519"/>
      <c r="CSR354" s="514"/>
      <c r="CSS354" s="519"/>
      <c r="CST354" s="514"/>
      <c r="CSU354" s="519"/>
      <c r="CSV354" s="514"/>
      <c r="CSW354" s="519"/>
      <c r="CSX354" s="514"/>
      <c r="CSY354" s="519"/>
      <c r="CSZ354" s="514"/>
      <c r="CTA354" s="519"/>
      <c r="CTB354" s="514"/>
      <c r="CTC354" s="519"/>
      <c r="CTD354" s="514"/>
      <c r="CTE354" s="519"/>
      <c r="CTF354" s="514"/>
      <c r="CTG354" s="519"/>
      <c r="CTH354" s="514"/>
      <c r="CTI354" s="519"/>
      <c r="CTJ354" s="514"/>
      <c r="CTK354" s="519"/>
      <c r="CTL354" s="514"/>
      <c r="CTM354" s="519"/>
      <c r="CTN354" s="514"/>
      <c r="CTO354" s="519"/>
      <c r="CTP354" s="514"/>
      <c r="CTQ354" s="519"/>
      <c r="CTR354" s="514"/>
      <c r="CTS354" s="519"/>
      <c r="CTT354" s="514"/>
      <c r="CTU354" s="519"/>
      <c r="CTV354" s="514"/>
      <c r="CTW354" s="519"/>
      <c r="CTX354" s="514"/>
      <c r="CTY354" s="519"/>
      <c r="CTZ354" s="514"/>
      <c r="CUA354" s="519"/>
      <c r="CUB354" s="514"/>
      <c r="CUC354" s="519"/>
      <c r="CUD354" s="514"/>
      <c r="CUE354" s="519"/>
      <c r="CUF354" s="514"/>
      <c r="CUG354" s="519"/>
      <c r="CUH354" s="514"/>
      <c r="CUI354" s="519"/>
      <c r="CUJ354" s="514"/>
      <c r="CUK354" s="519"/>
      <c r="CUL354" s="514"/>
      <c r="CUM354" s="519"/>
      <c r="CUN354" s="514"/>
      <c r="CUO354" s="519"/>
      <c r="CUP354" s="514"/>
      <c r="CUQ354" s="519"/>
      <c r="CUR354" s="514"/>
      <c r="CUS354" s="519"/>
      <c r="CUT354" s="514"/>
      <c r="CUU354" s="519"/>
      <c r="CUV354" s="514"/>
      <c r="CUW354" s="519"/>
      <c r="CUX354" s="514"/>
      <c r="CUY354" s="519"/>
      <c r="CUZ354" s="514"/>
      <c r="CVA354" s="519"/>
      <c r="CVB354" s="514"/>
      <c r="CVC354" s="519"/>
      <c r="CVD354" s="514"/>
      <c r="CVE354" s="519"/>
      <c r="CVF354" s="514"/>
      <c r="CVG354" s="519"/>
      <c r="CVH354" s="514"/>
      <c r="CVI354" s="519"/>
      <c r="CVJ354" s="514"/>
      <c r="CVK354" s="519"/>
      <c r="CVL354" s="514"/>
      <c r="CVM354" s="519"/>
      <c r="CVN354" s="514"/>
      <c r="CVO354" s="519"/>
      <c r="CVP354" s="514"/>
      <c r="CVQ354" s="519"/>
      <c r="CVR354" s="514"/>
      <c r="CVS354" s="519"/>
      <c r="CVT354" s="514"/>
      <c r="CVU354" s="519"/>
      <c r="CVV354" s="514"/>
      <c r="CVW354" s="519"/>
      <c r="CVX354" s="514"/>
      <c r="CVY354" s="519"/>
      <c r="CVZ354" s="514"/>
      <c r="CWA354" s="519"/>
      <c r="CWB354" s="514"/>
      <c r="CWC354" s="519"/>
      <c r="CWD354" s="514"/>
      <c r="CWE354" s="519"/>
      <c r="CWF354" s="514"/>
      <c r="CWG354" s="519"/>
      <c r="CWH354" s="514"/>
      <c r="CWI354" s="519"/>
      <c r="CWJ354" s="514"/>
      <c r="CWK354" s="519"/>
      <c r="CWL354" s="514"/>
      <c r="CWM354" s="519"/>
      <c r="CWN354" s="514"/>
      <c r="CWO354" s="519"/>
      <c r="CWP354" s="514"/>
      <c r="CWQ354" s="519"/>
      <c r="CWR354" s="514"/>
      <c r="CWS354" s="519"/>
      <c r="CWT354" s="514"/>
      <c r="CWU354" s="519"/>
      <c r="CWV354" s="514"/>
      <c r="CWW354" s="519"/>
      <c r="CWX354" s="514"/>
      <c r="CWY354" s="519"/>
      <c r="CWZ354" s="514"/>
      <c r="CXA354" s="519"/>
      <c r="CXB354" s="514"/>
      <c r="CXC354" s="519"/>
      <c r="CXD354" s="514"/>
      <c r="CXE354" s="519"/>
      <c r="CXF354" s="514"/>
      <c r="CXG354" s="519"/>
      <c r="CXH354" s="514"/>
      <c r="CXI354" s="519"/>
      <c r="CXJ354" s="514"/>
      <c r="CXK354" s="519"/>
      <c r="CXL354" s="514"/>
      <c r="CXM354" s="519"/>
      <c r="CXN354" s="514"/>
      <c r="CXO354" s="519"/>
      <c r="CXP354" s="514"/>
      <c r="CXQ354" s="519"/>
      <c r="CXR354" s="514"/>
      <c r="CXS354" s="519"/>
      <c r="CXT354" s="514"/>
      <c r="CXU354" s="519"/>
      <c r="CXV354" s="514"/>
      <c r="CXW354" s="519"/>
      <c r="CXX354" s="514"/>
      <c r="CXY354" s="519"/>
      <c r="CXZ354" s="514"/>
      <c r="CYA354" s="519"/>
      <c r="CYB354" s="514"/>
      <c r="CYC354" s="519"/>
      <c r="CYD354" s="514"/>
      <c r="CYE354" s="519"/>
      <c r="CYF354" s="514"/>
      <c r="CYG354" s="519"/>
      <c r="CYH354" s="514"/>
      <c r="CYI354" s="519"/>
      <c r="CYJ354" s="514"/>
      <c r="CYK354" s="519"/>
      <c r="CYL354" s="514"/>
      <c r="CYM354" s="519"/>
      <c r="CYN354" s="514"/>
      <c r="CYO354" s="519"/>
      <c r="CYP354" s="514"/>
      <c r="CYQ354" s="519"/>
      <c r="CYR354" s="514"/>
      <c r="CYS354" s="519"/>
      <c r="CYT354" s="514"/>
      <c r="CYU354" s="519"/>
      <c r="CYV354" s="514"/>
      <c r="CYW354" s="519"/>
      <c r="CYX354" s="514"/>
      <c r="CYY354" s="519"/>
      <c r="CYZ354" s="514"/>
      <c r="CZA354" s="519"/>
      <c r="CZB354" s="514"/>
      <c r="CZC354" s="519"/>
      <c r="CZD354" s="514"/>
      <c r="CZE354" s="519"/>
      <c r="CZF354" s="514"/>
      <c r="CZG354" s="519"/>
      <c r="CZH354" s="514"/>
      <c r="CZI354" s="519"/>
      <c r="CZJ354" s="514"/>
      <c r="CZK354" s="519"/>
      <c r="CZL354" s="514"/>
      <c r="CZM354" s="519"/>
      <c r="CZN354" s="514"/>
      <c r="CZO354" s="519"/>
      <c r="CZP354" s="514"/>
      <c r="CZQ354" s="519"/>
      <c r="CZR354" s="514"/>
      <c r="CZS354" s="519"/>
      <c r="CZT354" s="514"/>
      <c r="CZU354" s="519"/>
      <c r="CZV354" s="514"/>
      <c r="CZW354" s="519"/>
      <c r="CZX354" s="514"/>
      <c r="CZY354" s="519"/>
      <c r="CZZ354" s="514"/>
      <c r="DAA354" s="519"/>
      <c r="DAB354" s="514"/>
      <c r="DAC354" s="519"/>
      <c r="DAD354" s="514"/>
      <c r="DAE354" s="519"/>
      <c r="DAF354" s="514"/>
      <c r="DAG354" s="519"/>
      <c r="DAH354" s="514"/>
      <c r="DAI354" s="519"/>
      <c r="DAJ354" s="514"/>
      <c r="DAK354" s="519"/>
      <c r="DAL354" s="514"/>
      <c r="DAM354" s="519"/>
      <c r="DAN354" s="514"/>
      <c r="DAO354" s="519"/>
      <c r="DAP354" s="514"/>
      <c r="DAQ354" s="519"/>
      <c r="DAR354" s="514"/>
      <c r="DAS354" s="519"/>
      <c r="DAT354" s="514"/>
      <c r="DAU354" s="519"/>
      <c r="DAV354" s="514"/>
      <c r="DAW354" s="519"/>
      <c r="DAX354" s="514"/>
      <c r="DAY354" s="519"/>
      <c r="DAZ354" s="514"/>
      <c r="DBA354" s="519"/>
      <c r="DBB354" s="514"/>
      <c r="DBC354" s="519"/>
      <c r="DBD354" s="514"/>
      <c r="DBE354" s="519"/>
      <c r="DBF354" s="514"/>
      <c r="DBG354" s="519"/>
      <c r="DBH354" s="514"/>
      <c r="DBI354" s="519"/>
      <c r="DBJ354" s="514"/>
      <c r="DBK354" s="519"/>
      <c r="DBL354" s="514"/>
      <c r="DBM354" s="519"/>
      <c r="DBN354" s="514"/>
      <c r="DBO354" s="519"/>
      <c r="DBP354" s="514"/>
      <c r="DBQ354" s="519"/>
      <c r="DBR354" s="514"/>
      <c r="DBS354" s="519"/>
      <c r="DBT354" s="514"/>
      <c r="DBU354" s="519"/>
      <c r="DBV354" s="514"/>
      <c r="DBW354" s="519"/>
      <c r="DBX354" s="514"/>
      <c r="DBY354" s="519"/>
      <c r="DBZ354" s="514"/>
      <c r="DCA354" s="519"/>
      <c r="DCB354" s="514"/>
      <c r="DCC354" s="519"/>
      <c r="DCD354" s="514"/>
      <c r="DCE354" s="519"/>
      <c r="DCF354" s="514"/>
      <c r="DCG354" s="519"/>
      <c r="DCH354" s="514"/>
      <c r="DCI354" s="519"/>
      <c r="DCJ354" s="514"/>
      <c r="DCK354" s="519"/>
      <c r="DCL354" s="514"/>
      <c r="DCM354" s="519"/>
      <c r="DCN354" s="514"/>
      <c r="DCO354" s="519"/>
      <c r="DCP354" s="514"/>
      <c r="DCQ354" s="519"/>
      <c r="DCR354" s="514"/>
      <c r="DCS354" s="519"/>
      <c r="DCT354" s="514"/>
      <c r="DCU354" s="519"/>
      <c r="DCV354" s="514"/>
      <c r="DCW354" s="519"/>
      <c r="DCX354" s="514"/>
      <c r="DCY354" s="519"/>
      <c r="DCZ354" s="514"/>
      <c r="DDA354" s="519"/>
      <c r="DDB354" s="514"/>
      <c r="DDC354" s="519"/>
      <c r="DDD354" s="514"/>
      <c r="DDE354" s="519"/>
      <c r="DDF354" s="514"/>
      <c r="DDG354" s="519"/>
      <c r="DDH354" s="514"/>
      <c r="DDI354" s="519"/>
      <c r="DDJ354" s="514"/>
      <c r="DDK354" s="519"/>
      <c r="DDL354" s="514"/>
      <c r="DDM354" s="519"/>
      <c r="DDN354" s="514"/>
      <c r="DDO354" s="519"/>
      <c r="DDP354" s="514"/>
      <c r="DDQ354" s="519"/>
      <c r="DDR354" s="514"/>
      <c r="DDS354" s="519"/>
      <c r="DDT354" s="514"/>
      <c r="DDU354" s="519"/>
      <c r="DDV354" s="514"/>
      <c r="DDW354" s="519"/>
      <c r="DDX354" s="514"/>
      <c r="DDY354" s="519"/>
      <c r="DDZ354" s="514"/>
      <c r="DEA354" s="519"/>
      <c r="DEB354" s="514"/>
      <c r="DEC354" s="519"/>
      <c r="DED354" s="514"/>
      <c r="DEE354" s="519"/>
      <c r="DEF354" s="514"/>
      <c r="DEG354" s="519"/>
      <c r="DEH354" s="514"/>
      <c r="DEI354" s="519"/>
      <c r="DEJ354" s="514"/>
      <c r="DEK354" s="519"/>
      <c r="DEL354" s="514"/>
      <c r="DEM354" s="519"/>
      <c r="DEN354" s="514"/>
      <c r="DEO354" s="519"/>
      <c r="DEP354" s="514"/>
      <c r="DEQ354" s="519"/>
      <c r="DER354" s="514"/>
      <c r="DES354" s="519"/>
      <c r="DET354" s="514"/>
      <c r="DEU354" s="519"/>
      <c r="DEV354" s="514"/>
      <c r="DEW354" s="519"/>
      <c r="DEX354" s="514"/>
      <c r="DEY354" s="519"/>
      <c r="DEZ354" s="514"/>
      <c r="DFA354" s="519"/>
      <c r="DFB354" s="514"/>
      <c r="DFC354" s="519"/>
      <c r="DFD354" s="514"/>
      <c r="DFE354" s="519"/>
      <c r="DFF354" s="514"/>
      <c r="DFG354" s="519"/>
      <c r="DFH354" s="514"/>
      <c r="DFI354" s="519"/>
      <c r="DFJ354" s="514"/>
      <c r="DFK354" s="519"/>
      <c r="DFL354" s="514"/>
      <c r="DFM354" s="519"/>
      <c r="DFN354" s="514"/>
      <c r="DFO354" s="519"/>
      <c r="DFP354" s="514"/>
      <c r="DFQ354" s="519"/>
      <c r="DFR354" s="514"/>
      <c r="DFS354" s="519"/>
      <c r="DFT354" s="514"/>
      <c r="DFU354" s="519"/>
      <c r="DFV354" s="514"/>
      <c r="DFW354" s="519"/>
      <c r="DFX354" s="514"/>
      <c r="DFY354" s="519"/>
      <c r="DFZ354" s="514"/>
      <c r="DGA354" s="519"/>
      <c r="DGB354" s="514"/>
      <c r="DGC354" s="519"/>
      <c r="DGD354" s="514"/>
      <c r="DGE354" s="519"/>
      <c r="DGF354" s="514"/>
      <c r="DGG354" s="519"/>
      <c r="DGH354" s="514"/>
      <c r="DGI354" s="519"/>
      <c r="DGJ354" s="514"/>
      <c r="DGK354" s="519"/>
      <c r="DGL354" s="514"/>
      <c r="DGM354" s="519"/>
      <c r="DGN354" s="514"/>
      <c r="DGO354" s="519"/>
      <c r="DGP354" s="514"/>
      <c r="DGQ354" s="519"/>
      <c r="DGR354" s="514"/>
      <c r="DGS354" s="519"/>
      <c r="DGT354" s="514"/>
      <c r="DGU354" s="519"/>
      <c r="DGV354" s="514"/>
      <c r="DGW354" s="519"/>
      <c r="DGX354" s="514"/>
      <c r="DGY354" s="519"/>
      <c r="DGZ354" s="514"/>
      <c r="DHA354" s="519"/>
      <c r="DHB354" s="514"/>
      <c r="DHC354" s="519"/>
      <c r="DHD354" s="514"/>
      <c r="DHE354" s="519"/>
      <c r="DHF354" s="514"/>
      <c r="DHG354" s="519"/>
      <c r="DHH354" s="514"/>
      <c r="DHI354" s="519"/>
      <c r="DHJ354" s="514"/>
      <c r="DHK354" s="519"/>
      <c r="DHL354" s="514"/>
      <c r="DHM354" s="519"/>
      <c r="DHN354" s="514"/>
      <c r="DHO354" s="519"/>
      <c r="DHP354" s="514"/>
      <c r="DHQ354" s="519"/>
      <c r="DHR354" s="514"/>
      <c r="DHS354" s="519"/>
      <c r="DHT354" s="514"/>
      <c r="DHU354" s="519"/>
      <c r="DHV354" s="514"/>
      <c r="DHW354" s="519"/>
      <c r="DHX354" s="514"/>
      <c r="DHY354" s="519"/>
      <c r="DHZ354" s="514"/>
      <c r="DIA354" s="519"/>
      <c r="DIB354" s="514"/>
      <c r="DIC354" s="519"/>
      <c r="DID354" s="514"/>
      <c r="DIE354" s="519"/>
      <c r="DIF354" s="514"/>
      <c r="DIG354" s="519"/>
      <c r="DIH354" s="514"/>
      <c r="DII354" s="519"/>
      <c r="DIJ354" s="514"/>
      <c r="DIK354" s="519"/>
      <c r="DIL354" s="514"/>
      <c r="DIM354" s="519"/>
      <c r="DIN354" s="514"/>
      <c r="DIO354" s="519"/>
      <c r="DIP354" s="514"/>
      <c r="DIQ354" s="519"/>
      <c r="DIR354" s="514"/>
      <c r="DIS354" s="519"/>
      <c r="DIT354" s="514"/>
      <c r="DIU354" s="519"/>
      <c r="DIV354" s="514"/>
      <c r="DIW354" s="519"/>
      <c r="DIX354" s="514"/>
      <c r="DIY354" s="519"/>
      <c r="DIZ354" s="514"/>
      <c r="DJA354" s="519"/>
      <c r="DJB354" s="514"/>
      <c r="DJC354" s="519"/>
      <c r="DJD354" s="514"/>
      <c r="DJE354" s="519"/>
      <c r="DJF354" s="514"/>
      <c r="DJG354" s="519"/>
      <c r="DJH354" s="514"/>
      <c r="DJI354" s="519"/>
      <c r="DJJ354" s="514"/>
      <c r="DJK354" s="519"/>
      <c r="DJL354" s="514"/>
      <c r="DJM354" s="519"/>
      <c r="DJN354" s="514"/>
      <c r="DJO354" s="519"/>
      <c r="DJP354" s="514"/>
      <c r="DJQ354" s="519"/>
      <c r="DJR354" s="514"/>
      <c r="DJS354" s="519"/>
      <c r="DJT354" s="514"/>
      <c r="DJU354" s="519"/>
      <c r="DJV354" s="514"/>
      <c r="DJW354" s="519"/>
      <c r="DJX354" s="514"/>
      <c r="DJY354" s="519"/>
      <c r="DJZ354" s="514"/>
      <c r="DKA354" s="519"/>
      <c r="DKB354" s="514"/>
      <c r="DKC354" s="519"/>
      <c r="DKD354" s="514"/>
      <c r="DKE354" s="519"/>
      <c r="DKF354" s="514"/>
      <c r="DKG354" s="519"/>
      <c r="DKH354" s="514"/>
      <c r="DKI354" s="519"/>
      <c r="DKJ354" s="514"/>
      <c r="DKK354" s="519"/>
      <c r="DKL354" s="514"/>
      <c r="DKM354" s="519"/>
      <c r="DKN354" s="514"/>
      <c r="DKO354" s="519"/>
      <c r="DKP354" s="514"/>
      <c r="DKQ354" s="519"/>
      <c r="DKR354" s="514"/>
      <c r="DKS354" s="519"/>
      <c r="DKT354" s="514"/>
      <c r="DKU354" s="519"/>
      <c r="DKV354" s="514"/>
      <c r="DKW354" s="519"/>
      <c r="DKX354" s="514"/>
      <c r="DKY354" s="519"/>
      <c r="DKZ354" s="514"/>
      <c r="DLA354" s="519"/>
      <c r="DLB354" s="514"/>
      <c r="DLC354" s="519"/>
      <c r="DLD354" s="514"/>
      <c r="DLE354" s="519"/>
      <c r="DLF354" s="514"/>
      <c r="DLG354" s="519"/>
      <c r="DLH354" s="514"/>
      <c r="DLI354" s="519"/>
      <c r="DLJ354" s="514"/>
      <c r="DLK354" s="519"/>
      <c r="DLL354" s="514"/>
      <c r="DLM354" s="519"/>
      <c r="DLN354" s="514"/>
      <c r="DLO354" s="519"/>
      <c r="DLP354" s="514"/>
      <c r="DLQ354" s="519"/>
      <c r="DLR354" s="514"/>
      <c r="DLS354" s="519"/>
      <c r="DLT354" s="514"/>
      <c r="DLU354" s="519"/>
      <c r="DLV354" s="514"/>
      <c r="DLW354" s="519"/>
      <c r="DLX354" s="514"/>
      <c r="DLY354" s="519"/>
      <c r="DLZ354" s="514"/>
      <c r="DMA354" s="519"/>
      <c r="DMB354" s="514"/>
      <c r="DMC354" s="519"/>
      <c r="DMD354" s="514"/>
      <c r="DME354" s="519"/>
      <c r="DMF354" s="514"/>
      <c r="DMG354" s="519"/>
      <c r="DMH354" s="514"/>
      <c r="DMI354" s="519"/>
      <c r="DMJ354" s="514"/>
      <c r="DMK354" s="519"/>
      <c r="DML354" s="514"/>
      <c r="DMM354" s="519"/>
      <c r="DMN354" s="514"/>
      <c r="DMO354" s="519"/>
      <c r="DMP354" s="514"/>
      <c r="DMQ354" s="519"/>
      <c r="DMR354" s="514"/>
      <c r="DMS354" s="519"/>
      <c r="DMT354" s="514"/>
      <c r="DMU354" s="519"/>
      <c r="DMV354" s="514"/>
      <c r="DMW354" s="519"/>
      <c r="DMX354" s="514"/>
      <c r="DMY354" s="519"/>
      <c r="DMZ354" s="514"/>
      <c r="DNA354" s="519"/>
      <c r="DNB354" s="514"/>
      <c r="DNC354" s="519"/>
      <c r="DND354" s="514"/>
      <c r="DNE354" s="519"/>
      <c r="DNF354" s="514"/>
      <c r="DNG354" s="519"/>
      <c r="DNH354" s="514"/>
      <c r="DNI354" s="519"/>
      <c r="DNJ354" s="514"/>
      <c r="DNK354" s="519"/>
      <c r="DNL354" s="514"/>
      <c r="DNM354" s="519"/>
      <c r="DNN354" s="514"/>
      <c r="DNO354" s="519"/>
      <c r="DNP354" s="514"/>
      <c r="DNQ354" s="519"/>
      <c r="DNR354" s="514"/>
      <c r="DNS354" s="519"/>
      <c r="DNT354" s="514"/>
      <c r="DNU354" s="519"/>
      <c r="DNV354" s="514"/>
      <c r="DNW354" s="519"/>
      <c r="DNX354" s="514"/>
      <c r="DNY354" s="519"/>
      <c r="DNZ354" s="514"/>
      <c r="DOA354" s="519"/>
      <c r="DOB354" s="514"/>
      <c r="DOC354" s="519"/>
      <c r="DOD354" s="514"/>
      <c r="DOE354" s="519"/>
      <c r="DOF354" s="514"/>
      <c r="DOG354" s="519"/>
      <c r="DOH354" s="514"/>
      <c r="DOI354" s="519"/>
      <c r="DOJ354" s="514"/>
      <c r="DOK354" s="519"/>
      <c r="DOL354" s="514"/>
      <c r="DOM354" s="519"/>
      <c r="DON354" s="514"/>
      <c r="DOO354" s="519"/>
      <c r="DOP354" s="514"/>
      <c r="DOQ354" s="519"/>
      <c r="DOR354" s="514"/>
      <c r="DOS354" s="519"/>
      <c r="DOT354" s="514"/>
      <c r="DOU354" s="519"/>
      <c r="DOV354" s="514"/>
      <c r="DOW354" s="519"/>
      <c r="DOX354" s="514"/>
      <c r="DOY354" s="519"/>
      <c r="DOZ354" s="514"/>
      <c r="DPA354" s="519"/>
      <c r="DPB354" s="514"/>
      <c r="DPC354" s="519"/>
      <c r="DPD354" s="514"/>
      <c r="DPE354" s="519"/>
      <c r="DPF354" s="514"/>
      <c r="DPG354" s="519"/>
      <c r="DPH354" s="514"/>
      <c r="DPI354" s="519"/>
      <c r="DPJ354" s="514"/>
      <c r="DPK354" s="519"/>
      <c r="DPL354" s="514"/>
      <c r="DPM354" s="519"/>
      <c r="DPN354" s="514"/>
      <c r="DPO354" s="519"/>
      <c r="DPP354" s="514"/>
      <c r="DPQ354" s="519"/>
      <c r="DPR354" s="514"/>
      <c r="DPS354" s="519"/>
      <c r="DPT354" s="514"/>
      <c r="DPU354" s="519"/>
      <c r="DPV354" s="514"/>
      <c r="DPW354" s="519"/>
      <c r="DPX354" s="514"/>
      <c r="DPY354" s="519"/>
      <c r="DPZ354" s="514"/>
      <c r="DQA354" s="519"/>
      <c r="DQB354" s="514"/>
      <c r="DQC354" s="519"/>
      <c r="DQD354" s="514"/>
      <c r="DQE354" s="519"/>
      <c r="DQF354" s="514"/>
      <c r="DQG354" s="519"/>
      <c r="DQH354" s="514"/>
      <c r="DQI354" s="519"/>
      <c r="DQJ354" s="514"/>
      <c r="DQK354" s="519"/>
      <c r="DQL354" s="514"/>
      <c r="DQM354" s="519"/>
      <c r="DQN354" s="514"/>
      <c r="DQO354" s="519"/>
      <c r="DQP354" s="514"/>
      <c r="DQQ354" s="519"/>
      <c r="DQR354" s="514"/>
      <c r="DQS354" s="519"/>
      <c r="DQT354" s="514"/>
      <c r="DQU354" s="519"/>
      <c r="DQV354" s="514"/>
      <c r="DQW354" s="519"/>
      <c r="DQX354" s="514"/>
      <c r="DQY354" s="519"/>
      <c r="DQZ354" s="514"/>
      <c r="DRA354" s="519"/>
      <c r="DRB354" s="514"/>
      <c r="DRC354" s="519"/>
      <c r="DRD354" s="514"/>
      <c r="DRE354" s="519"/>
      <c r="DRF354" s="514"/>
      <c r="DRG354" s="519"/>
      <c r="DRH354" s="514"/>
      <c r="DRI354" s="519"/>
      <c r="DRJ354" s="514"/>
      <c r="DRK354" s="519"/>
      <c r="DRL354" s="514"/>
      <c r="DRM354" s="519"/>
      <c r="DRN354" s="514"/>
      <c r="DRO354" s="519"/>
      <c r="DRP354" s="514"/>
      <c r="DRQ354" s="519"/>
      <c r="DRR354" s="514"/>
      <c r="DRS354" s="519"/>
      <c r="DRT354" s="514"/>
      <c r="DRU354" s="519"/>
      <c r="DRV354" s="514"/>
      <c r="DRW354" s="519"/>
      <c r="DRX354" s="514"/>
      <c r="DRY354" s="519"/>
      <c r="DRZ354" s="514"/>
      <c r="DSA354" s="519"/>
      <c r="DSB354" s="514"/>
      <c r="DSC354" s="519"/>
      <c r="DSD354" s="514"/>
      <c r="DSE354" s="519"/>
      <c r="DSF354" s="514"/>
      <c r="DSG354" s="519"/>
      <c r="DSH354" s="514"/>
      <c r="DSI354" s="519"/>
      <c r="DSJ354" s="514"/>
      <c r="DSK354" s="519"/>
      <c r="DSL354" s="514"/>
      <c r="DSM354" s="519"/>
      <c r="DSN354" s="514"/>
      <c r="DSO354" s="519"/>
      <c r="DSP354" s="514"/>
      <c r="DSQ354" s="519"/>
      <c r="DSR354" s="514"/>
      <c r="DSS354" s="519"/>
      <c r="DST354" s="514"/>
      <c r="DSU354" s="519"/>
      <c r="DSV354" s="514"/>
      <c r="DSW354" s="519"/>
      <c r="DSX354" s="514"/>
      <c r="DSY354" s="519"/>
      <c r="DSZ354" s="514"/>
      <c r="DTA354" s="519"/>
      <c r="DTB354" s="514"/>
      <c r="DTC354" s="519"/>
      <c r="DTD354" s="514"/>
      <c r="DTE354" s="519"/>
      <c r="DTF354" s="514"/>
      <c r="DTG354" s="519"/>
      <c r="DTH354" s="514"/>
      <c r="DTI354" s="519"/>
      <c r="DTJ354" s="514"/>
      <c r="DTK354" s="519"/>
      <c r="DTL354" s="514"/>
      <c r="DTM354" s="519"/>
      <c r="DTN354" s="514"/>
      <c r="DTO354" s="519"/>
      <c r="DTP354" s="514"/>
      <c r="DTQ354" s="519"/>
      <c r="DTR354" s="514"/>
      <c r="DTS354" s="519"/>
      <c r="DTT354" s="514"/>
      <c r="DTU354" s="519"/>
      <c r="DTV354" s="514"/>
      <c r="DTW354" s="519"/>
      <c r="DTX354" s="514"/>
      <c r="DTY354" s="519"/>
      <c r="DTZ354" s="514"/>
      <c r="DUA354" s="519"/>
      <c r="DUB354" s="514"/>
      <c r="DUC354" s="519"/>
      <c r="DUD354" s="514"/>
      <c r="DUE354" s="519"/>
      <c r="DUF354" s="514"/>
      <c r="DUG354" s="519"/>
      <c r="DUH354" s="514"/>
      <c r="DUI354" s="519"/>
      <c r="DUJ354" s="514"/>
      <c r="DUK354" s="519"/>
      <c r="DUL354" s="514"/>
      <c r="DUM354" s="519"/>
      <c r="DUN354" s="514"/>
      <c r="DUO354" s="519"/>
      <c r="DUP354" s="514"/>
      <c r="DUQ354" s="519"/>
      <c r="DUR354" s="514"/>
      <c r="DUS354" s="519"/>
      <c r="DUT354" s="514"/>
      <c r="DUU354" s="519"/>
      <c r="DUV354" s="514"/>
      <c r="DUW354" s="519"/>
      <c r="DUX354" s="514"/>
      <c r="DUY354" s="519"/>
      <c r="DUZ354" s="514"/>
      <c r="DVA354" s="519"/>
      <c r="DVB354" s="514"/>
      <c r="DVC354" s="519"/>
      <c r="DVD354" s="514"/>
      <c r="DVE354" s="519"/>
      <c r="DVF354" s="514"/>
      <c r="DVG354" s="519"/>
      <c r="DVH354" s="514"/>
      <c r="DVI354" s="519"/>
      <c r="DVJ354" s="514"/>
      <c r="DVK354" s="519"/>
      <c r="DVL354" s="514"/>
      <c r="DVM354" s="519"/>
      <c r="DVN354" s="514"/>
      <c r="DVO354" s="519"/>
      <c r="DVP354" s="514"/>
      <c r="DVQ354" s="519"/>
      <c r="DVR354" s="514"/>
      <c r="DVS354" s="519"/>
      <c r="DVT354" s="514"/>
      <c r="DVU354" s="519"/>
      <c r="DVV354" s="514"/>
      <c r="DVW354" s="519"/>
      <c r="DVX354" s="514"/>
      <c r="DVY354" s="519"/>
      <c r="DVZ354" s="514"/>
      <c r="DWA354" s="519"/>
      <c r="DWB354" s="514"/>
      <c r="DWC354" s="519"/>
      <c r="DWD354" s="514"/>
      <c r="DWE354" s="519"/>
      <c r="DWF354" s="514"/>
      <c r="DWG354" s="519"/>
      <c r="DWH354" s="514"/>
      <c r="DWI354" s="519"/>
      <c r="DWJ354" s="514"/>
      <c r="DWK354" s="519"/>
      <c r="DWL354" s="514"/>
      <c r="DWM354" s="519"/>
      <c r="DWN354" s="514"/>
      <c r="DWO354" s="519"/>
      <c r="DWP354" s="514"/>
      <c r="DWQ354" s="519"/>
      <c r="DWR354" s="514"/>
      <c r="DWS354" s="519"/>
      <c r="DWT354" s="514"/>
      <c r="DWU354" s="519"/>
      <c r="DWV354" s="514"/>
      <c r="DWW354" s="519"/>
      <c r="DWX354" s="514"/>
      <c r="DWY354" s="519"/>
      <c r="DWZ354" s="514"/>
      <c r="DXA354" s="519"/>
      <c r="DXB354" s="514"/>
      <c r="DXC354" s="519"/>
      <c r="DXD354" s="514"/>
      <c r="DXE354" s="519"/>
      <c r="DXF354" s="514"/>
      <c r="DXG354" s="519"/>
      <c r="DXH354" s="514"/>
      <c r="DXI354" s="519"/>
      <c r="DXJ354" s="514"/>
      <c r="DXK354" s="519"/>
      <c r="DXL354" s="514"/>
      <c r="DXM354" s="519"/>
      <c r="DXN354" s="514"/>
      <c r="DXO354" s="519"/>
      <c r="DXP354" s="514"/>
      <c r="DXQ354" s="519"/>
      <c r="DXR354" s="514"/>
      <c r="DXS354" s="519"/>
      <c r="DXT354" s="514"/>
      <c r="DXU354" s="519"/>
      <c r="DXV354" s="514"/>
      <c r="DXW354" s="519"/>
      <c r="DXX354" s="514"/>
      <c r="DXY354" s="519"/>
      <c r="DXZ354" s="514"/>
      <c r="DYA354" s="519"/>
      <c r="DYB354" s="514"/>
      <c r="DYC354" s="519"/>
      <c r="DYD354" s="514"/>
      <c r="DYE354" s="519"/>
      <c r="DYF354" s="514"/>
      <c r="DYG354" s="519"/>
      <c r="DYH354" s="514"/>
      <c r="DYI354" s="519"/>
      <c r="DYJ354" s="514"/>
      <c r="DYK354" s="519"/>
      <c r="DYL354" s="514"/>
      <c r="DYM354" s="519"/>
      <c r="DYN354" s="514"/>
      <c r="DYO354" s="519"/>
      <c r="DYP354" s="514"/>
      <c r="DYQ354" s="519"/>
      <c r="DYR354" s="514"/>
      <c r="DYS354" s="519"/>
      <c r="DYT354" s="514"/>
      <c r="DYU354" s="519"/>
      <c r="DYV354" s="514"/>
      <c r="DYW354" s="519"/>
      <c r="DYX354" s="514"/>
      <c r="DYY354" s="519"/>
      <c r="DYZ354" s="514"/>
      <c r="DZA354" s="519"/>
      <c r="DZB354" s="514"/>
      <c r="DZC354" s="519"/>
      <c r="DZD354" s="514"/>
      <c r="DZE354" s="519"/>
      <c r="DZF354" s="514"/>
      <c r="DZG354" s="519"/>
      <c r="DZH354" s="514"/>
      <c r="DZI354" s="519"/>
      <c r="DZJ354" s="514"/>
      <c r="DZK354" s="519"/>
      <c r="DZL354" s="514"/>
      <c r="DZM354" s="519"/>
      <c r="DZN354" s="514"/>
      <c r="DZO354" s="519"/>
      <c r="DZP354" s="514"/>
      <c r="DZQ354" s="519"/>
      <c r="DZR354" s="514"/>
      <c r="DZS354" s="519"/>
      <c r="DZT354" s="514"/>
      <c r="DZU354" s="519"/>
      <c r="DZV354" s="514"/>
      <c r="DZW354" s="519"/>
      <c r="DZX354" s="514"/>
      <c r="DZY354" s="519"/>
      <c r="DZZ354" s="514"/>
      <c r="EAA354" s="519"/>
      <c r="EAB354" s="514"/>
      <c r="EAC354" s="519"/>
      <c r="EAD354" s="514"/>
      <c r="EAE354" s="519"/>
      <c r="EAF354" s="514"/>
      <c r="EAG354" s="519"/>
      <c r="EAH354" s="514"/>
      <c r="EAI354" s="519"/>
      <c r="EAJ354" s="514"/>
      <c r="EAK354" s="519"/>
      <c r="EAL354" s="514"/>
      <c r="EAM354" s="519"/>
      <c r="EAN354" s="514"/>
      <c r="EAO354" s="519"/>
      <c r="EAP354" s="514"/>
      <c r="EAQ354" s="519"/>
      <c r="EAR354" s="514"/>
      <c r="EAS354" s="519"/>
      <c r="EAT354" s="514"/>
      <c r="EAU354" s="519"/>
      <c r="EAV354" s="514"/>
      <c r="EAW354" s="519"/>
      <c r="EAX354" s="514"/>
      <c r="EAY354" s="519"/>
      <c r="EAZ354" s="514"/>
      <c r="EBA354" s="519"/>
      <c r="EBB354" s="514"/>
      <c r="EBC354" s="519"/>
      <c r="EBD354" s="514"/>
      <c r="EBE354" s="519"/>
      <c r="EBF354" s="514"/>
      <c r="EBG354" s="519"/>
      <c r="EBH354" s="514"/>
      <c r="EBI354" s="519"/>
      <c r="EBJ354" s="514"/>
      <c r="EBK354" s="519"/>
      <c r="EBL354" s="514"/>
      <c r="EBM354" s="519"/>
      <c r="EBN354" s="514"/>
      <c r="EBO354" s="519"/>
      <c r="EBP354" s="514"/>
      <c r="EBQ354" s="519"/>
      <c r="EBR354" s="514"/>
      <c r="EBS354" s="519"/>
      <c r="EBT354" s="514"/>
      <c r="EBU354" s="519"/>
      <c r="EBV354" s="514"/>
      <c r="EBW354" s="519"/>
      <c r="EBX354" s="514"/>
      <c r="EBY354" s="519"/>
      <c r="EBZ354" s="514"/>
      <c r="ECA354" s="519"/>
      <c r="ECB354" s="514"/>
      <c r="ECC354" s="519"/>
      <c r="ECD354" s="514"/>
      <c r="ECE354" s="519"/>
      <c r="ECF354" s="514"/>
      <c r="ECG354" s="519"/>
      <c r="ECH354" s="514"/>
      <c r="ECI354" s="519"/>
      <c r="ECJ354" s="514"/>
      <c r="ECK354" s="519"/>
      <c r="ECL354" s="514"/>
      <c r="ECM354" s="519"/>
      <c r="ECN354" s="514"/>
      <c r="ECO354" s="519"/>
      <c r="ECP354" s="514"/>
      <c r="ECQ354" s="519"/>
      <c r="ECR354" s="514"/>
      <c r="ECS354" s="519"/>
      <c r="ECT354" s="514"/>
      <c r="ECU354" s="519"/>
      <c r="ECV354" s="514"/>
      <c r="ECW354" s="519"/>
      <c r="ECX354" s="514"/>
      <c r="ECY354" s="519"/>
      <c r="ECZ354" s="514"/>
      <c r="EDA354" s="519"/>
      <c r="EDB354" s="514"/>
      <c r="EDC354" s="519"/>
      <c r="EDD354" s="514"/>
      <c r="EDE354" s="519"/>
      <c r="EDF354" s="514"/>
      <c r="EDG354" s="519"/>
      <c r="EDH354" s="514"/>
      <c r="EDI354" s="519"/>
      <c r="EDJ354" s="514"/>
      <c r="EDK354" s="519"/>
      <c r="EDL354" s="514"/>
      <c r="EDM354" s="519"/>
      <c r="EDN354" s="514"/>
      <c r="EDO354" s="519"/>
      <c r="EDP354" s="514"/>
      <c r="EDQ354" s="519"/>
      <c r="EDR354" s="514"/>
      <c r="EDS354" s="519"/>
      <c r="EDT354" s="514"/>
      <c r="EDU354" s="519"/>
      <c r="EDV354" s="514"/>
      <c r="EDW354" s="519"/>
      <c r="EDX354" s="514"/>
      <c r="EDY354" s="519"/>
      <c r="EDZ354" s="514"/>
      <c r="EEA354" s="519"/>
      <c r="EEB354" s="514"/>
      <c r="EEC354" s="519"/>
      <c r="EED354" s="514"/>
      <c r="EEE354" s="519"/>
      <c r="EEF354" s="514"/>
      <c r="EEG354" s="519"/>
      <c r="EEH354" s="514"/>
      <c r="EEI354" s="519"/>
      <c r="EEJ354" s="514"/>
      <c r="EEK354" s="519"/>
      <c r="EEL354" s="514"/>
      <c r="EEM354" s="519"/>
      <c r="EEN354" s="514"/>
      <c r="EEO354" s="519"/>
      <c r="EEP354" s="514"/>
      <c r="EEQ354" s="519"/>
      <c r="EER354" s="514"/>
      <c r="EES354" s="519"/>
      <c r="EET354" s="514"/>
      <c r="EEU354" s="519"/>
      <c r="EEV354" s="514"/>
      <c r="EEW354" s="519"/>
      <c r="EEX354" s="514"/>
      <c r="EEY354" s="519"/>
      <c r="EEZ354" s="514"/>
      <c r="EFA354" s="519"/>
      <c r="EFB354" s="514"/>
      <c r="EFC354" s="519"/>
      <c r="EFD354" s="514"/>
      <c r="EFE354" s="519"/>
      <c r="EFF354" s="514"/>
      <c r="EFG354" s="519"/>
      <c r="EFH354" s="514"/>
      <c r="EFI354" s="519"/>
      <c r="EFJ354" s="514"/>
      <c r="EFK354" s="519"/>
      <c r="EFL354" s="514"/>
      <c r="EFM354" s="519"/>
      <c r="EFN354" s="514"/>
      <c r="EFO354" s="519"/>
      <c r="EFP354" s="514"/>
      <c r="EFQ354" s="519"/>
      <c r="EFR354" s="514"/>
      <c r="EFS354" s="519"/>
      <c r="EFT354" s="514"/>
      <c r="EFU354" s="519"/>
      <c r="EFV354" s="514"/>
      <c r="EFW354" s="519"/>
      <c r="EFX354" s="514"/>
      <c r="EFY354" s="519"/>
      <c r="EFZ354" s="514"/>
      <c r="EGA354" s="519"/>
      <c r="EGB354" s="514"/>
      <c r="EGC354" s="519"/>
      <c r="EGD354" s="514"/>
      <c r="EGE354" s="519"/>
      <c r="EGF354" s="514"/>
      <c r="EGG354" s="519"/>
      <c r="EGH354" s="514"/>
      <c r="EGI354" s="519"/>
      <c r="EGJ354" s="514"/>
      <c r="EGK354" s="519"/>
      <c r="EGL354" s="514"/>
      <c r="EGM354" s="519"/>
      <c r="EGN354" s="514"/>
      <c r="EGO354" s="519"/>
      <c r="EGP354" s="514"/>
      <c r="EGQ354" s="519"/>
      <c r="EGR354" s="514"/>
      <c r="EGS354" s="519"/>
      <c r="EGT354" s="514"/>
      <c r="EGU354" s="519"/>
      <c r="EGV354" s="514"/>
      <c r="EGW354" s="519"/>
      <c r="EGX354" s="514"/>
      <c r="EGY354" s="519"/>
      <c r="EGZ354" s="514"/>
      <c r="EHA354" s="519"/>
      <c r="EHB354" s="514"/>
      <c r="EHC354" s="519"/>
      <c r="EHD354" s="514"/>
      <c r="EHE354" s="519"/>
      <c r="EHF354" s="514"/>
      <c r="EHG354" s="519"/>
      <c r="EHH354" s="514"/>
      <c r="EHI354" s="519"/>
      <c r="EHJ354" s="514"/>
      <c r="EHK354" s="519"/>
      <c r="EHL354" s="514"/>
      <c r="EHM354" s="519"/>
      <c r="EHN354" s="514"/>
      <c r="EHO354" s="519"/>
      <c r="EHP354" s="514"/>
      <c r="EHQ354" s="519"/>
      <c r="EHR354" s="514"/>
      <c r="EHS354" s="519"/>
      <c r="EHT354" s="514"/>
      <c r="EHU354" s="519"/>
      <c r="EHV354" s="514"/>
      <c r="EHW354" s="519"/>
      <c r="EHX354" s="514"/>
      <c r="EHY354" s="519"/>
      <c r="EHZ354" s="514"/>
      <c r="EIA354" s="519"/>
      <c r="EIB354" s="514"/>
      <c r="EIC354" s="519"/>
      <c r="EID354" s="514"/>
      <c r="EIE354" s="519"/>
      <c r="EIF354" s="514"/>
      <c r="EIG354" s="519"/>
      <c r="EIH354" s="514"/>
      <c r="EII354" s="519"/>
      <c r="EIJ354" s="514"/>
      <c r="EIK354" s="519"/>
      <c r="EIL354" s="514"/>
      <c r="EIM354" s="519"/>
      <c r="EIN354" s="514"/>
      <c r="EIO354" s="519"/>
      <c r="EIP354" s="514"/>
      <c r="EIQ354" s="519"/>
      <c r="EIR354" s="514"/>
      <c r="EIS354" s="519"/>
      <c r="EIT354" s="514"/>
      <c r="EIU354" s="519"/>
      <c r="EIV354" s="514"/>
      <c r="EIW354" s="519"/>
      <c r="EIX354" s="514"/>
      <c r="EIY354" s="519"/>
      <c r="EIZ354" s="514"/>
      <c r="EJA354" s="519"/>
      <c r="EJB354" s="514"/>
      <c r="EJC354" s="519"/>
      <c r="EJD354" s="514"/>
      <c r="EJE354" s="519"/>
      <c r="EJF354" s="514"/>
      <c r="EJG354" s="519"/>
      <c r="EJH354" s="514"/>
      <c r="EJI354" s="519"/>
      <c r="EJJ354" s="514"/>
      <c r="EJK354" s="519"/>
      <c r="EJL354" s="514"/>
      <c r="EJM354" s="519"/>
      <c r="EJN354" s="514"/>
      <c r="EJO354" s="519"/>
      <c r="EJP354" s="514"/>
      <c r="EJQ354" s="519"/>
      <c r="EJR354" s="514"/>
      <c r="EJS354" s="519"/>
      <c r="EJT354" s="514"/>
      <c r="EJU354" s="519"/>
      <c r="EJV354" s="514"/>
      <c r="EJW354" s="519"/>
      <c r="EJX354" s="514"/>
      <c r="EJY354" s="519"/>
      <c r="EJZ354" s="514"/>
      <c r="EKA354" s="519"/>
      <c r="EKB354" s="514"/>
      <c r="EKC354" s="519"/>
      <c r="EKD354" s="514"/>
      <c r="EKE354" s="519"/>
      <c r="EKF354" s="514"/>
      <c r="EKG354" s="519"/>
      <c r="EKH354" s="514"/>
      <c r="EKI354" s="519"/>
      <c r="EKJ354" s="514"/>
      <c r="EKK354" s="519"/>
      <c r="EKL354" s="514"/>
      <c r="EKM354" s="519"/>
      <c r="EKN354" s="514"/>
      <c r="EKO354" s="519"/>
      <c r="EKP354" s="514"/>
      <c r="EKQ354" s="519"/>
      <c r="EKR354" s="514"/>
      <c r="EKS354" s="519"/>
      <c r="EKT354" s="514"/>
      <c r="EKU354" s="519"/>
      <c r="EKV354" s="514"/>
      <c r="EKW354" s="519"/>
      <c r="EKX354" s="514"/>
      <c r="EKY354" s="519"/>
      <c r="EKZ354" s="514"/>
      <c r="ELA354" s="519"/>
      <c r="ELB354" s="514"/>
      <c r="ELC354" s="519"/>
      <c r="ELD354" s="514"/>
      <c r="ELE354" s="519"/>
      <c r="ELF354" s="514"/>
      <c r="ELG354" s="519"/>
      <c r="ELH354" s="514"/>
      <c r="ELI354" s="519"/>
      <c r="ELJ354" s="514"/>
      <c r="ELK354" s="519"/>
      <c r="ELL354" s="514"/>
      <c r="ELM354" s="519"/>
      <c r="ELN354" s="514"/>
      <c r="ELO354" s="519"/>
      <c r="ELP354" s="514"/>
      <c r="ELQ354" s="519"/>
      <c r="ELR354" s="514"/>
      <c r="ELS354" s="519"/>
      <c r="ELT354" s="514"/>
      <c r="ELU354" s="519"/>
      <c r="ELV354" s="514"/>
      <c r="ELW354" s="519"/>
      <c r="ELX354" s="514"/>
      <c r="ELY354" s="519"/>
      <c r="ELZ354" s="514"/>
      <c r="EMA354" s="519"/>
      <c r="EMB354" s="514"/>
      <c r="EMC354" s="519"/>
      <c r="EMD354" s="514"/>
      <c r="EME354" s="519"/>
      <c r="EMF354" s="514"/>
      <c r="EMG354" s="519"/>
      <c r="EMH354" s="514"/>
      <c r="EMI354" s="519"/>
      <c r="EMJ354" s="514"/>
      <c r="EMK354" s="519"/>
      <c r="EML354" s="514"/>
      <c r="EMM354" s="519"/>
      <c r="EMN354" s="514"/>
      <c r="EMO354" s="519"/>
      <c r="EMP354" s="514"/>
      <c r="EMQ354" s="519"/>
      <c r="EMR354" s="514"/>
      <c r="EMS354" s="519"/>
      <c r="EMT354" s="514"/>
      <c r="EMU354" s="519"/>
      <c r="EMV354" s="514"/>
      <c r="EMW354" s="519"/>
      <c r="EMX354" s="514"/>
      <c r="EMY354" s="519"/>
      <c r="EMZ354" s="514"/>
      <c r="ENA354" s="519"/>
      <c r="ENB354" s="514"/>
      <c r="ENC354" s="519"/>
      <c r="END354" s="514"/>
      <c r="ENE354" s="519"/>
      <c r="ENF354" s="514"/>
      <c r="ENG354" s="519"/>
      <c r="ENH354" s="514"/>
      <c r="ENI354" s="519"/>
      <c r="ENJ354" s="514"/>
      <c r="ENK354" s="519"/>
      <c r="ENL354" s="514"/>
      <c r="ENM354" s="519"/>
      <c r="ENN354" s="514"/>
      <c r="ENO354" s="519"/>
      <c r="ENP354" s="514"/>
      <c r="ENQ354" s="519"/>
      <c r="ENR354" s="514"/>
      <c r="ENS354" s="519"/>
      <c r="ENT354" s="514"/>
      <c r="ENU354" s="519"/>
      <c r="ENV354" s="514"/>
      <c r="ENW354" s="519"/>
      <c r="ENX354" s="514"/>
      <c r="ENY354" s="519"/>
      <c r="ENZ354" s="514"/>
      <c r="EOA354" s="519"/>
      <c r="EOB354" s="514"/>
      <c r="EOC354" s="519"/>
      <c r="EOD354" s="514"/>
      <c r="EOE354" s="519"/>
      <c r="EOF354" s="514"/>
      <c r="EOG354" s="519"/>
      <c r="EOH354" s="514"/>
      <c r="EOI354" s="519"/>
      <c r="EOJ354" s="514"/>
      <c r="EOK354" s="519"/>
      <c r="EOL354" s="514"/>
      <c r="EOM354" s="519"/>
      <c r="EON354" s="514"/>
      <c r="EOO354" s="519"/>
      <c r="EOP354" s="514"/>
      <c r="EOQ354" s="519"/>
      <c r="EOR354" s="514"/>
      <c r="EOS354" s="519"/>
      <c r="EOT354" s="514"/>
      <c r="EOU354" s="519"/>
      <c r="EOV354" s="514"/>
      <c r="EOW354" s="519"/>
      <c r="EOX354" s="514"/>
      <c r="EOY354" s="519"/>
      <c r="EOZ354" s="514"/>
      <c r="EPA354" s="519"/>
      <c r="EPB354" s="514"/>
      <c r="EPC354" s="519"/>
      <c r="EPD354" s="514"/>
      <c r="EPE354" s="519"/>
      <c r="EPF354" s="514"/>
      <c r="EPG354" s="519"/>
      <c r="EPH354" s="514"/>
      <c r="EPI354" s="519"/>
      <c r="EPJ354" s="514"/>
      <c r="EPK354" s="519"/>
      <c r="EPL354" s="514"/>
      <c r="EPM354" s="519"/>
      <c r="EPN354" s="514"/>
      <c r="EPO354" s="519"/>
      <c r="EPP354" s="514"/>
      <c r="EPQ354" s="519"/>
      <c r="EPR354" s="514"/>
      <c r="EPS354" s="519"/>
      <c r="EPT354" s="514"/>
      <c r="EPU354" s="519"/>
      <c r="EPV354" s="514"/>
      <c r="EPW354" s="519"/>
      <c r="EPX354" s="514"/>
      <c r="EPY354" s="519"/>
      <c r="EPZ354" s="514"/>
      <c r="EQA354" s="519"/>
      <c r="EQB354" s="514"/>
      <c r="EQC354" s="519"/>
      <c r="EQD354" s="514"/>
      <c r="EQE354" s="519"/>
      <c r="EQF354" s="514"/>
      <c r="EQG354" s="519"/>
      <c r="EQH354" s="514"/>
      <c r="EQI354" s="519"/>
      <c r="EQJ354" s="514"/>
      <c r="EQK354" s="519"/>
      <c r="EQL354" s="514"/>
      <c r="EQM354" s="519"/>
      <c r="EQN354" s="514"/>
      <c r="EQO354" s="519"/>
      <c r="EQP354" s="514"/>
      <c r="EQQ354" s="519"/>
      <c r="EQR354" s="514"/>
      <c r="EQS354" s="519"/>
      <c r="EQT354" s="514"/>
      <c r="EQU354" s="519"/>
      <c r="EQV354" s="514"/>
      <c r="EQW354" s="519"/>
      <c r="EQX354" s="514"/>
      <c r="EQY354" s="519"/>
      <c r="EQZ354" s="514"/>
      <c r="ERA354" s="519"/>
      <c r="ERB354" s="514"/>
      <c r="ERC354" s="519"/>
      <c r="ERD354" s="514"/>
      <c r="ERE354" s="519"/>
      <c r="ERF354" s="514"/>
      <c r="ERG354" s="519"/>
      <c r="ERH354" s="514"/>
      <c r="ERI354" s="519"/>
      <c r="ERJ354" s="514"/>
      <c r="ERK354" s="519"/>
      <c r="ERL354" s="514"/>
      <c r="ERM354" s="519"/>
      <c r="ERN354" s="514"/>
      <c r="ERO354" s="519"/>
      <c r="ERP354" s="514"/>
      <c r="ERQ354" s="519"/>
      <c r="ERR354" s="514"/>
      <c r="ERS354" s="519"/>
      <c r="ERT354" s="514"/>
      <c r="ERU354" s="519"/>
      <c r="ERV354" s="514"/>
      <c r="ERW354" s="519"/>
      <c r="ERX354" s="514"/>
      <c r="ERY354" s="519"/>
      <c r="ERZ354" s="514"/>
      <c r="ESA354" s="519"/>
      <c r="ESB354" s="514"/>
      <c r="ESC354" s="519"/>
      <c r="ESD354" s="514"/>
      <c r="ESE354" s="519"/>
      <c r="ESF354" s="514"/>
      <c r="ESG354" s="519"/>
      <c r="ESH354" s="514"/>
      <c r="ESI354" s="519"/>
      <c r="ESJ354" s="514"/>
      <c r="ESK354" s="519"/>
      <c r="ESL354" s="514"/>
      <c r="ESM354" s="519"/>
      <c r="ESN354" s="514"/>
      <c r="ESO354" s="519"/>
      <c r="ESP354" s="514"/>
      <c r="ESQ354" s="519"/>
      <c r="ESR354" s="514"/>
      <c r="ESS354" s="519"/>
      <c r="EST354" s="514"/>
      <c r="ESU354" s="519"/>
      <c r="ESV354" s="514"/>
      <c r="ESW354" s="519"/>
      <c r="ESX354" s="514"/>
      <c r="ESY354" s="519"/>
      <c r="ESZ354" s="514"/>
      <c r="ETA354" s="519"/>
      <c r="ETB354" s="514"/>
      <c r="ETC354" s="519"/>
      <c r="ETD354" s="514"/>
      <c r="ETE354" s="519"/>
      <c r="ETF354" s="514"/>
      <c r="ETG354" s="519"/>
      <c r="ETH354" s="514"/>
      <c r="ETI354" s="519"/>
      <c r="ETJ354" s="514"/>
      <c r="ETK354" s="519"/>
      <c r="ETL354" s="514"/>
      <c r="ETM354" s="519"/>
      <c r="ETN354" s="514"/>
      <c r="ETO354" s="519"/>
      <c r="ETP354" s="514"/>
      <c r="ETQ354" s="519"/>
      <c r="ETR354" s="514"/>
      <c r="ETS354" s="519"/>
      <c r="ETT354" s="514"/>
      <c r="ETU354" s="519"/>
      <c r="ETV354" s="514"/>
      <c r="ETW354" s="519"/>
      <c r="ETX354" s="514"/>
      <c r="ETY354" s="519"/>
      <c r="ETZ354" s="514"/>
      <c r="EUA354" s="519"/>
      <c r="EUB354" s="514"/>
      <c r="EUC354" s="519"/>
      <c r="EUD354" s="514"/>
      <c r="EUE354" s="519"/>
      <c r="EUF354" s="514"/>
      <c r="EUG354" s="519"/>
      <c r="EUH354" s="514"/>
      <c r="EUI354" s="519"/>
      <c r="EUJ354" s="514"/>
      <c r="EUK354" s="519"/>
      <c r="EUL354" s="514"/>
      <c r="EUM354" s="519"/>
      <c r="EUN354" s="514"/>
      <c r="EUO354" s="519"/>
      <c r="EUP354" s="514"/>
      <c r="EUQ354" s="519"/>
      <c r="EUR354" s="514"/>
      <c r="EUS354" s="519"/>
      <c r="EUT354" s="514"/>
      <c r="EUU354" s="519"/>
      <c r="EUV354" s="514"/>
      <c r="EUW354" s="519"/>
      <c r="EUX354" s="514"/>
      <c r="EUY354" s="519"/>
      <c r="EUZ354" s="514"/>
      <c r="EVA354" s="519"/>
      <c r="EVB354" s="514"/>
      <c r="EVC354" s="519"/>
      <c r="EVD354" s="514"/>
      <c r="EVE354" s="519"/>
      <c r="EVF354" s="514"/>
      <c r="EVG354" s="519"/>
      <c r="EVH354" s="514"/>
      <c r="EVI354" s="519"/>
      <c r="EVJ354" s="514"/>
      <c r="EVK354" s="519"/>
      <c r="EVL354" s="514"/>
      <c r="EVM354" s="519"/>
      <c r="EVN354" s="514"/>
      <c r="EVO354" s="519"/>
      <c r="EVP354" s="514"/>
      <c r="EVQ354" s="519"/>
      <c r="EVR354" s="514"/>
      <c r="EVS354" s="519"/>
      <c r="EVT354" s="514"/>
      <c r="EVU354" s="519"/>
      <c r="EVV354" s="514"/>
      <c r="EVW354" s="519"/>
      <c r="EVX354" s="514"/>
      <c r="EVY354" s="519"/>
      <c r="EVZ354" s="514"/>
      <c r="EWA354" s="519"/>
      <c r="EWB354" s="514"/>
      <c r="EWC354" s="519"/>
      <c r="EWD354" s="514"/>
      <c r="EWE354" s="519"/>
      <c r="EWF354" s="514"/>
      <c r="EWG354" s="519"/>
      <c r="EWH354" s="514"/>
      <c r="EWI354" s="519"/>
      <c r="EWJ354" s="514"/>
      <c r="EWK354" s="519"/>
      <c r="EWL354" s="514"/>
      <c r="EWM354" s="519"/>
      <c r="EWN354" s="514"/>
      <c r="EWO354" s="519"/>
      <c r="EWP354" s="514"/>
      <c r="EWQ354" s="519"/>
      <c r="EWR354" s="514"/>
      <c r="EWS354" s="519"/>
      <c r="EWT354" s="514"/>
      <c r="EWU354" s="519"/>
      <c r="EWV354" s="514"/>
      <c r="EWW354" s="519"/>
      <c r="EWX354" s="514"/>
      <c r="EWY354" s="519"/>
      <c r="EWZ354" s="514"/>
      <c r="EXA354" s="519"/>
      <c r="EXB354" s="514"/>
      <c r="EXC354" s="519"/>
      <c r="EXD354" s="514"/>
      <c r="EXE354" s="519"/>
      <c r="EXF354" s="514"/>
      <c r="EXG354" s="519"/>
      <c r="EXH354" s="514"/>
      <c r="EXI354" s="519"/>
      <c r="EXJ354" s="514"/>
      <c r="EXK354" s="519"/>
      <c r="EXL354" s="514"/>
      <c r="EXM354" s="519"/>
      <c r="EXN354" s="514"/>
      <c r="EXO354" s="519"/>
      <c r="EXP354" s="514"/>
      <c r="EXQ354" s="519"/>
      <c r="EXR354" s="514"/>
      <c r="EXS354" s="519"/>
      <c r="EXT354" s="514"/>
      <c r="EXU354" s="519"/>
      <c r="EXV354" s="514"/>
      <c r="EXW354" s="519"/>
      <c r="EXX354" s="514"/>
      <c r="EXY354" s="519"/>
      <c r="EXZ354" s="514"/>
      <c r="EYA354" s="519"/>
      <c r="EYB354" s="514"/>
      <c r="EYC354" s="519"/>
      <c r="EYD354" s="514"/>
      <c r="EYE354" s="519"/>
      <c r="EYF354" s="514"/>
      <c r="EYG354" s="519"/>
      <c r="EYH354" s="514"/>
      <c r="EYI354" s="519"/>
      <c r="EYJ354" s="514"/>
      <c r="EYK354" s="519"/>
      <c r="EYL354" s="514"/>
      <c r="EYM354" s="519"/>
      <c r="EYN354" s="514"/>
      <c r="EYO354" s="519"/>
      <c r="EYP354" s="514"/>
      <c r="EYQ354" s="519"/>
      <c r="EYR354" s="514"/>
      <c r="EYS354" s="519"/>
      <c r="EYT354" s="514"/>
      <c r="EYU354" s="519"/>
      <c r="EYV354" s="514"/>
      <c r="EYW354" s="519"/>
      <c r="EYX354" s="514"/>
      <c r="EYY354" s="519"/>
      <c r="EYZ354" s="514"/>
      <c r="EZA354" s="519"/>
      <c r="EZB354" s="514"/>
      <c r="EZC354" s="519"/>
      <c r="EZD354" s="514"/>
      <c r="EZE354" s="519"/>
      <c r="EZF354" s="514"/>
      <c r="EZG354" s="519"/>
      <c r="EZH354" s="514"/>
      <c r="EZI354" s="519"/>
      <c r="EZJ354" s="514"/>
      <c r="EZK354" s="519"/>
      <c r="EZL354" s="514"/>
      <c r="EZM354" s="519"/>
      <c r="EZN354" s="514"/>
      <c r="EZO354" s="519"/>
      <c r="EZP354" s="514"/>
      <c r="EZQ354" s="519"/>
      <c r="EZR354" s="514"/>
      <c r="EZS354" s="519"/>
      <c r="EZT354" s="514"/>
      <c r="EZU354" s="519"/>
      <c r="EZV354" s="514"/>
      <c r="EZW354" s="519"/>
      <c r="EZX354" s="514"/>
      <c r="EZY354" s="519"/>
      <c r="EZZ354" s="514"/>
      <c r="FAA354" s="519"/>
      <c r="FAB354" s="514"/>
      <c r="FAC354" s="519"/>
      <c r="FAD354" s="514"/>
      <c r="FAE354" s="519"/>
      <c r="FAF354" s="514"/>
      <c r="FAG354" s="519"/>
      <c r="FAH354" s="514"/>
      <c r="FAI354" s="519"/>
      <c r="FAJ354" s="514"/>
      <c r="FAK354" s="519"/>
      <c r="FAL354" s="514"/>
      <c r="FAM354" s="519"/>
      <c r="FAN354" s="514"/>
      <c r="FAO354" s="519"/>
      <c r="FAP354" s="514"/>
      <c r="FAQ354" s="519"/>
      <c r="FAR354" s="514"/>
      <c r="FAS354" s="519"/>
      <c r="FAT354" s="514"/>
      <c r="FAU354" s="519"/>
      <c r="FAV354" s="514"/>
      <c r="FAW354" s="519"/>
      <c r="FAX354" s="514"/>
      <c r="FAY354" s="519"/>
      <c r="FAZ354" s="514"/>
      <c r="FBA354" s="519"/>
      <c r="FBB354" s="514"/>
      <c r="FBC354" s="519"/>
      <c r="FBD354" s="514"/>
      <c r="FBE354" s="519"/>
      <c r="FBF354" s="514"/>
      <c r="FBG354" s="519"/>
      <c r="FBH354" s="514"/>
      <c r="FBI354" s="519"/>
      <c r="FBJ354" s="514"/>
      <c r="FBK354" s="519"/>
      <c r="FBL354" s="514"/>
      <c r="FBM354" s="519"/>
      <c r="FBN354" s="514"/>
      <c r="FBO354" s="519"/>
      <c r="FBP354" s="514"/>
      <c r="FBQ354" s="519"/>
      <c r="FBR354" s="514"/>
      <c r="FBS354" s="519"/>
      <c r="FBT354" s="514"/>
      <c r="FBU354" s="519"/>
      <c r="FBV354" s="514"/>
      <c r="FBW354" s="519"/>
      <c r="FBX354" s="514"/>
      <c r="FBY354" s="519"/>
      <c r="FBZ354" s="514"/>
      <c r="FCA354" s="519"/>
      <c r="FCB354" s="514"/>
      <c r="FCC354" s="519"/>
      <c r="FCD354" s="514"/>
      <c r="FCE354" s="519"/>
      <c r="FCF354" s="514"/>
      <c r="FCG354" s="519"/>
      <c r="FCH354" s="514"/>
      <c r="FCI354" s="519"/>
      <c r="FCJ354" s="514"/>
      <c r="FCK354" s="519"/>
      <c r="FCL354" s="514"/>
      <c r="FCM354" s="519"/>
      <c r="FCN354" s="514"/>
      <c r="FCO354" s="519"/>
      <c r="FCP354" s="514"/>
      <c r="FCQ354" s="519"/>
      <c r="FCR354" s="514"/>
      <c r="FCS354" s="519"/>
      <c r="FCT354" s="514"/>
      <c r="FCU354" s="519"/>
      <c r="FCV354" s="514"/>
      <c r="FCW354" s="519"/>
      <c r="FCX354" s="514"/>
      <c r="FCY354" s="519"/>
      <c r="FCZ354" s="514"/>
      <c r="FDA354" s="519"/>
      <c r="FDB354" s="514"/>
      <c r="FDC354" s="519"/>
      <c r="FDD354" s="514"/>
      <c r="FDE354" s="519"/>
      <c r="FDF354" s="514"/>
      <c r="FDG354" s="519"/>
      <c r="FDH354" s="514"/>
      <c r="FDI354" s="519"/>
      <c r="FDJ354" s="514"/>
      <c r="FDK354" s="519"/>
      <c r="FDL354" s="514"/>
      <c r="FDM354" s="519"/>
      <c r="FDN354" s="514"/>
      <c r="FDO354" s="519"/>
      <c r="FDP354" s="514"/>
      <c r="FDQ354" s="519"/>
      <c r="FDR354" s="514"/>
      <c r="FDS354" s="519"/>
      <c r="FDT354" s="514"/>
      <c r="FDU354" s="519"/>
      <c r="FDV354" s="514"/>
      <c r="FDW354" s="519"/>
      <c r="FDX354" s="514"/>
      <c r="FDY354" s="519"/>
      <c r="FDZ354" s="514"/>
      <c r="FEA354" s="519"/>
      <c r="FEB354" s="514"/>
      <c r="FEC354" s="519"/>
      <c r="FED354" s="514"/>
      <c r="FEE354" s="519"/>
      <c r="FEF354" s="514"/>
      <c r="FEG354" s="519"/>
      <c r="FEH354" s="514"/>
      <c r="FEI354" s="519"/>
      <c r="FEJ354" s="514"/>
      <c r="FEK354" s="519"/>
      <c r="FEL354" s="514"/>
      <c r="FEM354" s="519"/>
      <c r="FEN354" s="514"/>
      <c r="FEO354" s="519"/>
      <c r="FEP354" s="514"/>
      <c r="FEQ354" s="519"/>
      <c r="FER354" s="514"/>
      <c r="FES354" s="519"/>
      <c r="FET354" s="514"/>
      <c r="FEU354" s="519"/>
      <c r="FEV354" s="514"/>
      <c r="FEW354" s="519"/>
      <c r="FEX354" s="514"/>
      <c r="FEY354" s="519"/>
      <c r="FEZ354" s="514"/>
      <c r="FFA354" s="519"/>
      <c r="FFB354" s="514"/>
      <c r="FFC354" s="519"/>
      <c r="FFD354" s="514"/>
      <c r="FFE354" s="519"/>
      <c r="FFF354" s="514"/>
      <c r="FFG354" s="519"/>
      <c r="FFH354" s="514"/>
      <c r="FFI354" s="519"/>
      <c r="FFJ354" s="514"/>
      <c r="FFK354" s="519"/>
      <c r="FFL354" s="514"/>
      <c r="FFM354" s="519"/>
      <c r="FFN354" s="514"/>
      <c r="FFO354" s="519"/>
      <c r="FFP354" s="514"/>
      <c r="FFQ354" s="519"/>
      <c r="FFR354" s="514"/>
      <c r="FFS354" s="519"/>
      <c r="FFT354" s="514"/>
      <c r="FFU354" s="519"/>
      <c r="FFV354" s="514"/>
      <c r="FFW354" s="519"/>
      <c r="FFX354" s="514"/>
      <c r="FFY354" s="519"/>
      <c r="FFZ354" s="514"/>
      <c r="FGA354" s="519"/>
      <c r="FGB354" s="514"/>
      <c r="FGC354" s="519"/>
      <c r="FGD354" s="514"/>
      <c r="FGE354" s="519"/>
      <c r="FGF354" s="514"/>
      <c r="FGG354" s="519"/>
      <c r="FGH354" s="514"/>
      <c r="FGI354" s="519"/>
      <c r="FGJ354" s="514"/>
      <c r="FGK354" s="519"/>
      <c r="FGL354" s="514"/>
      <c r="FGM354" s="519"/>
      <c r="FGN354" s="514"/>
      <c r="FGO354" s="519"/>
      <c r="FGP354" s="514"/>
      <c r="FGQ354" s="519"/>
      <c r="FGR354" s="514"/>
      <c r="FGS354" s="519"/>
      <c r="FGT354" s="514"/>
      <c r="FGU354" s="519"/>
      <c r="FGV354" s="514"/>
      <c r="FGW354" s="519"/>
      <c r="FGX354" s="514"/>
      <c r="FGY354" s="519"/>
      <c r="FGZ354" s="514"/>
      <c r="FHA354" s="519"/>
      <c r="FHB354" s="514"/>
      <c r="FHC354" s="519"/>
      <c r="FHD354" s="514"/>
      <c r="FHE354" s="519"/>
      <c r="FHF354" s="514"/>
      <c r="FHG354" s="519"/>
      <c r="FHH354" s="514"/>
      <c r="FHI354" s="519"/>
      <c r="FHJ354" s="514"/>
      <c r="FHK354" s="519"/>
      <c r="FHL354" s="514"/>
      <c r="FHM354" s="519"/>
      <c r="FHN354" s="514"/>
      <c r="FHO354" s="519"/>
      <c r="FHP354" s="514"/>
      <c r="FHQ354" s="519"/>
      <c r="FHR354" s="514"/>
      <c r="FHS354" s="519"/>
      <c r="FHT354" s="514"/>
      <c r="FHU354" s="519"/>
      <c r="FHV354" s="514"/>
      <c r="FHW354" s="519"/>
      <c r="FHX354" s="514"/>
      <c r="FHY354" s="519"/>
      <c r="FHZ354" s="514"/>
      <c r="FIA354" s="519"/>
      <c r="FIB354" s="514"/>
      <c r="FIC354" s="519"/>
      <c r="FID354" s="514"/>
      <c r="FIE354" s="519"/>
      <c r="FIF354" s="514"/>
      <c r="FIG354" s="519"/>
      <c r="FIH354" s="514"/>
      <c r="FII354" s="519"/>
      <c r="FIJ354" s="514"/>
      <c r="FIK354" s="519"/>
      <c r="FIL354" s="514"/>
      <c r="FIM354" s="519"/>
      <c r="FIN354" s="514"/>
      <c r="FIO354" s="519"/>
      <c r="FIP354" s="514"/>
      <c r="FIQ354" s="519"/>
      <c r="FIR354" s="514"/>
      <c r="FIS354" s="519"/>
      <c r="FIT354" s="514"/>
      <c r="FIU354" s="519"/>
      <c r="FIV354" s="514"/>
      <c r="FIW354" s="519"/>
      <c r="FIX354" s="514"/>
      <c r="FIY354" s="519"/>
      <c r="FIZ354" s="514"/>
      <c r="FJA354" s="519"/>
      <c r="FJB354" s="514"/>
      <c r="FJC354" s="519"/>
      <c r="FJD354" s="514"/>
      <c r="FJE354" s="519"/>
      <c r="FJF354" s="514"/>
      <c r="FJG354" s="519"/>
      <c r="FJH354" s="514"/>
      <c r="FJI354" s="519"/>
      <c r="FJJ354" s="514"/>
      <c r="FJK354" s="519"/>
      <c r="FJL354" s="514"/>
      <c r="FJM354" s="519"/>
      <c r="FJN354" s="514"/>
      <c r="FJO354" s="519"/>
      <c r="FJP354" s="514"/>
      <c r="FJQ354" s="519"/>
      <c r="FJR354" s="514"/>
      <c r="FJS354" s="519"/>
      <c r="FJT354" s="514"/>
      <c r="FJU354" s="519"/>
      <c r="FJV354" s="514"/>
      <c r="FJW354" s="519"/>
      <c r="FJX354" s="514"/>
      <c r="FJY354" s="519"/>
      <c r="FJZ354" s="514"/>
      <c r="FKA354" s="519"/>
      <c r="FKB354" s="514"/>
      <c r="FKC354" s="519"/>
      <c r="FKD354" s="514"/>
      <c r="FKE354" s="519"/>
      <c r="FKF354" s="514"/>
      <c r="FKG354" s="519"/>
      <c r="FKH354" s="514"/>
      <c r="FKI354" s="519"/>
      <c r="FKJ354" s="514"/>
      <c r="FKK354" s="519"/>
      <c r="FKL354" s="514"/>
      <c r="FKM354" s="519"/>
      <c r="FKN354" s="514"/>
      <c r="FKO354" s="519"/>
      <c r="FKP354" s="514"/>
      <c r="FKQ354" s="519"/>
      <c r="FKR354" s="514"/>
      <c r="FKS354" s="519"/>
      <c r="FKT354" s="514"/>
      <c r="FKU354" s="519"/>
      <c r="FKV354" s="514"/>
      <c r="FKW354" s="519"/>
      <c r="FKX354" s="514"/>
      <c r="FKY354" s="519"/>
      <c r="FKZ354" s="514"/>
      <c r="FLA354" s="519"/>
      <c r="FLB354" s="514"/>
      <c r="FLC354" s="519"/>
      <c r="FLD354" s="514"/>
      <c r="FLE354" s="519"/>
      <c r="FLF354" s="514"/>
      <c r="FLG354" s="519"/>
      <c r="FLH354" s="514"/>
      <c r="FLI354" s="519"/>
      <c r="FLJ354" s="514"/>
      <c r="FLK354" s="519"/>
      <c r="FLL354" s="514"/>
      <c r="FLM354" s="519"/>
      <c r="FLN354" s="514"/>
      <c r="FLO354" s="519"/>
      <c r="FLP354" s="514"/>
      <c r="FLQ354" s="519"/>
      <c r="FLR354" s="514"/>
      <c r="FLS354" s="519"/>
      <c r="FLT354" s="514"/>
      <c r="FLU354" s="519"/>
      <c r="FLV354" s="514"/>
      <c r="FLW354" s="519"/>
      <c r="FLX354" s="514"/>
      <c r="FLY354" s="519"/>
      <c r="FLZ354" s="514"/>
      <c r="FMA354" s="519"/>
      <c r="FMB354" s="514"/>
      <c r="FMC354" s="519"/>
      <c r="FMD354" s="514"/>
      <c r="FME354" s="519"/>
      <c r="FMF354" s="514"/>
      <c r="FMG354" s="519"/>
      <c r="FMH354" s="514"/>
      <c r="FMI354" s="519"/>
      <c r="FMJ354" s="514"/>
      <c r="FMK354" s="519"/>
      <c r="FML354" s="514"/>
      <c r="FMM354" s="519"/>
      <c r="FMN354" s="514"/>
      <c r="FMO354" s="519"/>
      <c r="FMP354" s="514"/>
      <c r="FMQ354" s="519"/>
      <c r="FMR354" s="514"/>
      <c r="FMS354" s="519"/>
      <c r="FMT354" s="514"/>
      <c r="FMU354" s="519"/>
      <c r="FMV354" s="514"/>
      <c r="FMW354" s="519"/>
      <c r="FMX354" s="514"/>
      <c r="FMY354" s="519"/>
      <c r="FMZ354" s="514"/>
      <c r="FNA354" s="519"/>
      <c r="FNB354" s="514"/>
      <c r="FNC354" s="519"/>
      <c r="FND354" s="514"/>
      <c r="FNE354" s="519"/>
      <c r="FNF354" s="514"/>
      <c r="FNG354" s="519"/>
      <c r="FNH354" s="514"/>
      <c r="FNI354" s="519"/>
      <c r="FNJ354" s="514"/>
      <c r="FNK354" s="519"/>
      <c r="FNL354" s="514"/>
      <c r="FNM354" s="519"/>
      <c r="FNN354" s="514"/>
      <c r="FNO354" s="519"/>
      <c r="FNP354" s="514"/>
      <c r="FNQ354" s="519"/>
      <c r="FNR354" s="514"/>
      <c r="FNS354" s="519"/>
      <c r="FNT354" s="514"/>
      <c r="FNU354" s="519"/>
      <c r="FNV354" s="514"/>
      <c r="FNW354" s="519"/>
      <c r="FNX354" s="514"/>
      <c r="FNY354" s="519"/>
      <c r="FNZ354" s="514"/>
      <c r="FOA354" s="519"/>
      <c r="FOB354" s="514"/>
      <c r="FOC354" s="519"/>
      <c r="FOD354" s="514"/>
      <c r="FOE354" s="519"/>
      <c r="FOF354" s="514"/>
      <c r="FOG354" s="519"/>
      <c r="FOH354" s="514"/>
      <c r="FOI354" s="519"/>
      <c r="FOJ354" s="514"/>
      <c r="FOK354" s="519"/>
      <c r="FOL354" s="514"/>
      <c r="FOM354" s="519"/>
      <c r="FON354" s="514"/>
      <c r="FOO354" s="519"/>
      <c r="FOP354" s="514"/>
      <c r="FOQ354" s="519"/>
      <c r="FOR354" s="514"/>
      <c r="FOS354" s="519"/>
      <c r="FOT354" s="514"/>
      <c r="FOU354" s="519"/>
      <c r="FOV354" s="514"/>
      <c r="FOW354" s="519"/>
      <c r="FOX354" s="514"/>
      <c r="FOY354" s="519"/>
      <c r="FOZ354" s="514"/>
      <c r="FPA354" s="519"/>
      <c r="FPB354" s="514"/>
      <c r="FPC354" s="519"/>
      <c r="FPD354" s="514"/>
      <c r="FPE354" s="519"/>
      <c r="FPF354" s="514"/>
      <c r="FPG354" s="519"/>
      <c r="FPH354" s="514"/>
      <c r="FPI354" s="519"/>
      <c r="FPJ354" s="514"/>
      <c r="FPK354" s="519"/>
      <c r="FPL354" s="514"/>
      <c r="FPM354" s="519"/>
      <c r="FPN354" s="514"/>
      <c r="FPO354" s="519"/>
      <c r="FPP354" s="514"/>
      <c r="FPQ354" s="519"/>
      <c r="FPR354" s="514"/>
      <c r="FPS354" s="519"/>
      <c r="FPT354" s="514"/>
      <c r="FPU354" s="519"/>
      <c r="FPV354" s="514"/>
      <c r="FPW354" s="519"/>
      <c r="FPX354" s="514"/>
      <c r="FPY354" s="519"/>
      <c r="FPZ354" s="514"/>
      <c r="FQA354" s="519"/>
      <c r="FQB354" s="514"/>
      <c r="FQC354" s="519"/>
      <c r="FQD354" s="514"/>
      <c r="FQE354" s="519"/>
      <c r="FQF354" s="514"/>
      <c r="FQG354" s="519"/>
      <c r="FQH354" s="514"/>
      <c r="FQI354" s="519"/>
      <c r="FQJ354" s="514"/>
      <c r="FQK354" s="519"/>
      <c r="FQL354" s="514"/>
      <c r="FQM354" s="519"/>
      <c r="FQN354" s="514"/>
      <c r="FQO354" s="519"/>
      <c r="FQP354" s="514"/>
      <c r="FQQ354" s="519"/>
      <c r="FQR354" s="514"/>
      <c r="FQS354" s="519"/>
      <c r="FQT354" s="514"/>
      <c r="FQU354" s="519"/>
      <c r="FQV354" s="514"/>
      <c r="FQW354" s="519"/>
      <c r="FQX354" s="514"/>
      <c r="FQY354" s="519"/>
      <c r="FQZ354" s="514"/>
      <c r="FRA354" s="519"/>
      <c r="FRB354" s="514"/>
      <c r="FRC354" s="519"/>
      <c r="FRD354" s="514"/>
      <c r="FRE354" s="519"/>
      <c r="FRF354" s="514"/>
      <c r="FRG354" s="519"/>
      <c r="FRH354" s="514"/>
      <c r="FRI354" s="519"/>
      <c r="FRJ354" s="514"/>
      <c r="FRK354" s="519"/>
      <c r="FRL354" s="514"/>
      <c r="FRM354" s="519"/>
      <c r="FRN354" s="514"/>
      <c r="FRO354" s="519"/>
      <c r="FRP354" s="514"/>
      <c r="FRQ354" s="519"/>
      <c r="FRR354" s="514"/>
      <c r="FRS354" s="519"/>
      <c r="FRT354" s="514"/>
      <c r="FRU354" s="519"/>
      <c r="FRV354" s="514"/>
      <c r="FRW354" s="519"/>
      <c r="FRX354" s="514"/>
      <c r="FRY354" s="519"/>
      <c r="FRZ354" s="514"/>
      <c r="FSA354" s="519"/>
      <c r="FSB354" s="514"/>
      <c r="FSC354" s="519"/>
      <c r="FSD354" s="514"/>
      <c r="FSE354" s="519"/>
      <c r="FSF354" s="514"/>
      <c r="FSG354" s="519"/>
      <c r="FSH354" s="514"/>
      <c r="FSI354" s="519"/>
      <c r="FSJ354" s="514"/>
      <c r="FSK354" s="519"/>
      <c r="FSL354" s="514"/>
      <c r="FSM354" s="519"/>
      <c r="FSN354" s="514"/>
      <c r="FSO354" s="519"/>
      <c r="FSP354" s="514"/>
      <c r="FSQ354" s="519"/>
      <c r="FSR354" s="514"/>
      <c r="FSS354" s="519"/>
      <c r="FST354" s="514"/>
      <c r="FSU354" s="519"/>
      <c r="FSV354" s="514"/>
      <c r="FSW354" s="519"/>
      <c r="FSX354" s="514"/>
      <c r="FSY354" s="519"/>
      <c r="FSZ354" s="514"/>
      <c r="FTA354" s="519"/>
      <c r="FTB354" s="514"/>
      <c r="FTC354" s="519"/>
      <c r="FTD354" s="514"/>
      <c r="FTE354" s="519"/>
      <c r="FTF354" s="514"/>
      <c r="FTG354" s="519"/>
      <c r="FTH354" s="514"/>
      <c r="FTI354" s="519"/>
      <c r="FTJ354" s="514"/>
      <c r="FTK354" s="519"/>
      <c r="FTL354" s="514"/>
      <c r="FTM354" s="519"/>
      <c r="FTN354" s="514"/>
      <c r="FTO354" s="519"/>
      <c r="FTP354" s="514"/>
      <c r="FTQ354" s="519"/>
      <c r="FTR354" s="514"/>
      <c r="FTS354" s="519"/>
      <c r="FTT354" s="514"/>
      <c r="FTU354" s="519"/>
      <c r="FTV354" s="514"/>
      <c r="FTW354" s="519"/>
      <c r="FTX354" s="514"/>
      <c r="FTY354" s="519"/>
      <c r="FTZ354" s="514"/>
      <c r="FUA354" s="519"/>
      <c r="FUB354" s="514"/>
      <c r="FUC354" s="519"/>
      <c r="FUD354" s="514"/>
      <c r="FUE354" s="519"/>
      <c r="FUF354" s="514"/>
      <c r="FUG354" s="519"/>
      <c r="FUH354" s="514"/>
      <c r="FUI354" s="519"/>
      <c r="FUJ354" s="514"/>
      <c r="FUK354" s="519"/>
      <c r="FUL354" s="514"/>
      <c r="FUM354" s="519"/>
      <c r="FUN354" s="514"/>
      <c r="FUO354" s="519"/>
      <c r="FUP354" s="514"/>
      <c r="FUQ354" s="519"/>
      <c r="FUR354" s="514"/>
      <c r="FUS354" s="519"/>
      <c r="FUT354" s="514"/>
      <c r="FUU354" s="519"/>
      <c r="FUV354" s="514"/>
      <c r="FUW354" s="519"/>
      <c r="FUX354" s="514"/>
      <c r="FUY354" s="519"/>
      <c r="FUZ354" s="514"/>
      <c r="FVA354" s="519"/>
      <c r="FVB354" s="514"/>
      <c r="FVC354" s="519"/>
      <c r="FVD354" s="514"/>
      <c r="FVE354" s="519"/>
      <c r="FVF354" s="514"/>
      <c r="FVG354" s="519"/>
      <c r="FVH354" s="514"/>
      <c r="FVI354" s="519"/>
      <c r="FVJ354" s="514"/>
      <c r="FVK354" s="519"/>
      <c r="FVL354" s="514"/>
      <c r="FVM354" s="519"/>
      <c r="FVN354" s="514"/>
      <c r="FVO354" s="519"/>
      <c r="FVP354" s="514"/>
      <c r="FVQ354" s="519"/>
      <c r="FVR354" s="514"/>
      <c r="FVS354" s="519"/>
      <c r="FVT354" s="514"/>
      <c r="FVU354" s="519"/>
      <c r="FVV354" s="514"/>
      <c r="FVW354" s="519"/>
      <c r="FVX354" s="514"/>
      <c r="FVY354" s="519"/>
      <c r="FVZ354" s="514"/>
      <c r="FWA354" s="519"/>
      <c r="FWB354" s="514"/>
      <c r="FWC354" s="519"/>
      <c r="FWD354" s="514"/>
      <c r="FWE354" s="519"/>
      <c r="FWF354" s="514"/>
      <c r="FWG354" s="519"/>
      <c r="FWH354" s="514"/>
      <c r="FWI354" s="519"/>
      <c r="FWJ354" s="514"/>
      <c r="FWK354" s="519"/>
      <c r="FWL354" s="514"/>
      <c r="FWM354" s="519"/>
      <c r="FWN354" s="514"/>
      <c r="FWO354" s="519"/>
      <c r="FWP354" s="514"/>
      <c r="FWQ354" s="519"/>
      <c r="FWR354" s="514"/>
      <c r="FWS354" s="519"/>
      <c r="FWT354" s="514"/>
      <c r="FWU354" s="519"/>
      <c r="FWV354" s="514"/>
      <c r="FWW354" s="519"/>
      <c r="FWX354" s="514"/>
      <c r="FWY354" s="519"/>
      <c r="FWZ354" s="514"/>
      <c r="FXA354" s="519"/>
      <c r="FXB354" s="514"/>
      <c r="FXC354" s="519"/>
      <c r="FXD354" s="514"/>
      <c r="FXE354" s="519"/>
      <c r="FXF354" s="514"/>
      <c r="FXG354" s="519"/>
      <c r="FXH354" s="514"/>
      <c r="FXI354" s="519"/>
      <c r="FXJ354" s="514"/>
      <c r="FXK354" s="519"/>
      <c r="FXL354" s="514"/>
      <c r="FXM354" s="519"/>
      <c r="FXN354" s="514"/>
      <c r="FXO354" s="519"/>
      <c r="FXP354" s="514"/>
      <c r="FXQ354" s="519"/>
      <c r="FXR354" s="514"/>
      <c r="FXS354" s="519"/>
      <c r="FXT354" s="514"/>
      <c r="FXU354" s="519"/>
      <c r="FXV354" s="514"/>
      <c r="FXW354" s="519"/>
      <c r="FXX354" s="514"/>
      <c r="FXY354" s="519"/>
      <c r="FXZ354" s="514"/>
      <c r="FYA354" s="519"/>
      <c r="FYB354" s="514"/>
      <c r="FYC354" s="519"/>
      <c r="FYD354" s="514"/>
      <c r="FYE354" s="519"/>
      <c r="FYF354" s="514"/>
      <c r="FYG354" s="519"/>
      <c r="FYH354" s="514"/>
      <c r="FYI354" s="519"/>
      <c r="FYJ354" s="514"/>
      <c r="FYK354" s="519"/>
      <c r="FYL354" s="514"/>
      <c r="FYM354" s="519"/>
      <c r="FYN354" s="514"/>
      <c r="FYO354" s="519"/>
      <c r="FYP354" s="514"/>
      <c r="FYQ354" s="519"/>
      <c r="FYR354" s="514"/>
      <c r="FYS354" s="519"/>
      <c r="FYT354" s="514"/>
      <c r="FYU354" s="519"/>
      <c r="FYV354" s="514"/>
      <c r="FYW354" s="519"/>
      <c r="FYX354" s="514"/>
      <c r="FYY354" s="519"/>
      <c r="FYZ354" s="514"/>
      <c r="FZA354" s="519"/>
      <c r="FZB354" s="514"/>
      <c r="FZC354" s="519"/>
      <c r="FZD354" s="514"/>
      <c r="FZE354" s="519"/>
      <c r="FZF354" s="514"/>
      <c r="FZG354" s="519"/>
      <c r="FZH354" s="514"/>
      <c r="FZI354" s="519"/>
      <c r="FZJ354" s="514"/>
      <c r="FZK354" s="519"/>
      <c r="FZL354" s="514"/>
      <c r="FZM354" s="519"/>
      <c r="FZN354" s="514"/>
      <c r="FZO354" s="519"/>
      <c r="FZP354" s="514"/>
      <c r="FZQ354" s="519"/>
      <c r="FZR354" s="514"/>
      <c r="FZS354" s="519"/>
      <c r="FZT354" s="514"/>
      <c r="FZU354" s="519"/>
      <c r="FZV354" s="514"/>
      <c r="FZW354" s="519"/>
      <c r="FZX354" s="514"/>
      <c r="FZY354" s="519"/>
      <c r="FZZ354" s="514"/>
      <c r="GAA354" s="519"/>
      <c r="GAB354" s="514"/>
      <c r="GAC354" s="519"/>
      <c r="GAD354" s="514"/>
      <c r="GAE354" s="519"/>
      <c r="GAF354" s="514"/>
      <c r="GAG354" s="519"/>
      <c r="GAH354" s="514"/>
      <c r="GAI354" s="519"/>
      <c r="GAJ354" s="514"/>
      <c r="GAK354" s="519"/>
      <c r="GAL354" s="514"/>
      <c r="GAM354" s="519"/>
      <c r="GAN354" s="514"/>
      <c r="GAO354" s="519"/>
      <c r="GAP354" s="514"/>
      <c r="GAQ354" s="519"/>
      <c r="GAR354" s="514"/>
      <c r="GAS354" s="519"/>
      <c r="GAT354" s="514"/>
      <c r="GAU354" s="519"/>
      <c r="GAV354" s="514"/>
      <c r="GAW354" s="519"/>
      <c r="GAX354" s="514"/>
      <c r="GAY354" s="519"/>
      <c r="GAZ354" s="514"/>
      <c r="GBA354" s="519"/>
      <c r="GBB354" s="514"/>
      <c r="GBC354" s="519"/>
      <c r="GBD354" s="514"/>
      <c r="GBE354" s="519"/>
      <c r="GBF354" s="514"/>
      <c r="GBG354" s="519"/>
      <c r="GBH354" s="514"/>
      <c r="GBI354" s="519"/>
      <c r="GBJ354" s="514"/>
      <c r="GBK354" s="519"/>
      <c r="GBL354" s="514"/>
      <c r="GBM354" s="519"/>
      <c r="GBN354" s="514"/>
      <c r="GBO354" s="519"/>
      <c r="GBP354" s="514"/>
      <c r="GBQ354" s="519"/>
      <c r="GBR354" s="514"/>
      <c r="GBS354" s="519"/>
      <c r="GBT354" s="514"/>
      <c r="GBU354" s="519"/>
      <c r="GBV354" s="514"/>
      <c r="GBW354" s="519"/>
      <c r="GBX354" s="514"/>
      <c r="GBY354" s="519"/>
      <c r="GBZ354" s="514"/>
      <c r="GCA354" s="519"/>
      <c r="GCB354" s="514"/>
      <c r="GCC354" s="519"/>
      <c r="GCD354" s="514"/>
      <c r="GCE354" s="519"/>
      <c r="GCF354" s="514"/>
      <c r="GCG354" s="519"/>
      <c r="GCH354" s="514"/>
      <c r="GCI354" s="519"/>
      <c r="GCJ354" s="514"/>
      <c r="GCK354" s="519"/>
      <c r="GCL354" s="514"/>
      <c r="GCM354" s="519"/>
      <c r="GCN354" s="514"/>
      <c r="GCO354" s="519"/>
      <c r="GCP354" s="514"/>
      <c r="GCQ354" s="519"/>
      <c r="GCR354" s="514"/>
      <c r="GCS354" s="519"/>
      <c r="GCT354" s="514"/>
      <c r="GCU354" s="519"/>
      <c r="GCV354" s="514"/>
      <c r="GCW354" s="519"/>
      <c r="GCX354" s="514"/>
      <c r="GCY354" s="519"/>
      <c r="GCZ354" s="514"/>
      <c r="GDA354" s="519"/>
      <c r="GDB354" s="514"/>
      <c r="GDC354" s="519"/>
      <c r="GDD354" s="514"/>
      <c r="GDE354" s="519"/>
      <c r="GDF354" s="514"/>
      <c r="GDG354" s="519"/>
      <c r="GDH354" s="514"/>
      <c r="GDI354" s="519"/>
      <c r="GDJ354" s="514"/>
      <c r="GDK354" s="519"/>
      <c r="GDL354" s="514"/>
      <c r="GDM354" s="519"/>
      <c r="GDN354" s="514"/>
      <c r="GDO354" s="519"/>
      <c r="GDP354" s="514"/>
      <c r="GDQ354" s="519"/>
      <c r="GDR354" s="514"/>
      <c r="GDS354" s="519"/>
      <c r="GDT354" s="514"/>
      <c r="GDU354" s="519"/>
      <c r="GDV354" s="514"/>
      <c r="GDW354" s="519"/>
      <c r="GDX354" s="514"/>
      <c r="GDY354" s="519"/>
      <c r="GDZ354" s="514"/>
      <c r="GEA354" s="519"/>
      <c r="GEB354" s="514"/>
      <c r="GEC354" s="519"/>
      <c r="GED354" s="514"/>
      <c r="GEE354" s="519"/>
      <c r="GEF354" s="514"/>
      <c r="GEG354" s="519"/>
      <c r="GEH354" s="514"/>
      <c r="GEI354" s="519"/>
      <c r="GEJ354" s="514"/>
      <c r="GEK354" s="519"/>
      <c r="GEL354" s="514"/>
      <c r="GEM354" s="519"/>
      <c r="GEN354" s="514"/>
      <c r="GEO354" s="519"/>
      <c r="GEP354" s="514"/>
      <c r="GEQ354" s="519"/>
      <c r="GER354" s="514"/>
      <c r="GES354" s="519"/>
      <c r="GET354" s="514"/>
      <c r="GEU354" s="519"/>
      <c r="GEV354" s="514"/>
      <c r="GEW354" s="519"/>
      <c r="GEX354" s="514"/>
      <c r="GEY354" s="519"/>
      <c r="GEZ354" s="514"/>
      <c r="GFA354" s="519"/>
      <c r="GFB354" s="514"/>
      <c r="GFC354" s="519"/>
      <c r="GFD354" s="514"/>
      <c r="GFE354" s="519"/>
      <c r="GFF354" s="514"/>
      <c r="GFG354" s="519"/>
      <c r="GFH354" s="514"/>
      <c r="GFI354" s="519"/>
      <c r="GFJ354" s="514"/>
      <c r="GFK354" s="519"/>
      <c r="GFL354" s="514"/>
      <c r="GFM354" s="519"/>
      <c r="GFN354" s="514"/>
      <c r="GFO354" s="519"/>
      <c r="GFP354" s="514"/>
      <c r="GFQ354" s="519"/>
      <c r="GFR354" s="514"/>
      <c r="GFS354" s="519"/>
      <c r="GFT354" s="514"/>
      <c r="GFU354" s="519"/>
      <c r="GFV354" s="514"/>
      <c r="GFW354" s="519"/>
      <c r="GFX354" s="514"/>
      <c r="GFY354" s="519"/>
      <c r="GFZ354" s="514"/>
      <c r="GGA354" s="519"/>
      <c r="GGB354" s="514"/>
      <c r="GGC354" s="519"/>
      <c r="GGD354" s="514"/>
      <c r="GGE354" s="519"/>
      <c r="GGF354" s="514"/>
      <c r="GGG354" s="519"/>
      <c r="GGH354" s="514"/>
      <c r="GGI354" s="519"/>
      <c r="GGJ354" s="514"/>
      <c r="GGK354" s="519"/>
      <c r="GGL354" s="514"/>
      <c r="GGM354" s="519"/>
      <c r="GGN354" s="514"/>
      <c r="GGO354" s="519"/>
      <c r="GGP354" s="514"/>
      <c r="GGQ354" s="519"/>
      <c r="GGR354" s="514"/>
      <c r="GGS354" s="519"/>
      <c r="GGT354" s="514"/>
      <c r="GGU354" s="519"/>
      <c r="GGV354" s="514"/>
      <c r="GGW354" s="519"/>
      <c r="GGX354" s="514"/>
      <c r="GGY354" s="519"/>
      <c r="GGZ354" s="514"/>
      <c r="GHA354" s="519"/>
      <c r="GHB354" s="514"/>
      <c r="GHC354" s="519"/>
      <c r="GHD354" s="514"/>
      <c r="GHE354" s="519"/>
      <c r="GHF354" s="514"/>
      <c r="GHG354" s="519"/>
      <c r="GHH354" s="514"/>
      <c r="GHI354" s="519"/>
      <c r="GHJ354" s="514"/>
      <c r="GHK354" s="519"/>
      <c r="GHL354" s="514"/>
      <c r="GHM354" s="519"/>
      <c r="GHN354" s="514"/>
      <c r="GHO354" s="519"/>
      <c r="GHP354" s="514"/>
      <c r="GHQ354" s="519"/>
      <c r="GHR354" s="514"/>
      <c r="GHS354" s="519"/>
      <c r="GHT354" s="514"/>
      <c r="GHU354" s="519"/>
      <c r="GHV354" s="514"/>
      <c r="GHW354" s="519"/>
      <c r="GHX354" s="514"/>
      <c r="GHY354" s="519"/>
      <c r="GHZ354" s="514"/>
      <c r="GIA354" s="519"/>
      <c r="GIB354" s="514"/>
      <c r="GIC354" s="519"/>
      <c r="GID354" s="514"/>
      <c r="GIE354" s="519"/>
      <c r="GIF354" s="514"/>
      <c r="GIG354" s="519"/>
      <c r="GIH354" s="514"/>
      <c r="GII354" s="519"/>
      <c r="GIJ354" s="514"/>
      <c r="GIK354" s="519"/>
      <c r="GIL354" s="514"/>
      <c r="GIM354" s="519"/>
      <c r="GIN354" s="514"/>
      <c r="GIO354" s="519"/>
      <c r="GIP354" s="514"/>
      <c r="GIQ354" s="519"/>
      <c r="GIR354" s="514"/>
      <c r="GIS354" s="519"/>
      <c r="GIT354" s="514"/>
      <c r="GIU354" s="519"/>
      <c r="GIV354" s="514"/>
      <c r="GIW354" s="519"/>
      <c r="GIX354" s="514"/>
      <c r="GIY354" s="519"/>
      <c r="GIZ354" s="514"/>
      <c r="GJA354" s="519"/>
      <c r="GJB354" s="514"/>
      <c r="GJC354" s="519"/>
      <c r="GJD354" s="514"/>
      <c r="GJE354" s="519"/>
      <c r="GJF354" s="514"/>
      <c r="GJG354" s="519"/>
      <c r="GJH354" s="514"/>
      <c r="GJI354" s="519"/>
      <c r="GJJ354" s="514"/>
      <c r="GJK354" s="519"/>
      <c r="GJL354" s="514"/>
      <c r="GJM354" s="519"/>
      <c r="GJN354" s="514"/>
      <c r="GJO354" s="519"/>
      <c r="GJP354" s="514"/>
      <c r="GJQ354" s="519"/>
      <c r="GJR354" s="514"/>
      <c r="GJS354" s="519"/>
      <c r="GJT354" s="514"/>
      <c r="GJU354" s="519"/>
      <c r="GJV354" s="514"/>
      <c r="GJW354" s="519"/>
      <c r="GJX354" s="514"/>
      <c r="GJY354" s="519"/>
      <c r="GJZ354" s="514"/>
      <c r="GKA354" s="519"/>
      <c r="GKB354" s="514"/>
      <c r="GKC354" s="519"/>
      <c r="GKD354" s="514"/>
      <c r="GKE354" s="519"/>
      <c r="GKF354" s="514"/>
      <c r="GKG354" s="519"/>
      <c r="GKH354" s="514"/>
      <c r="GKI354" s="519"/>
      <c r="GKJ354" s="514"/>
      <c r="GKK354" s="519"/>
      <c r="GKL354" s="514"/>
      <c r="GKM354" s="519"/>
      <c r="GKN354" s="514"/>
      <c r="GKO354" s="519"/>
      <c r="GKP354" s="514"/>
      <c r="GKQ354" s="519"/>
      <c r="GKR354" s="514"/>
      <c r="GKS354" s="519"/>
      <c r="GKT354" s="514"/>
      <c r="GKU354" s="519"/>
      <c r="GKV354" s="514"/>
      <c r="GKW354" s="519"/>
      <c r="GKX354" s="514"/>
      <c r="GKY354" s="519"/>
      <c r="GKZ354" s="514"/>
      <c r="GLA354" s="519"/>
      <c r="GLB354" s="514"/>
      <c r="GLC354" s="519"/>
      <c r="GLD354" s="514"/>
      <c r="GLE354" s="519"/>
      <c r="GLF354" s="514"/>
      <c r="GLG354" s="519"/>
      <c r="GLH354" s="514"/>
      <c r="GLI354" s="519"/>
      <c r="GLJ354" s="514"/>
      <c r="GLK354" s="519"/>
      <c r="GLL354" s="514"/>
      <c r="GLM354" s="519"/>
      <c r="GLN354" s="514"/>
      <c r="GLO354" s="519"/>
      <c r="GLP354" s="514"/>
      <c r="GLQ354" s="519"/>
      <c r="GLR354" s="514"/>
      <c r="GLS354" s="519"/>
      <c r="GLT354" s="514"/>
      <c r="GLU354" s="519"/>
      <c r="GLV354" s="514"/>
      <c r="GLW354" s="519"/>
      <c r="GLX354" s="514"/>
      <c r="GLY354" s="519"/>
      <c r="GLZ354" s="514"/>
      <c r="GMA354" s="519"/>
      <c r="GMB354" s="514"/>
      <c r="GMC354" s="519"/>
      <c r="GMD354" s="514"/>
      <c r="GME354" s="519"/>
      <c r="GMF354" s="514"/>
      <c r="GMG354" s="519"/>
      <c r="GMH354" s="514"/>
      <c r="GMI354" s="519"/>
      <c r="GMJ354" s="514"/>
      <c r="GMK354" s="519"/>
      <c r="GML354" s="514"/>
      <c r="GMM354" s="519"/>
      <c r="GMN354" s="514"/>
      <c r="GMO354" s="519"/>
      <c r="GMP354" s="514"/>
      <c r="GMQ354" s="519"/>
      <c r="GMR354" s="514"/>
      <c r="GMS354" s="519"/>
      <c r="GMT354" s="514"/>
      <c r="GMU354" s="519"/>
      <c r="GMV354" s="514"/>
      <c r="GMW354" s="519"/>
      <c r="GMX354" s="514"/>
      <c r="GMY354" s="519"/>
      <c r="GMZ354" s="514"/>
      <c r="GNA354" s="519"/>
      <c r="GNB354" s="514"/>
      <c r="GNC354" s="519"/>
      <c r="GND354" s="514"/>
      <c r="GNE354" s="519"/>
      <c r="GNF354" s="514"/>
      <c r="GNG354" s="519"/>
      <c r="GNH354" s="514"/>
      <c r="GNI354" s="519"/>
      <c r="GNJ354" s="514"/>
      <c r="GNK354" s="519"/>
      <c r="GNL354" s="514"/>
      <c r="GNM354" s="519"/>
      <c r="GNN354" s="514"/>
      <c r="GNO354" s="519"/>
      <c r="GNP354" s="514"/>
      <c r="GNQ354" s="519"/>
      <c r="GNR354" s="514"/>
      <c r="GNS354" s="519"/>
      <c r="GNT354" s="514"/>
      <c r="GNU354" s="519"/>
      <c r="GNV354" s="514"/>
      <c r="GNW354" s="519"/>
      <c r="GNX354" s="514"/>
      <c r="GNY354" s="519"/>
      <c r="GNZ354" s="514"/>
      <c r="GOA354" s="519"/>
      <c r="GOB354" s="514"/>
      <c r="GOC354" s="519"/>
      <c r="GOD354" s="514"/>
      <c r="GOE354" s="519"/>
      <c r="GOF354" s="514"/>
      <c r="GOG354" s="519"/>
      <c r="GOH354" s="514"/>
      <c r="GOI354" s="519"/>
      <c r="GOJ354" s="514"/>
      <c r="GOK354" s="519"/>
      <c r="GOL354" s="514"/>
      <c r="GOM354" s="519"/>
      <c r="GON354" s="514"/>
      <c r="GOO354" s="519"/>
      <c r="GOP354" s="514"/>
      <c r="GOQ354" s="519"/>
      <c r="GOR354" s="514"/>
      <c r="GOS354" s="519"/>
      <c r="GOT354" s="514"/>
      <c r="GOU354" s="519"/>
      <c r="GOV354" s="514"/>
      <c r="GOW354" s="519"/>
      <c r="GOX354" s="514"/>
      <c r="GOY354" s="519"/>
      <c r="GOZ354" s="514"/>
      <c r="GPA354" s="519"/>
      <c r="GPB354" s="514"/>
      <c r="GPC354" s="519"/>
      <c r="GPD354" s="514"/>
      <c r="GPE354" s="519"/>
      <c r="GPF354" s="514"/>
      <c r="GPG354" s="519"/>
      <c r="GPH354" s="514"/>
      <c r="GPI354" s="519"/>
      <c r="GPJ354" s="514"/>
      <c r="GPK354" s="519"/>
      <c r="GPL354" s="514"/>
      <c r="GPM354" s="519"/>
      <c r="GPN354" s="514"/>
      <c r="GPO354" s="519"/>
      <c r="GPP354" s="514"/>
      <c r="GPQ354" s="519"/>
      <c r="GPR354" s="514"/>
      <c r="GPS354" s="519"/>
      <c r="GPT354" s="514"/>
      <c r="GPU354" s="519"/>
      <c r="GPV354" s="514"/>
      <c r="GPW354" s="519"/>
      <c r="GPX354" s="514"/>
      <c r="GPY354" s="519"/>
      <c r="GPZ354" s="514"/>
      <c r="GQA354" s="519"/>
      <c r="GQB354" s="514"/>
      <c r="GQC354" s="519"/>
      <c r="GQD354" s="514"/>
      <c r="GQE354" s="519"/>
      <c r="GQF354" s="514"/>
      <c r="GQG354" s="519"/>
      <c r="GQH354" s="514"/>
      <c r="GQI354" s="519"/>
      <c r="GQJ354" s="514"/>
      <c r="GQK354" s="519"/>
      <c r="GQL354" s="514"/>
      <c r="GQM354" s="519"/>
      <c r="GQN354" s="514"/>
      <c r="GQO354" s="519"/>
      <c r="GQP354" s="514"/>
      <c r="GQQ354" s="519"/>
      <c r="GQR354" s="514"/>
      <c r="GQS354" s="519"/>
      <c r="GQT354" s="514"/>
      <c r="GQU354" s="519"/>
      <c r="GQV354" s="514"/>
      <c r="GQW354" s="519"/>
      <c r="GQX354" s="514"/>
      <c r="GQY354" s="519"/>
      <c r="GQZ354" s="514"/>
      <c r="GRA354" s="519"/>
      <c r="GRB354" s="514"/>
      <c r="GRC354" s="519"/>
      <c r="GRD354" s="514"/>
      <c r="GRE354" s="519"/>
      <c r="GRF354" s="514"/>
      <c r="GRG354" s="519"/>
      <c r="GRH354" s="514"/>
      <c r="GRI354" s="519"/>
      <c r="GRJ354" s="514"/>
      <c r="GRK354" s="519"/>
      <c r="GRL354" s="514"/>
      <c r="GRM354" s="519"/>
      <c r="GRN354" s="514"/>
      <c r="GRO354" s="519"/>
      <c r="GRP354" s="514"/>
      <c r="GRQ354" s="519"/>
      <c r="GRR354" s="514"/>
      <c r="GRS354" s="519"/>
      <c r="GRT354" s="514"/>
      <c r="GRU354" s="519"/>
      <c r="GRV354" s="514"/>
      <c r="GRW354" s="519"/>
      <c r="GRX354" s="514"/>
      <c r="GRY354" s="519"/>
      <c r="GRZ354" s="514"/>
      <c r="GSA354" s="519"/>
      <c r="GSB354" s="514"/>
      <c r="GSC354" s="519"/>
      <c r="GSD354" s="514"/>
      <c r="GSE354" s="519"/>
      <c r="GSF354" s="514"/>
      <c r="GSG354" s="519"/>
      <c r="GSH354" s="514"/>
      <c r="GSI354" s="519"/>
      <c r="GSJ354" s="514"/>
      <c r="GSK354" s="519"/>
      <c r="GSL354" s="514"/>
      <c r="GSM354" s="519"/>
      <c r="GSN354" s="514"/>
      <c r="GSO354" s="519"/>
      <c r="GSP354" s="514"/>
      <c r="GSQ354" s="519"/>
      <c r="GSR354" s="514"/>
      <c r="GSS354" s="519"/>
      <c r="GST354" s="514"/>
      <c r="GSU354" s="519"/>
      <c r="GSV354" s="514"/>
      <c r="GSW354" s="519"/>
      <c r="GSX354" s="514"/>
      <c r="GSY354" s="519"/>
      <c r="GSZ354" s="514"/>
      <c r="GTA354" s="519"/>
      <c r="GTB354" s="514"/>
      <c r="GTC354" s="519"/>
      <c r="GTD354" s="514"/>
      <c r="GTE354" s="519"/>
      <c r="GTF354" s="514"/>
      <c r="GTG354" s="519"/>
      <c r="GTH354" s="514"/>
      <c r="GTI354" s="519"/>
      <c r="GTJ354" s="514"/>
      <c r="GTK354" s="519"/>
      <c r="GTL354" s="514"/>
      <c r="GTM354" s="519"/>
      <c r="GTN354" s="514"/>
      <c r="GTO354" s="519"/>
      <c r="GTP354" s="514"/>
      <c r="GTQ354" s="519"/>
      <c r="GTR354" s="514"/>
      <c r="GTS354" s="519"/>
      <c r="GTT354" s="514"/>
      <c r="GTU354" s="519"/>
      <c r="GTV354" s="514"/>
      <c r="GTW354" s="519"/>
      <c r="GTX354" s="514"/>
      <c r="GTY354" s="519"/>
      <c r="GTZ354" s="514"/>
      <c r="GUA354" s="519"/>
      <c r="GUB354" s="514"/>
      <c r="GUC354" s="519"/>
      <c r="GUD354" s="514"/>
      <c r="GUE354" s="519"/>
      <c r="GUF354" s="514"/>
      <c r="GUG354" s="519"/>
      <c r="GUH354" s="514"/>
      <c r="GUI354" s="519"/>
      <c r="GUJ354" s="514"/>
      <c r="GUK354" s="519"/>
      <c r="GUL354" s="514"/>
      <c r="GUM354" s="519"/>
      <c r="GUN354" s="514"/>
      <c r="GUO354" s="519"/>
      <c r="GUP354" s="514"/>
      <c r="GUQ354" s="519"/>
      <c r="GUR354" s="514"/>
      <c r="GUS354" s="519"/>
      <c r="GUT354" s="514"/>
      <c r="GUU354" s="519"/>
      <c r="GUV354" s="514"/>
      <c r="GUW354" s="519"/>
      <c r="GUX354" s="514"/>
      <c r="GUY354" s="519"/>
      <c r="GUZ354" s="514"/>
      <c r="GVA354" s="519"/>
      <c r="GVB354" s="514"/>
      <c r="GVC354" s="519"/>
      <c r="GVD354" s="514"/>
      <c r="GVE354" s="519"/>
      <c r="GVF354" s="514"/>
      <c r="GVG354" s="519"/>
      <c r="GVH354" s="514"/>
      <c r="GVI354" s="519"/>
      <c r="GVJ354" s="514"/>
      <c r="GVK354" s="519"/>
      <c r="GVL354" s="514"/>
      <c r="GVM354" s="519"/>
      <c r="GVN354" s="514"/>
      <c r="GVO354" s="519"/>
      <c r="GVP354" s="514"/>
      <c r="GVQ354" s="519"/>
      <c r="GVR354" s="514"/>
      <c r="GVS354" s="519"/>
      <c r="GVT354" s="514"/>
      <c r="GVU354" s="519"/>
      <c r="GVV354" s="514"/>
      <c r="GVW354" s="519"/>
      <c r="GVX354" s="514"/>
      <c r="GVY354" s="519"/>
      <c r="GVZ354" s="514"/>
      <c r="GWA354" s="519"/>
      <c r="GWB354" s="514"/>
      <c r="GWC354" s="519"/>
      <c r="GWD354" s="514"/>
      <c r="GWE354" s="519"/>
      <c r="GWF354" s="514"/>
      <c r="GWG354" s="519"/>
      <c r="GWH354" s="514"/>
      <c r="GWI354" s="519"/>
      <c r="GWJ354" s="514"/>
      <c r="GWK354" s="519"/>
      <c r="GWL354" s="514"/>
      <c r="GWM354" s="519"/>
      <c r="GWN354" s="514"/>
      <c r="GWO354" s="519"/>
      <c r="GWP354" s="514"/>
      <c r="GWQ354" s="519"/>
      <c r="GWR354" s="514"/>
      <c r="GWS354" s="519"/>
      <c r="GWT354" s="514"/>
      <c r="GWU354" s="519"/>
      <c r="GWV354" s="514"/>
      <c r="GWW354" s="519"/>
      <c r="GWX354" s="514"/>
      <c r="GWY354" s="519"/>
      <c r="GWZ354" s="514"/>
      <c r="GXA354" s="519"/>
      <c r="GXB354" s="514"/>
      <c r="GXC354" s="519"/>
      <c r="GXD354" s="514"/>
      <c r="GXE354" s="519"/>
      <c r="GXF354" s="514"/>
      <c r="GXG354" s="519"/>
      <c r="GXH354" s="514"/>
      <c r="GXI354" s="519"/>
      <c r="GXJ354" s="514"/>
      <c r="GXK354" s="519"/>
      <c r="GXL354" s="514"/>
      <c r="GXM354" s="519"/>
      <c r="GXN354" s="514"/>
      <c r="GXO354" s="519"/>
      <c r="GXP354" s="514"/>
      <c r="GXQ354" s="519"/>
      <c r="GXR354" s="514"/>
      <c r="GXS354" s="519"/>
      <c r="GXT354" s="514"/>
      <c r="GXU354" s="519"/>
      <c r="GXV354" s="514"/>
      <c r="GXW354" s="519"/>
      <c r="GXX354" s="514"/>
      <c r="GXY354" s="519"/>
      <c r="GXZ354" s="514"/>
      <c r="GYA354" s="519"/>
      <c r="GYB354" s="514"/>
      <c r="GYC354" s="519"/>
      <c r="GYD354" s="514"/>
      <c r="GYE354" s="519"/>
      <c r="GYF354" s="514"/>
      <c r="GYG354" s="519"/>
      <c r="GYH354" s="514"/>
      <c r="GYI354" s="519"/>
      <c r="GYJ354" s="514"/>
      <c r="GYK354" s="519"/>
      <c r="GYL354" s="514"/>
      <c r="GYM354" s="519"/>
      <c r="GYN354" s="514"/>
      <c r="GYO354" s="519"/>
      <c r="GYP354" s="514"/>
      <c r="GYQ354" s="519"/>
      <c r="GYR354" s="514"/>
      <c r="GYS354" s="519"/>
      <c r="GYT354" s="514"/>
      <c r="GYU354" s="519"/>
      <c r="GYV354" s="514"/>
      <c r="GYW354" s="519"/>
      <c r="GYX354" s="514"/>
      <c r="GYY354" s="519"/>
      <c r="GYZ354" s="514"/>
      <c r="GZA354" s="519"/>
      <c r="GZB354" s="514"/>
      <c r="GZC354" s="519"/>
      <c r="GZD354" s="514"/>
      <c r="GZE354" s="519"/>
      <c r="GZF354" s="514"/>
      <c r="GZG354" s="519"/>
      <c r="GZH354" s="514"/>
      <c r="GZI354" s="519"/>
      <c r="GZJ354" s="514"/>
      <c r="GZK354" s="519"/>
      <c r="GZL354" s="514"/>
      <c r="GZM354" s="519"/>
      <c r="GZN354" s="514"/>
      <c r="GZO354" s="519"/>
      <c r="GZP354" s="514"/>
      <c r="GZQ354" s="519"/>
      <c r="GZR354" s="514"/>
      <c r="GZS354" s="519"/>
      <c r="GZT354" s="514"/>
      <c r="GZU354" s="519"/>
      <c r="GZV354" s="514"/>
      <c r="GZW354" s="519"/>
      <c r="GZX354" s="514"/>
      <c r="GZY354" s="519"/>
      <c r="GZZ354" s="514"/>
      <c r="HAA354" s="519"/>
      <c r="HAB354" s="514"/>
      <c r="HAC354" s="519"/>
      <c r="HAD354" s="514"/>
      <c r="HAE354" s="519"/>
      <c r="HAF354" s="514"/>
      <c r="HAG354" s="519"/>
      <c r="HAH354" s="514"/>
      <c r="HAI354" s="519"/>
      <c r="HAJ354" s="514"/>
      <c r="HAK354" s="519"/>
      <c r="HAL354" s="514"/>
      <c r="HAM354" s="519"/>
      <c r="HAN354" s="514"/>
      <c r="HAO354" s="519"/>
      <c r="HAP354" s="514"/>
      <c r="HAQ354" s="519"/>
      <c r="HAR354" s="514"/>
      <c r="HAS354" s="519"/>
      <c r="HAT354" s="514"/>
      <c r="HAU354" s="519"/>
      <c r="HAV354" s="514"/>
      <c r="HAW354" s="519"/>
      <c r="HAX354" s="514"/>
      <c r="HAY354" s="519"/>
      <c r="HAZ354" s="514"/>
      <c r="HBA354" s="519"/>
      <c r="HBB354" s="514"/>
      <c r="HBC354" s="519"/>
      <c r="HBD354" s="514"/>
      <c r="HBE354" s="519"/>
      <c r="HBF354" s="514"/>
      <c r="HBG354" s="519"/>
      <c r="HBH354" s="514"/>
      <c r="HBI354" s="519"/>
      <c r="HBJ354" s="514"/>
      <c r="HBK354" s="519"/>
      <c r="HBL354" s="514"/>
      <c r="HBM354" s="519"/>
      <c r="HBN354" s="514"/>
      <c r="HBO354" s="519"/>
      <c r="HBP354" s="514"/>
      <c r="HBQ354" s="519"/>
      <c r="HBR354" s="514"/>
      <c r="HBS354" s="519"/>
      <c r="HBT354" s="514"/>
      <c r="HBU354" s="519"/>
      <c r="HBV354" s="514"/>
      <c r="HBW354" s="519"/>
      <c r="HBX354" s="514"/>
      <c r="HBY354" s="519"/>
      <c r="HBZ354" s="514"/>
      <c r="HCA354" s="519"/>
      <c r="HCB354" s="514"/>
      <c r="HCC354" s="519"/>
      <c r="HCD354" s="514"/>
      <c r="HCE354" s="519"/>
      <c r="HCF354" s="514"/>
      <c r="HCG354" s="519"/>
      <c r="HCH354" s="514"/>
      <c r="HCI354" s="519"/>
      <c r="HCJ354" s="514"/>
      <c r="HCK354" s="519"/>
      <c r="HCL354" s="514"/>
      <c r="HCM354" s="519"/>
      <c r="HCN354" s="514"/>
      <c r="HCO354" s="519"/>
      <c r="HCP354" s="514"/>
      <c r="HCQ354" s="519"/>
      <c r="HCR354" s="514"/>
      <c r="HCS354" s="519"/>
      <c r="HCT354" s="514"/>
      <c r="HCU354" s="519"/>
      <c r="HCV354" s="514"/>
      <c r="HCW354" s="519"/>
      <c r="HCX354" s="514"/>
      <c r="HCY354" s="519"/>
      <c r="HCZ354" s="514"/>
      <c r="HDA354" s="519"/>
      <c r="HDB354" s="514"/>
      <c r="HDC354" s="519"/>
      <c r="HDD354" s="514"/>
      <c r="HDE354" s="519"/>
      <c r="HDF354" s="514"/>
      <c r="HDG354" s="519"/>
      <c r="HDH354" s="514"/>
      <c r="HDI354" s="519"/>
      <c r="HDJ354" s="514"/>
      <c r="HDK354" s="519"/>
      <c r="HDL354" s="514"/>
      <c r="HDM354" s="519"/>
      <c r="HDN354" s="514"/>
      <c r="HDO354" s="519"/>
      <c r="HDP354" s="514"/>
      <c r="HDQ354" s="519"/>
      <c r="HDR354" s="514"/>
      <c r="HDS354" s="519"/>
      <c r="HDT354" s="514"/>
      <c r="HDU354" s="519"/>
      <c r="HDV354" s="514"/>
      <c r="HDW354" s="519"/>
      <c r="HDX354" s="514"/>
      <c r="HDY354" s="519"/>
      <c r="HDZ354" s="514"/>
      <c r="HEA354" s="519"/>
      <c r="HEB354" s="514"/>
      <c r="HEC354" s="519"/>
      <c r="HED354" s="514"/>
      <c r="HEE354" s="519"/>
      <c r="HEF354" s="514"/>
      <c r="HEG354" s="519"/>
      <c r="HEH354" s="514"/>
      <c r="HEI354" s="519"/>
      <c r="HEJ354" s="514"/>
      <c r="HEK354" s="519"/>
      <c r="HEL354" s="514"/>
      <c r="HEM354" s="519"/>
      <c r="HEN354" s="514"/>
      <c r="HEO354" s="519"/>
      <c r="HEP354" s="514"/>
      <c r="HEQ354" s="519"/>
      <c r="HER354" s="514"/>
      <c r="HES354" s="519"/>
      <c r="HET354" s="514"/>
      <c r="HEU354" s="519"/>
      <c r="HEV354" s="514"/>
      <c r="HEW354" s="519"/>
      <c r="HEX354" s="514"/>
      <c r="HEY354" s="519"/>
      <c r="HEZ354" s="514"/>
      <c r="HFA354" s="519"/>
      <c r="HFB354" s="514"/>
      <c r="HFC354" s="519"/>
      <c r="HFD354" s="514"/>
      <c r="HFE354" s="519"/>
      <c r="HFF354" s="514"/>
      <c r="HFG354" s="519"/>
      <c r="HFH354" s="514"/>
      <c r="HFI354" s="519"/>
      <c r="HFJ354" s="514"/>
      <c r="HFK354" s="519"/>
      <c r="HFL354" s="514"/>
      <c r="HFM354" s="519"/>
      <c r="HFN354" s="514"/>
      <c r="HFO354" s="519"/>
      <c r="HFP354" s="514"/>
      <c r="HFQ354" s="519"/>
      <c r="HFR354" s="514"/>
      <c r="HFS354" s="519"/>
      <c r="HFT354" s="514"/>
      <c r="HFU354" s="519"/>
      <c r="HFV354" s="514"/>
      <c r="HFW354" s="519"/>
      <c r="HFX354" s="514"/>
      <c r="HFY354" s="519"/>
      <c r="HFZ354" s="514"/>
      <c r="HGA354" s="519"/>
      <c r="HGB354" s="514"/>
      <c r="HGC354" s="519"/>
      <c r="HGD354" s="514"/>
      <c r="HGE354" s="519"/>
      <c r="HGF354" s="514"/>
      <c r="HGG354" s="519"/>
      <c r="HGH354" s="514"/>
      <c r="HGI354" s="519"/>
      <c r="HGJ354" s="514"/>
      <c r="HGK354" s="519"/>
      <c r="HGL354" s="514"/>
      <c r="HGM354" s="519"/>
      <c r="HGN354" s="514"/>
      <c r="HGO354" s="519"/>
      <c r="HGP354" s="514"/>
      <c r="HGQ354" s="519"/>
      <c r="HGR354" s="514"/>
      <c r="HGS354" s="519"/>
      <c r="HGT354" s="514"/>
      <c r="HGU354" s="519"/>
      <c r="HGV354" s="514"/>
      <c r="HGW354" s="519"/>
      <c r="HGX354" s="514"/>
      <c r="HGY354" s="519"/>
      <c r="HGZ354" s="514"/>
      <c r="HHA354" s="519"/>
      <c r="HHB354" s="514"/>
      <c r="HHC354" s="519"/>
      <c r="HHD354" s="514"/>
      <c r="HHE354" s="519"/>
      <c r="HHF354" s="514"/>
      <c r="HHG354" s="519"/>
      <c r="HHH354" s="514"/>
      <c r="HHI354" s="519"/>
      <c r="HHJ354" s="514"/>
      <c r="HHK354" s="519"/>
      <c r="HHL354" s="514"/>
      <c r="HHM354" s="519"/>
      <c r="HHN354" s="514"/>
      <c r="HHO354" s="519"/>
      <c r="HHP354" s="514"/>
      <c r="HHQ354" s="519"/>
      <c r="HHR354" s="514"/>
      <c r="HHS354" s="519"/>
      <c r="HHT354" s="514"/>
      <c r="HHU354" s="519"/>
      <c r="HHV354" s="514"/>
      <c r="HHW354" s="519"/>
      <c r="HHX354" s="514"/>
      <c r="HHY354" s="519"/>
      <c r="HHZ354" s="514"/>
      <c r="HIA354" s="519"/>
      <c r="HIB354" s="514"/>
      <c r="HIC354" s="519"/>
      <c r="HID354" s="514"/>
      <c r="HIE354" s="519"/>
      <c r="HIF354" s="514"/>
      <c r="HIG354" s="519"/>
      <c r="HIH354" s="514"/>
      <c r="HII354" s="519"/>
      <c r="HIJ354" s="514"/>
      <c r="HIK354" s="519"/>
      <c r="HIL354" s="514"/>
      <c r="HIM354" s="519"/>
      <c r="HIN354" s="514"/>
      <c r="HIO354" s="519"/>
      <c r="HIP354" s="514"/>
      <c r="HIQ354" s="519"/>
      <c r="HIR354" s="514"/>
      <c r="HIS354" s="519"/>
      <c r="HIT354" s="514"/>
      <c r="HIU354" s="519"/>
      <c r="HIV354" s="514"/>
      <c r="HIW354" s="519"/>
      <c r="HIX354" s="514"/>
      <c r="HIY354" s="519"/>
      <c r="HIZ354" s="514"/>
      <c r="HJA354" s="519"/>
      <c r="HJB354" s="514"/>
      <c r="HJC354" s="519"/>
      <c r="HJD354" s="514"/>
      <c r="HJE354" s="519"/>
      <c r="HJF354" s="514"/>
      <c r="HJG354" s="519"/>
      <c r="HJH354" s="514"/>
      <c r="HJI354" s="519"/>
      <c r="HJJ354" s="514"/>
      <c r="HJK354" s="519"/>
      <c r="HJL354" s="514"/>
      <c r="HJM354" s="519"/>
      <c r="HJN354" s="514"/>
      <c r="HJO354" s="519"/>
      <c r="HJP354" s="514"/>
      <c r="HJQ354" s="519"/>
      <c r="HJR354" s="514"/>
      <c r="HJS354" s="519"/>
      <c r="HJT354" s="514"/>
      <c r="HJU354" s="519"/>
      <c r="HJV354" s="514"/>
      <c r="HJW354" s="519"/>
      <c r="HJX354" s="514"/>
      <c r="HJY354" s="519"/>
      <c r="HJZ354" s="514"/>
      <c r="HKA354" s="519"/>
      <c r="HKB354" s="514"/>
      <c r="HKC354" s="519"/>
      <c r="HKD354" s="514"/>
      <c r="HKE354" s="519"/>
      <c r="HKF354" s="514"/>
      <c r="HKG354" s="519"/>
      <c r="HKH354" s="514"/>
      <c r="HKI354" s="519"/>
      <c r="HKJ354" s="514"/>
      <c r="HKK354" s="519"/>
      <c r="HKL354" s="514"/>
      <c r="HKM354" s="519"/>
      <c r="HKN354" s="514"/>
      <c r="HKO354" s="519"/>
      <c r="HKP354" s="514"/>
      <c r="HKQ354" s="519"/>
      <c r="HKR354" s="514"/>
      <c r="HKS354" s="519"/>
      <c r="HKT354" s="514"/>
      <c r="HKU354" s="519"/>
      <c r="HKV354" s="514"/>
      <c r="HKW354" s="519"/>
      <c r="HKX354" s="514"/>
      <c r="HKY354" s="519"/>
      <c r="HKZ354" s="514"/>
      <c r="HLA354" s="519"/>
      <c r="HLB354" s="514"/>
      <c r="HLC354" s="519"/>
      <c r="HLD354" s="514"/>
      <c r="HLE354" s="519"/>
      <c r="HLF354" s="514"/>
      <c r="HLG354" s="519"/>
      <c r="HLH354" s="514"/>
      <c r="HLI354" s="519"/>
      <c r="HLJ354" s="514"/>
      <c r="HLK354" s="519"/>
      <c r="HLL354" s="514"/>
      <c r="HLM354" s="519"/>
      <c r="HLN354" s="514"/>
      <c r="HLO354" s="519"/>
      <c r="HLP354" s="514"/>
      <c r="HLQ354" s="519"/>
      <c r="HLR354" s="514"/>
      <c r="HLS354" s="519"/>
      <c r="HLT354" s="514"/>
      <c r="HLU354" s="519"/>
      <c r="HLV354" s="514"/>
      <c r="HLW354" s="519"/>
      <c r="HLX354" s="514"/>
      <c r="HLY354" s="519"/>
      <c r="HLZ354" s="514"/>
      <c r="HMA354" s="519"/>
      <c r="HMB354" s="514"/>
      <c r="HMC354" s="519"/>
      <c r="HMD354" s="514"/>
      <c r="HME354" s="519"/>
      <c r="HMF354" s="514"/>
      <c r="HMG354" s="519"/>
      <c r="HMH354" s="514"/>
      <c r="HMI354" s="519"/>
      <c r="HMJ354" s="514"/>
      <c r="HMK354" s="519"/>
      <c r="HML354" s="514"/>
      <c r="HMM354" s="519"/>
      <c r="HMN354" s="514"/>
      <c r="HMO354" s="519"/>
      <c r="HMP354" s="514"/>
      <c r="HMQ354" s="519"/>
      <c r="HMR354" s="514"/>
      <c r="HMS354" s="519"/>
      <c r="HMT354" s="514"/>
      <c r="HMU354" s="519"/>
      <c r="HMV354" s="514"/>
      <c r="HMW354" s="519"/>
      <c r="HMX354" s="514"/>
      <c r="HMY354" s="519"/>
      <c r="HMZ354" s="514"/>
      <c r="HNA354" s="519"/>
      <c r="HNB354" s="514"/>
      <c r="HNC354" s="519"/>
      <c r="HND354" s="514"/>
      <c r="HNE354" s="519"/>
      <c r="HNF354" s="514"/>
      <c r="HNG354" s="519"/>
      <c r="HNH354" s="514"/>
      <c r="HNI354" s="519"/>
      <c r="HNJ354" s="514"/>
      <c r="HNK354" s="519"/>
      <c r="HNL354" s="514"/>
      <c r="HNM354" s="519"/>
      <c r="HNN354" s="514"/>
      <c r="HNO354" s="519"/>
      <c r="HNP354" s="514"/>
      <c r="HNQ354" s="519"/>
      <c r="HNR354" s="514"/>
      <c r="HNS354" s="519"/>
      <c r="HNT354" s="514"/>
      <c r="HNU354" s="519"/>
      <c r="HNV354" s="514"/>
      <c r="HNW354" s="519"/>
      <c r="HNX354" s="514"/>
      <c r="HNY354" s="519"/>
      <c r="HNZ354" s="514"/>
      <c r="HOA354" s="519"/>
      <c r="HOB354" s="514"/>
      <c r="HOC354" s="519"/>
      <c r="HOD354" s="514"/>
      <c r="HOE354" s="519"/>
      <c r="HOF354" s="514"/>
      <c r="HOG354" s="519"/>
      <c r="HOH354" s="514"/>
      <c r="HOI354" s="519"/>
      <c r="HOJ354" s="514"/>
      <c r="HOK354" s="519"/>
      <c r="HOL354" s="514"/>
      <c r="HOM354" s="519"/>
      <c r="HON354" s="514"/>
      <c r="HOO354" s="519"/>
      <c r="HOP354" s="514"/>
      <c r="HOQ354" s="519"/>
      <c r="HOR354" s="514"/>
      <c r="HOS354" s="519"/>
      <c r="HOT354" s="514"/>
      <c r="HOU354" s="519"/>
      <c r="HOV354" s="514"/>
      <c r="HOW354" s="519"/>
      <c r="HOX354" s="514"/>
      <c r="HOY354" s="519"/>
      <c r="HOZ354" s="514"/>
      <c r="HPA354" s="519"/>
      <c r="HPB354" s="514"/>
      <c r="HPC354" s="519"/>
      <c r="HPD354" s="514"/>
      <c r="HPE354" s="519"/>
      <c r="HPF354" s="514"/>
      <c r="HPG354" s="519"/>
      <c r="HPH354" s="514"/>
      <c r="HPI354" s="519"/>
      <c r="HPJ354" s="514"/>
      <c r="HPK354" s="519"/>
      <c r="HPL354" s="514"/>
      <c r="HPM354" s="519"/>
      <c r="HPN354" s="514"/>
      <c r="HPO354" s="519"/>
      <c r="HPP354" s="514"/>
      <c r="HPQ354" s="519"/>
      <c r="HPR354" s="514"/>
      <c r="HPS354" s="519"/>
      <c r="HPT354" s="514"/>
      <c r="HPU354" s="519"/>
      <c r="HPV354" s="514"/>
      <c r="HPW354" s="519"/>
      <c r="HPX354" s="514"/>
      <c r="HPY354" s="519"/>
      <c r="HPZ354" s="514"/>
      <c r="HQA354" s="519"/>
      <c r="HQB354" s="514"/>
      <c r="HQC354" s="519"/>
      <c r="HQD354" s="514"/>
      <c r="HQE354" s="519"/>
      <c r="HQF354" s="514"/>
      <c r="HQG354" s="519"/>
      <c r="HQH354" s="514"/>
      <c r="HQI354" s="519"/>
      <c r="HQJ354" s="514"/>
      <c r="HQK354" s="519"/>
      <c r="HQL354" s="514"/>
      <c r="HQM354" s="519"/>
      <c r="HQN354" s="514"/>
      <c r="HQO354" s="519"/>
      <c r="HQP354" s="514"/>
      <c r="HQQ354" s="519"/>
      <c r="HQR354" s="514"/>
      <c r="HQS354" s="519"/>
      <c r="HQT354" s="514"/>
      <c r="HQU354" s="519"/>
      <c r="HQV354" s="514"/>
      <c r="HQW354" s="519"/>
      <c r="HQX354" s="514"/>
      <c r="HQY354" s="519"/>
      <c r="HQZ354" s="514"/>
      <c r="HRA354" s="519"/>
      <c r="HRB354" s="514"/>
      <c r="HRC354" s="519"/>
      <c r="HRD354" s="514"/>
      <c r="HRE354" s="519"/>
      <c r="HRF354" s="514"/>
      <c r="HRG354" s="519"/>
      <c r="HRH354" s="514"/>
      <c r="HRI354" s="519"/>
      <c r="HRJ354" s="514"/>
      <c r="HRK354" s="519"/>
      <c r="HRL354" s="514"/>
      <c r="HRM354" s="519"/>
      <c r="HRN354" s="514"/>
      <c r="HRO354" s="519"/>
      <c r="HRP354" s="514"/>
      <c r="HRQ354" s="519"/>
      <c r="HRR354" s="514"/>
      <c r="HRS354" s="519"/>
      <c r="HRT354" s="514"/>
      <c r="HRU354" s="519"/>
      <c r="HRV354" s="514"/>
      <c r="HRW354" s="519"/>
      <c r="HRX354" s="514"/>
      <c r="HRY354" s="519"/>
      <c r="HRZ354" s="514"/>
      <c r="HSA354" s="519"/>
      <c r="HSB354" s="514"/>
      <c r="HSC354" s="519"/>
      <c r="HSD354" s="514"/>
      <c r="HSE354" s="519"/>
      <c r="HSF354" s="514"/>
      <c r="HSG354" s="519"/>
      <c r="HSH354" s="514"/>
      <c r="HSI354" s="519"/>
      <c r="HSJ354" s="514"/>
      <c r="HSK354" s="519"/>
      <c r="HSL354" s="514"/>
      <c r="HSM354" s="519"/>
      <c r="HSN354" s="514"/>
      <c r="HSO354" s="519"/>
      <c r="HSP354" s="514"/>
      <c r="HSQ354" s="519"/>
      <c r="HSR354" s="514"/>
      <c r="HSS354" s="519"/>
      <c r="HST354" s="514"/>
      <c r="HSU354" s="519"/>
      <c r="HSV354" s="514"/>
      <c r="HSW354" s="519"/>
      <c r="HSX354" s="514"/>
      <c r="HSY354" s="519"/>
      <c r="HSZ354" s="514"/>
      <c r="HTA354" s="519"/>
      <c r="HTB354" s="514"/>
      <c r="HTC354" s="519"/>
      <c r="HTD354" s="514"/>
      <c r="HTE354" s="519"/>
      <c r="HTF354" s="514"/>
      <c r="HTG354" s="519"/>
      <c r="HTH354" s="514"/>
      <c r="HTI354" s="519"/>
      <c r="HTJ354" s="514"/>
      <c r="HTK354" s="519"/>
      <c r="HTL354" s="514"/>
      <c r="HTM354" s="519"/>
      <c r="HTN354" s="514"/>
      <c r="HTO354" s="519"/>
      <c r="HTP354" s="514"/>
      <c r="HTQ354" s="519"/>
      <c r="HTR354" s="514"/>
      <c r="HTS354" s="519"/>
      <c r="HTT354" s="514"/>
      <c r="HTU354" s="519"/>
      <c r="HTV354" s="514"/>
      <c r="HTW354" s="519"/>
      <c r="HTX354" s="514"/>
      <c r="HTY354" s="519"/>
      <c r="HTZ354" s="514"/>
      <c r="HUA354" s="519"/>
      <c r="HUB354" s="514"/>
      <c r="HUC354" s="519"/>
      <c r="HUD354" s="514"/>
      <c r="HUE354" s="519"/>
      <c r="HUF354" s="514"/>
      <c r="HUG354" s="519"/>
      <c r="HUH354" s="514"/>
      <c r="HUI354" s="519"/>
      <c r="HUJ354" s="514"/>
      <c r="HUK354" s="519"/>
      <c r="HUL354" s="514"/>
      <c r="HUM354" s="519"/>
      <c r="HUN354" s="514"/>
      <c r="HUO354" s="519"/>
      <c r="HUP354" s="514"/>
      <c r="HUQ354" s="519"/>
      <c r="HUR354" s="514"/>
      <c r="HUS354" s="519"/>
      <c r="HUT354" s="514"/>
      <c r="HUU354" s="519"/>
      <c r="HUV354" s="514"/>
      <c r="HUW354" s="519"/>
      <c r="HUX354" s="514"/>
      <c r="HUY354" s="519"/>
      <c r="HUZ354" s="514"/>
      <c r="HVA354" s="519"/>
      <c r="HVB354" s="514"/>
      <c r="HVC354" s="519"/>
      <c r="HVD354" s="514"/>
      <c r="HVE354" s="519"/>
      <c r="HVF354" s="514"/>
      <c r="HVG354" s="519"/>
      <c r="HVH354" s="514"/>
      <c r="HVI354" s="519"/>
      <c r="HVJ354" s="514"/>
      <c r="HVK354" s="519"/>
      <c r="HVL354" s="514"/>
      <c r="HVM354" s="519"/>
      <c r="HVN354" s="514"/>
      <c r="HVO354" s="519"/>
      <c r="HVP354" s="514"/>
      <c r="HVQ354" s="519"/>
      <c r="HVR354" s="514"/>
      <c r="HVS354" s="519"/>
      <c r="HVT354" s="514"/>
      <c r="HVU354" s="519"/>
      <c r="HVV354" s="514"/>
      <c r="HVW354" s="519"/>
      <c r="HVX354" s="514"/>
      <c r="HVY354" s="519"/>
      <c r="HVZ354" s="514"/>
      <c r="HWA354" s="519"/>
      <c r="HWB354" s="514"/>
      <c r="HWC354" s="519"/>
      <c r="HWD354" s="514"/>
      <c r="HWE354" s="519"/>
      <c r="HWF354" s="514"/>
      <c r="HWG354" s="519"/>
      <c r="HWH354" s="514"/>
      <c r="HWI354" s="519"/>
      <c r="HWJ354" s="514"/>
      <c r="HWK354" s="519"/>
      <c r="HWL354" s="514"/>
      <c r="HWM354" s="519"/>
      <c r="HWN354" s="514"/>
      <c r="HWO354" s="519"/>
      <c r="HWP354" s="514"/>
      <c r="HWQ354" s="519"/>
      <c r="HWR354" s="514"/>
      <c r="HWS354" s="519"/>
      <c r="HWT354" s="514"/>
      <c r="HWU354" s="519"/>
      <c r="HWV354" s="514"/>
      <c r="HWW354" s="519"/>
      <c r="HWX354" s="514"/>
      <c r="HWY354" s="519"/>
      <c r="HWZ354" s="514"/>
      <c r="HXA354" s="519"/>
      <c r="HXB354" s="514"/>
      <c r="HXC354" s="519"/>
      <c r="HXD354" s="514"/>
      <c r="HXE354" s="519"/>
      <c r="HXF354" s="514"/>
      <c r="HXG354" s="519"/>
      <c r="HXH354" s="514"/>
      <c r="HXI354" s="519"/>
      <c r="HXJ354" s="514"/>
      <c r="HXK354" s="519"/>
      <c r="HXL354" s="514"/>
      <c r="HXM354" s="519"/>
      <c r="HXN354" s="514"/>
      <c r="HXO354" s="519"/>
      <c r="HXP354" s="514"/>
      <c r="HXQ354" s="519"/>
      <c r="HXR354" s="514"/>
      <c r="HXS354" s="519"/>
      <c r="HXT354" s="514"/>
      <c r="HXU354" s="519"/>
      <c r="HXV354" s="514"/>
      <c r="HXW354" s="519"/>
      <c r="HXX354" s="514"/>
      <c r="HXY354" s="519"/>
      <c r="HXZ354" s="514"/>
      <c r="HYA354" s="519"/>
      <c r="HYB354" s="514"/>
      <c r="HYC354" s="519"/>
      <c r="HYD354" s="514"/>
      <c r="HYE354" s="519"/>
      <c r="HYF354" s="514"/>
      <c r="HYG354" s="519"/>
      <c r="HYH354" s="514"/>
      <c r="HYI354" s="519"/>
      <c r="HYJ354" s="514"/>
      <c r="HYK354" s="519"/>
      <c r="HYL354" s="514"/>
      <c r="HYM354" s="519"/>
      <c r="HYN354" s="514"/>
      <c r="HYO354" s="519"/>
      <c r="HYP354" s="514"/>
      <c r="HYQ354" s="519"/>
      <c r="HYR354" s="514"/>
      <c r="HYS354" s="519"/>
      <c r="HYT354" s="514"/>
      <c r="HYU354" s="519"/>
      <c r="HYV354" s="514"/>
      <c r="HYW354" s="519"/>
      <c r="HYX354" s="514"/>
      <c r="HYY354" s="519"/>
      <c r="HYZ354" s="514"/>
      <c r="HZA354" s="519"/>
      <c r="HZB354" s="514"/>
      <c r="HZC354" s="519"/>
      <c r="HZD354" s="514"/>
      <c r="HZE354" s="519"/>
      <c r="HZF354" s="514"/>
      <c r="HZG354" s="519"/>
      <c r="HZH354" s="514"/>
      <c r="HZI354" s="519"/>
      <c r="HZJ354" s="514"/>
      <c r="HZK354" s="519"/>
      <c r="HZL354" s="514"/>
      <c r="HZM354" s="519"/>
      <c r="HZN354" s="514"/>
      <c r="HZO354" s="519"/>
      <c r="HZP354" s="514"/>
      <c r="HZQ354" s="519"/>
      <c r="HZR354" s="514"/>
      <c r="HZS354" s="519"/>
      <c r="HZT354" s="514"/>
      <c r="HZU354" s="519"/>
      <c r="HZV354" s="514"/>
      <c r="HZW354" s="519"/>
      <c r="HZX354" s="514"/>
      <c r="HZY354" s="519"/>
      <c r="HZZ354" s="514"/>
      <c r="IAA354" s="519"/>
      <c r="IAB354" s="514"/>
      <c r="IAC354" s="519"/>
      <c r="IAD354" s="514"/>
      <c r="IAE354" s="519"/>
      <c r="IAF354" s="514"/>
      <c r="IAG354" s="519"/>
      <c r="IAH354" s="514"/>
      <c r="IAI354" s="519"/>
      <c r="IAJ354" s="514"/>
      <c r="IAK354" s="519"/>
      <c r="IAL354" s="514"/>
      <c r="IAM354" s="519"/>
      <c r="IAN354" s="514"/>
      <c r="IAO354" s="519"/>
      <c r="IAP354" s="514"/>
      <c r="IAQ354" s="519"/>
      <c r="IAR354" s="514"/>
      <c r="IAS354" s="519"/>
      <c r="IAT354" s="514"/>
      <c r="IAU354" s="519"/>
      <c r="IAV354" s="514"/>
      <c r="IAW354" s="519"/>
      <c r="IAX354" s="514"/>
      <c r="IAY354" s="519"/>
      <c r="IAZ354" s="514"/>
      <c r="IBA354" s="519"/>
      <c r="IBB354" s="514"/>
      <c r="IBC354" s="519"/>
      <c r="IBD354" s="514"/>
      <c r="IBE354" s="519"/>
      <c r="IBF354" s="514"/>
      <c r="IBG354" s="519"/>
      <c r="IBH354" s="514"/>
      <c r="IBI354" s="519"/>
      <c r="IBJ354" s="514"/>
      <c r="IBK354" s="519"/>
      <c r="IBL354" s="514"/>
      <c r="IBM354" s="519"/>
      <c r="IBN354" s="514"/>
      <c r="IBO354" s="519"/>
      <c r="IBP354" s="514"/>
      <c r="IBQ354" s="519"/>
      <c r="IBR354" s="514"/>
      <c r="IBS354" s="519"/>
      <c r="IBT354" s="514"/>
      <c r="IBU354" s="519"/>
      <c r="IBV354" s="514"/>
      <c r="IBW354" s="519"/>
      <c r="IBX354" s="514"/>
      <c r="IBY354" s="519"/>
      <c r="IBZ354" s="514"/>
      <c r="ICA354" s="519"/>
      <c r="ICB354" s="514"/>
      <c r="ICC354" s="519"/>
      <c r="ICD354" s="514"/>
      <c r="ICE354" s="519"/>
      <c r="ICF354" s="514"/>
      <c r="ICG354" s="519"/>
      <c r="ICH354" s="514"/>
      <c r="ICI354" s="519"/>
      <c r="ICJ354" s="514"/>
      <c r="ICK354" s="519"/>
      <c r="ICL354" s="514"/>
      <c r="ICM354" s="519"/>
      <c r="ICN354" s="514"/>
      <c r="ICO354" s="519"/>
      <c r="ICP354" s="514"/>
      <c r="ICQ354" s="519"/>
      <c r="ICR354" s="514"/>
      <c r="ICS354" s="519"/>
      <c r="ICT354" s="514"/>
      <c r="ICU354" s="519"/>
      <c r="ICV354" s="514"/>
      <c r="ICW354" s="519"/>
      <c r="ICX354" s="514"/>
      <c r="ICY354" s="519"/>
      <c r="ICZ354" s="514"/>
      <c r="IDA354" s="519"/>
      <c r="IDB354" s="514"/>
      <c r="IDC354" s="519"/>
      <c r="IDD354" s="514"/>
      <c r="IDE354" s="519"/>
      <c r="IDF354" s="514"/>
      <c r="IDG354" s="519"/>
      <c r="IDH354" s="514"/>
      <c r="IDI354" s="519"/>
      <c r="IDJ354" s="514"/>
      <c r="IDK354" s="519"/>
      <c r="IDL354" s="514"/>
      <c r="IDM354" s="519"/>
      <c r="IDN354" s="514"/>
      <c r="IDO354" s="519"/>
      <c r="IDP354" s="514"/>
      <c r="IDQ354" s="519"/>
      <c r="IDR354" s="514"/>
      <c r="IDS354" s="519"/>
      <c r="IDT354" s="514"/>
      <c r="IDU354" s="519"/>
      <c r="IDV354" s="514"/>
      <c r="IDW354" s="519"/>
      <c r="IDX354" s="514"/>
      <c r="IDY354" s="519"/>
      <c r="IDZ354" s="514"/>
      <c r="IEA354" s="519"/>
      <c r="IEB354" s="514"/>
      <c r="IEC354" s="519"/>
      <c r="IED354" s="514"/>
      <c r="IEE354" s="519"/>
      <c r="IEF354" s="514"/>
      <c r="IEG354" s="519"/>
      <c r="IEH354" s="514"/>
      <c r="IEI354" s="519"/>
      <c r="IEJ354" s="514"/>
      <c r="IEK354" s="519"/>
      <c r="IEL354" s="514"/>
      <c r="IEM354" s="519"/>
      <c r="IEN354" s="514"/>
      <c r="IEO354" s="519"/>
      <c r="IEP354" s="514"/>
      <c r="IEQ354" s="519"/>
      <c r="IER354" s="514"/>
      <c r="IES354" s="519"/>
      <c r="IET354" s="514"/>
      <c r="IEU354" s="519"/>
      <c r="IEV354" s="514"/>
      <c r="IEW354" s="519"/>
      <c r="IEX354" s="514"/>
      <c r="IEY354" s="519"/>
      <c r="IEZ354" s="514"/>
      <c r="IFA354" s="519"/>
      <c r="IFB354" s="514"/>
      <c r="IFC354" s="519"/>
      <c r="IFD354" s="514"/>
      <c r="IFE354" s="519"/>
      <c r="IFF354" s="514"/>
      <c r="IFG354" s="519"/>
      <c r="IFH354" s="514"/>
      <c r="IFI354" s="519"/>
      <c r="IFJ354" s="514"/>
      <c r="IFK354" s="519"/>
      <c r="IFL354" s="514"/>
      <c r="IFM354" s="519"/>
      <c r="IFN354" s="514"/>
      <c r="IFO354" s="519"/>
      <c r="IFP354" s="514"/>
      <c r="IFQ354" s="519"/>
      <c r="IFR354" s="514"/>
      <c r="IFS354" s="519"/>
      <c r="IFT354" s="514"/>
      <c r="IFU354" s="519"/>
      <c r="IFV354" s="514"/>
      <c r="IFW354" s="519"/>
      <c r="IFX354" s="514"/>
      <c r="IFY354" s="519"/>
      <c r="IFZ354" s="514"/>
      <c r="IGA354" s="519"/>
      <c r="IGB354" s="514"/>
      <c r="IGC354" s="519"/>
      <c r="IGD354" s="514"/>
      <c r="IGE354" s="519"/>
      <c r="IGF354" s="514"/>
      <c r="IGG354" s="519"/>
      <c r="IGH354" s="514"/>
      <c r="IGI354" s="519"/>
      <c r="IGJ354" s="514"/>
      <c r="IGK354" s="519"/>
      <c r="IGL354" s="514"/>
      <c r="IGM354" s="519"/>
      <c r="IGN354" s="514"/>
      <c r="IGO354" s="519"/>
      <c r="IGP354" s="514"/>
      <c r="IGQ354" s="519"/>
      <c r="IGR354" s="514"/>
      <c r="IGS354" s="519"/>
      <c r="IGT354" s="514"/>
      <c r="IGU354" s="519"/>
      <c r="IGV354" s="514"/>
      <c r="IGW354" s="519"/>
      <c r="IGX354" s="514"/>
      <c r="IGY354" s="519"/>
      <c r="IGZ354" s="514"/>
      <c r="IHA354" s="519"/>
      <c r="IHB354" s="514"/>
      <c r="IHC354" s="519"/>
      <c r="IHD354" s="514"/>
      <c r="IHE354" s="519"/>
      <c r="IHF354" s="514"/>
      <c r="IHG354" s="519"/>
      <c r="IHH354" s="514"/>
      <c r="IHI354" s="519"/>
      <c r="IHJ354" s="514"/>
      <c r="IHK354" s="519"/>
      <c r="IHL354" s="514"/>
      <c r="IHM354" s="519"/>
      <c r="IHN354" s="514"/>
      <c r="IHO354" s="519"/>
      <c r="IHP354" s="514"/>
      <c r="IHQ354" s="519"/>
      <c r="IHR354" s="514"/>
      <c r="IHS354" s="519"/>
      <c r="IHT354" s="514"/>
      <c r="IHU354" s="519"/>
      <c r="IHV354" s="514"/>
      <c r="IHW354" s="519"/>
      <c r="IHX354" s="514"/>
      <c r="IHY354" s="519"/>
      <c r="IHZ354" s="514"/>
      <c r="IIA354" s="519"/>
      <c r="IIB354" s="514"/>
      <c r="IIC354" s="519"/>
      <c r="IID354" s="514"/>
      <c r="IIE354" s="519"/>
      <c r="IIF354" s="514"/>
      <c r="IIG354" s="519"/>
      <c r="IIH354" s="514"/>
      <c r="III354" s="519"/>
      <c r="IIJ354" s="514"/>
      <c r="IIK354" s="519"/>
      <c r="IIL354" s="514"/>
      <c r="IIM354" s="519"/>
      <c r="IIN354" s="514"/>
      <c r="IIO354" s="519"/>
      <c r="IIP354" s="514"/>
      <c r="IIQ354" s="519"/>
      <c r="IIR354" s="514"/>
      <c r="IIS354" s="519"/>
      <c r="IIT354" s="514"/>
      <c r="IIU354" s="519"/>
      <c r="IIV354" s="514"/>
      <c r="IIW354" s="519"/>
      <c r="IIX354" s="514"/>
      <c r="IIY354" s="519"/>
      <c r="IIZ354" s="514"/>
      <c r="IJA354" s="519"/>
      <c r="IJB354" s="514"/>
      <c r="IJC354" s="519"/>
      <c r="IJD354" s="514"/>
      <c r="IJE354" s="519"/>
      <c r="IJF354" s="514"/>
      <c r="IJG354" s="519"/>
      <c r="IJH354" s="514"/>
      <c r="IJI354" s="519"/>
      <c r="IJJ354" s="514"/>
      <c r="IJK354" s="519"/>
      <c r="IJL354" s="514"/>
      <c r="IJM354" s="519"/>
      <c r="IJN354" s="514"/>
      <c r="IJO354" s="519"/>
      <c r="IJP354" s="514"/>
      <c r="IJQ354" s="519"/>
      <c r="IJR354" s="514"/>
      <c r="IJS354" s="519"/>
      <c r="IJT354" s="514"/>
      <c r="IJU354" s="519"/>
      <c r="IJV354" s="514"/>
      <c r="IJW354" s="519"/>
      <c r="IJX354" s="514"/>
      <c r="IJY354" s="519"/>
      <c r="IJZ354" s="514"/>
      <c r="IKA354" s="519"/>
      <c r="IKB354" s="514"/>
      <c r="IKC354" s="519"/>
      <c r="IKD354" s="514"/>
      <c r="IKE354" s="519"/>
      <c r="IKF354" s="514"/>
      <c r="IKG354" s="519"/>
      <c r="IKH354" s="514"/>
      <c r="IKI354" s="519"/>
      <c r="IKJ354" s="514"/>
      <c r="IKK354" s="519"/>
      <c r="IKL354" s="514"/>
      <c r="IKM354" s="519"/>
      <c r="IKN354" s="514"/>
      <c r="IKO354" s="519"/>
      <c r="IKP354" s="514"/>
      <c r="IKQ354" s="519"/>
      <c r="IKR354" s="514"/>
      <c r="IKS354" s="519"/>
      <c r="IKT354" s="514"/>
      <c r="IKU354" s="519"/>
      <c r="IKV354" s="514"/>
      <c r="IKW354" s="519"/>
      <c r="IKX354" s="514"/>
      <c r="IKY354" s="519"/>
      <c r="IKZ354" s="514"/>
      <c r="ILA354" s="519"/>
      <c r="ILB354" s="514"/>
      <c r="ILC354" s="519"/>
      <c r="ILD354" s="514"/>
      <c r="ILE354" s="519"/>
      <c r="ILF354" s="514"/>
      <c r="ILG354" s="519"/>
      <c r="ILH354" s="514"/>
      <c r="ILI354" s="519"/>
      <c r="ILJ354" s="514"/>
      <c r="ILK354" s="519"/>
      <c r="ILL354" s="514"/>
      <c r="ILM354" s="519"/>
      <c r="ILN354" s="514"/>
      <c r="ILO354" s="519"/>
      <c r="ILP354" s="514"/>
      <c r="ILQ354" s="519"/>
      <c r="ILR354" s="514"/>
      <c r="ILS354" s="519"/>
      <c r="ILT354" s="514"/>
      <c r="ILU354" s="519"/>
      <c r="ILV354" s="514"/>
      <c r="ILW354" s="519"/>
      <c r="ILX354" s="514"/>
      <c r="ILY354" s="519"/>
      <c r="ILZ354" s="514"/>
      <c r="IMA354" s="519"/>
      <c r="IMB354" s="514"/>
      <c r="IMC354" s="519"/>
      <c r="IMD354" s="514"/>
      <c r="IME354" s="519"/>
      <c r="IMF354" s="514"/>
      <c r="IMG354" s="519"/>
      <c r="IMH354" s="514"/>
      <c r="IMI354" s="519"/>
      <c r="IMJ354" s="514"/>
      <c r="IMK354" s="519"/>
      <c r="IML354" s="514"/>
      <c r="IMM354" s="519"/>
      <c r="IMN354" s="514"/>
      <c r="IMO354" s="519"/>
      <c r="IMP354" s="514"/>
      <c r="IMQ354" s="519"/>
      <c r="IMR354" s="514"/>
      <c r="IMS354" s="519"/>
      <c r="IMT354" s="514"/>
      <c r="IMU354" s="519"/>
      <c r="IMV354" s="514"/>
      <c r="IMW354" s="519"/>
      <c r="IMX354" s="514"/>
      <c r="IMY354" s="519"/>
      <c r="IMZ354" s="514"/>
      <c r="INA354" s="519"/>
      <c r="INB354" s="514"/>
      <c r="INC354" s="519"/>
      <c r="IND354" s="514"/>
      <c r="INE354" s="519"/>
      <c r="INF354" s="514"/>
      <c r="ING354" s="519"/>
      <c r="INH354" s="514"/>
      <c r="INI354" s="519"/>
      <c r="INJ354" s="514"/>
      <c r="INK354" s="519"/>
      <c r="INL354" s="514"/>
      <c r="INM354" s="519"/>
      <c r="INN354" s="514"/>
      <c r="INO354" s="519"/>
      <c r="INP354" s="514"/>
      <c r="INQ354" s="519"/>
      <c r="INR354" s="514"/>
      <c r="INS354" s="519"/>
      <c r="INT354" s="514"/>
      <c r="INU354" s="519"/>
      <c r="INV354" s="514"/>
      <c r="INW354" s="519"/>
      <c r="INX354" s="514"/>
      <c r="INY354" s="519"/>
      <c r="INZ354" s="514"/>
      <c r="IOA354" s="519"/>
      <c r="IOB354" s="514"/>
      <c r="IOC354" s="519"/>
      <c r="IOD354" s="514"/>
      <c r="IOE354" s="519"/>
      <c r="IOF354" s="514"/>
      <c r="IOG354" s="519"/>
      <c r="IOH354" s="514"/>
      <c r="IOI354" s="519"/>
      <c r="IOJ354" s="514"/>
      <c r="IOK354" s="519"/>
      <c r="IOL354" s="514"/>
      <c r="IOM354" s="519"/>
      <c r="ION354" s="514"/>
      <c r="IOO354" s="519"/>
      <c r="IOP354" s="514"/>
      <c r="IOQ354" s="519"/>
      <c r="IOR354" s="514"/>
      <c r="IOS354" s="519"/>
      <c r="IOT354" s="514"/>
      <c r="IOU354" s="519"/>
      <c r="IOV354" s="514"/>
      <c r="IOW354" s="519"/>
      <c r="IOX354" s="514"/>
      <c r="IOY354" s="519"/>
      <c r="IOZ354" s="514"/>
      <c r="IPA354" s="519"/>
      <c r="IPB354" s="514"/>
      <c r="IPC354" s="519"/>
      <c r="IPD354" s="514"/>
      <c r="IPE354" s="519"/>
      <c r="IPF354" s="514"/>
      <c r="IPG354" s="519"/>
      <c r="IPH354" s="514"/>
      <c r="IPI354" s="519"/>
      <c r="IPJ354" s="514"/>
      <c r="IPK354" s="519"/>
      <c r="IPL354" s="514"/>
      <c r="IPM354" s="519"/>
      <c r="IPN354" s="514"/>
      <c r="IPO354" s="519"/>
      <c r="IPP354" s="514"/>
      <c r="IPQ354" s="519"/>
      <c r="IPR354" s="514"/>
      <c r="IPS354" s="519"/>
      <c r="IPT354" s="514"/>
      <c r="IPU354" s="519"/>
      <c r="IPV354" s="514"/>
      <c r="IPW354" s="519"/>
      <c r="IPX354" s="514"/>
      <c r="IPY354" s="519"/>
      <c r="IPZ354" s="514"/>
      <c r="IQA354" s="519"/>
      <c r="IQB354" s="514"/>
      <c r="IQC354" s="519"/>
      <c r="IQD354" s="514"/>
      <c r="IQE354" s="519"/>
      <c r="IQF354" s="514"/>
      <c r="IQG354" s="519"/>
      <c r="IQH354" s="514"/>
      <c r="IQI354" s="519"/>
      <c r="IQJ354" s="514"/>
      <c r="IQK354" s="519"/>
      <c r="IQL354" s="514"/>
      <c r="IQM354" s="519"/>
      <c r="IQN354" s="514"/>
      <c r="IQO354" s="519"/>
      <c r="IQP354" s="514"/>
      <c r="IQQ354" s="519"/>
      <c r="IQR354" s="514"/>
      <c r="IQS354" s="519"/>
      <c r="IQT354" s="514"/>
      <c r="IQU354" s="519"/>
      <c r="IQV354" s="514"/>
      <c r="IQW354" s="519"/>
      <c r="IQX354" s="514"/>
      <c r="IQY354" s="519"/>
      <c r="IQZ354" s="514"/>
      <c r="IRA354" s="519"/>
      <c r="IRB354" s="514"/>
      <c r="IRC354" s="519"/>
      <c r="IRD354" s="514"/>
      <c r="IRE354" s="519"/>
      <c r="IRF354" s="514"/>
      <c r="IRG354" s="519"/>
      <c r="IRH354" s="514"/>
      <c r="IRI354" s="519"/>
      <c r="IRJ354" s="514"/>
      <c r="IRK354" s="519"/>
      <c r="IRL354" s="514"/>
      <c r="IRM354" s="519"/>
      <c r="IRN354" s="514"/>
      <c r="IRO354" s="519"/>
      <c r="IRP354" s="514"/>
      <c r="IRQ354" s="519"/>
      <c r="IRR354" s="514"/>
      <c r="IRS354" s="519"/>
      <c r="IRT354" s="514"/>
      <c r="IRU354" s="519"/>
      <c r="IRV354" s="514"/>
      <c r="IRW354" s="519"/>
      <c r="IRX354" s="514"/>
      <c r="IRY354" s="519"/>
      <c r="IRZ354" s="514"/>
      <c r="ISA354" s="519"/>
      <c r="ISB354" s="514"/>
      <c r="ISC354" s="519"/>
      <c r="ISD354" s="514"/>
      <c r="ISE354" s="519"/>
      <c r="ISF354" s="514"/>
      <c r="ISG354" s="519"/>
      <c r="ISH354" s="514"/>
      <c r="ISI354" s="519"/>
      <c r="ISJ354" s="514"/>
      <c r="ISK354" s="519"/>
      <c r="ISL354" s="514"/>
      <c r="ISM354" s="519"/>
      <c r="ISN354" s="514"/>
      <c r="ISO354" s="519"/>
      <c r="ISP354" s="514"/>
      <c r="ISQ354" s="519"/>
      <c r="ISR354" s="514"/>
      <c r="ISS354" s="519"/>
      <c r="IST354" s="514"/>
      <c r="ISU354" s="519"/>
      <c r="ISV354" s="514"/>
      <c r="ISW354" s="519"/>
      <c r="ISX354" s="514"/>
      <c r="ISY354" s="519"/>
      <c r="ISZ354" s="514"/>
      <c r="ITA354" s="519"/>
      <c r="ITB354" s="514"/>
      <c r="ITC354" s="519"/>
      <c r="ITD354" s="514"/>
      <c r="ITE354" s="519"/>
      <c r="ITF354" s="514"/>
      <c r="ITG354" s="519"/>
      <c r="ITH354" s="514"/>
      <c r="ITI354" s="519"/>
      <c r="ITJ354" s="514"/>
      <c r="ITK354" s="519"/>
      <c r="ITL354" s="514"/>
      <c r="ITM354" s="519"/>
      <c r="ITN354" s="514"/>
      <c r="ITO354" s="519"/>
      <c r="ITP354" s="514"/>
      <c r="ITQ354" s="519"/>
      <c r="ITR354" s="514"/>
      <c r="ITS354" s="519"/>
      <c r="ITT354" s="514"/>
      <c r="ITU354" s="519"/>
      <c r="ITV354" s="514"/>
      <c r="ITW354" s="519"/>
      <c r="ITX354" s="514"/>
      <c r="ITY354" s="519"/>
      <c r="ITZ354" s="514"/>
      <c r="IUA354" s="519"/>
      <c r="IUB354" s="514"/>
      <c r="IUC354" s="519"/>
      <c r="IUD354" s="514"/>
      <c r="IUE354" s="519"/>
      <c r="IUF354" s="514"/>
      <c r="IUG354" s="519"/>
      <c r="IUH354" s="514"/>
      <c r="IUI354" s="519"/>
      <c r="IUJ354" s="514"/>
      <c r="IUK354" s="519"/>
      <c r="IUL354" s="514"/>
      <c r="IUM354" s="519"/>
      <c r="IUN354" s="514"/>
      <c r="IUO354" s="519"/>
      <c r="IUP354" s="514"/>
      <c r="IUQ354" s="519"/>
      <c r="IUR354" s="514"/>
      <c r="IUS354" s="519"/>
      <c r="IUT354" s="514"/>
      <c r="IUU354" s="519"/>
      <c r="IUV354" s="514"/>
      <c r="IUW354" s="519"/>
      <c r="IUX354" s="514"/>
      <c r="IUY354" s="519"/>
      <c r="IUZ354" s="514"/>
      <c r="IVA354" s="519"/>
      <c r="IVB354" s="514"/>
      <c r="IVC354" s="519"/>
      <c r="IVD354" s="514"/>
      <c r="IVE354" s="519"/>
      <c r="IVF354" s="514"/>
      <c r="IVG354" s="519"/>
      <c r="IVH354" s="514"/>
      <c r="IVI354" s="519"/>
      <c r="IVJ354" s="514"/>
      <c r="IVK354" s="519"/>
      <c r="IVL354" s="514"/>
      <c r="IVM354" s="519"/>
      <c r="IVN354" s="514"/>
      <c r="IVO354" s="519"/>
      <c r="IVP354" s="514"/>
      <c r="IVQ354" s="519"/>
      <c r="IVR354" s="514"/>
      <c r="IVS354" s="519"/>
      <c r="IVT354" s="514"/>
      <c r="IVU354" s="519"/>
      <c r="IVV354" s="514"/>
      <c r="IVW354" s="519"/>
      <c r="IVX354" s="514"/>
      <c r="IVY354" s="519"/>
      <c r="IVZ354" s="514"/>
      <c r="IWA354" s="519"/>
      <c r="IWB354" s="514"/>
      <c r="IWC354" s="519"/>
      <c r="IWD354" s="514"/>
      <c r="IWE354" s="519"/>
      <c r="IWF354" s="514"/>
      <c r="IWG354" s="519"/>
      <c r="IWH354" s="514"/>
      <c r="IWI354" s="519"/>
      <c r="IWJ354" s="514"/>
      <c r="IWK354" s="519"/>
      <c r="IWL354" s="514"/>
      <c r="IWM354" s="519"/>
      <c r="IWN354" s="514"/>
      <c r="IWO354" s="519"/>
      <c r="IWP354" s="514"/>
      <c r="IWQ354" s="519"/>
      <c r="IWR354" s="514"/>
      <c r="IWS354" s="519"/>
      <c r="IWT354" s="514"/>
      <c r="IWU354" s="519"/>
      <c r="IWV354" s="514"/>
      <c r="IWW354" s="519"/>
      <c r="IWX354" s="514"/>
      <c r="IWY354" s="519"/>
      <c r="IWZ354" s="514"/>
      <c r="IXA354" s="519"/>
      <c r="IXB354" s="514"/>
      <c r="IXC354" s="519"/>
      <c r="IXD354" s="514"/>
      <c r="IXE354" s="519"/>
      <c r="IXF354" s="514"/>
      <c r="IXG354" s="519"/>
      <c r="IXH354" s="514"/>
      <c r="IXI354" s="519"/>
      <c r="IXJ354" s="514"/>
      <c r="IXK354" s="519"/>
      <c r="IXL354" s="514"/>
      <c r="IXM354" s="519"/>
      <c r="IXN354" s="514"/>
      <c r="IXO354" s="519"/>
      <c r="IXP354" s="514"/>
      <c r="IXQ354" s="519"/>
      <c r="IXR354" s="514"/>
      <c r="IXS354" s="519"/>
      <c r="IXT354" s="514"/>
      <c r="IXU354" s="519"/>
      <c r="IXV354" s="514"/>
      <c r="IXW354" s="519"/>
      <c r="IXX354" s="514"/>
      <c r="IXY354" s="519"/>
      <c r="IXZ354" s="514"/>
      <c r="IYA354" s="519"/>
      <c r="IYB354" s="514"/>
      <c r="IYC354" s="519"/>
      <c r="IYD354" s="514"/>
      <c r="IYE354" s="519"/>
      <c r="IYF354" s="514"/>
      <c r="IYG354" s="519"/>
      <c r="IYH354" s="514"/>
      <c r="IYI354" s="519"/>
      <c r="IYJ354" s="514"/>
      <c r="IYK354" s="519"/>
      <c r="IYL354" s="514"/>
      <c r="IYM354" s="519"/>
      <c r="IYN354" s="514"/>
      <c r="IYO354" s="519"/>
      <c r="IYP354" s="514"/>
      <c r="IYQ354" s="519"/>
      <c r="IYR354" s="514"/>
      <c r="IYS354" s="519"/>
      <c r="IYT354" s="514"/>
      <c r="IYU354" s="519"/>
      <c r="IYV354" s="514"/>
      <c r="IYW354" s="519"/>
      <c r="IYX354" s="514"/>
      <c r="IYY354" s="519"/>
      <c r="IYZ354" s="514"/>
      <c r="IZA354" s="519"/>
      <c r="IZB354" s="514"/>
      <c r="IZC354" s="519"/>
      <c r="IZD354" s="514"/>
      <c r="IZE354" s="519"/>
      <c r="IZF354" s="514"/>
      <c r="IZG354" s="519"/>
      <c r="IZH354" s="514"/>
      <c r="IZI354" s="519"/>
      <c r="IZJ354" s="514"/>
      <c r="IZK354" s="519"/>
      <c r="IZL354" s="514"/>
      <c r="IZM354" s="519"/>
      <c r="IZN354" s="514"/>
      <c r="IZO354" s="519"/>
      <c r="IZP354" s="514"/>
      <c r="IZQ354" s="519"/>
      <c r="IZR354" s="514"/>
      <c r="IZS354" s="519"/>
      <c r="IZT354" s="514"/>
      <c r="IZU354" s="519"/>
      <c r="IZV354" s="514"/>
      <c r="IZW354" s="519"/>
      <c r="IZX354" s="514"/>
      <c r="IZY354" s="519"/>
      <c r="IZZ354" s="514"/>
      <c r="JAA354" s="519"/>
      <c r="JAB354" s="514"/>
      <c r="JAC354" s="519"/>
      <c r="JAD354" s="514"/>
      <c r="JAE354" s="519"/>
      <c r="JAF354" s="514"/>
      <c r="JAG354" s="519"/>
      <c r="JAH354" s="514"/>
      <c r="JAI354" s="519"/>
      <c r="JAJ354" s="514"/>
      <c r="JAK354" s="519"/>
      <c r="JAL354" s="514"/>
      <c r="JAM354" s="519"/>
      <c r="JAN354" s="514"/>
      <c r="JAO354" s="519"/>
      <c r="JAP354" s="514"/>
      <c r="JAQ354" s="519"/>
      <c r="JAR354" s="514"/>
      <c r="JAS354" s="519"/>
      <c r="JAT354" s="514"/>
      <c r="JAU354" s="519"/>
      <c r="JAV354" s="514"/>
      <c r="JAW354" s="519"/>
      <c r="JAX354" s="514"/>
      <c r="JAY354" s="519"/>
      <c r="JAZ354" s="514"/>
      <c r="JBA354" s="519"/>
      <c r="JBB354" s="514"/>
      <c r="JBC354" s="519"/>
      <c r="JBD354" s="514"/>
      <c r="JBE354" s="519"/>
      <c r="JBF354" s="514"/>
      <c r="JBG354" s="519"/>
      <c r="JBH354" s="514"/>
      <c r="JBI354" s="519"/>
      <c r="JBJ354" s="514"/>
      <c r="JBK354" s="519"/>
      <c r="JBL354" s="514"/>
      <c r="JBM354" s="519"/>
      <c r="JBN354" s="514"/>
      <c r="JBO354" s="519"/>
      <c r="JBP354" s="514"/>
      <c r="JBQ354" s="519"/>
      <c r="JBR354" s="514"/>
      <c r="JBS354" s="519"/>
      <c r="JBT354" s="514"/>
      <c r="JBU354" s="519"/>
      <c r="JBV354" s="514"/>
      <c r="JBW354" s="519"/>
      <c r="JBX354" s="514"/>
      <c r="JBY354" s="519"/>
      <c r="JBZ354" s="514"/>
      <c r="JCA354" s="519"/>
      <c r="JCB354" s="514"/>
      <c r="JCC354" s="519"/>
      <c r="JCD354" s="514"/>
      <c r="JCE354" s="519"/>
      <c r="JCF354" s="514"/>
      <c r="JCG354" s="519"/>
      <c r="JCH354" s="514"/>
      <c r="JCI354" s="519"/>
      <c r="JCJ354" s="514"/>
      <c r="JCK354" s="519"/>
      <c r="JCL354" s="514"/>
      <c r="JCM354" s="519"/>
      <c r="JCN354" s="514"/>
      <c r="JCO354" s="519"/>
      <c r="JCP354" s="514"/>
      <c r="JCQ354" s="519"/>
      <c r="JCR354" s="514"/>
      <c r="JCS354" s="519"/>
      <c r="JCT354" s="514"/>
      <c r="JCU354" s="519"/>
      <c r="JCV354" s="514"/>
      <c r="JCW354" s="519"/>
      <c r="JCX354" s="514"/>
      <c r="JCY354" s="519"/>
      <c r="JCZ354" s="514"/>
      <c r="JDA354" s="519"/>
      <c r="JDB354" s="514"/>
      <c r="JDC354" s="519"/>
      <c r="JDD354" s="514"/>
      <c r="JDE354" s="519"/>
      <c r="JDF354" s="514"/>
      <c r="JDG354" s="519"/>
      <c r="JDH354" s="514"/>
      <c r="JDI354" s="519"/>
      <c r="JDJ354" s="514"/>
      <c r="JDK354" s="519"/>
      <c r="JDL354" s="514"/>
      <c r="JDM354" s="519"/>
      <c r="JDN354" s="514"/>
      <c r="JDO354" s="519"/>
      <c r="JDP354" s="514"/>
      <c r="JDQ354" s="519"/>
      <c r="JDR354" s="514"/>
      <c r="JDS354" s="519"/>
      <c r="JDT354" s="514"/>
      <c r="JDU354" s="519"/>
      <c r="JDV354" s="514"/>
      <c r="JDW354" s="519"/>
      <c r="JDX354" s="514"/>
      <c r="JDY354" s="519"/>
      <c r="JDZ354" s="514"/>
      <c r="JEA354" s="519"/>
      <c r="JEB354" s="514"/>
      <c r="JEC354" s="519"/>
      <c r="JED354" s="514"/>
      <c r="JEE354" s="519"/>
      <c r="JEF354" s="514"/>
      <c r="JEG354" s="519"/>
      <c r="JEH354" s="514"/>
      <c r="JEI354" s="519"/>
      <c r="JEJ354" s="514"/>
      <c r="JEK354" s="519"/>
      <c r="JEL354" s="514"/>
      <c r="JEM354" s="519"/>
      <c r="JEN354" s="514"/>
      <c r="JEO354" s="519"/>
      <c r="JEP354" s="514"/>
      <c r="JEQ354" s="519"/>
      <c r="JER354" s="514"/>
      <c r="JES354" s="519"/>
      <c r="JET354" s="514"/>
      <c r="JEU354" s="519"/>
      <c r="JEV354" s="514"/>
      <c r="JEW354" s="519"/>
      <c r="JEX354" s="514"/>
      <c r="JEY354" s="519"/>
      <c r="JEZ354" s="514"/>
      <c r="JFA354" s="519"/>
      <c r="JFB354" s="514"/>
      <c r="JFC354" s="519"/>
      <c r="JFD354" s="514"/>
      <c r="JFE354" s="519"/>
      <c r="JFF354" s="514"/>
      <c r="JFG354" s="519"/>
      <c r="JFH354" s="514"/>
      <c r="JFI354" s="519"/>
      <c r="JFJ354" s="514"/>
      <c r="JFK354" s="519"/>
      <c r="JFL354" s="514"/>
      <c r="JFM354" s="519"/>
      <c r="JFN354" s="514"/>
      <c r="JFO354" s="519"/>
      <c r="JFP354" s="514"/>
      <c r="JFQ354" s="519"/>
      <c r="JFR354" s="514"/>
      <c r="JFS354" s="519"/>
      <c r="JFT354" s="514"/>
      <c r="JFU354" s="519"/>
      <c r="JFV354" s="514"/>
      <c r="JFW354" s="519"/>
      <c r="JFX354" s="514"/>
      <c r="JFY354" s="519"/>
      <c r="JFZ354" s="514"/>
      <c r="JGA354" s="519"/>
      <c r="JGB354" s="514"/>
      <c r="JGC354" s="519"/>
      <c r="JGD354" s="514"/>
      <c r="JGE354" s="519"/>
      <c r="JGF354" s="514"/>
      <c r="JGG354" s="519"/>
      <c r="JGH354" s="514"/>
      <c r="JGI354" s="519"/>
      <c r="JGJ354" s="514"/>
      <c r="JGK354" s="519"/>
      <c r="JGL354" s="514"/>
      <c r="JGM354" s="519"/>
      <c r="JGN354" s="514"/>
      <c r="JGO354" s="519"/>
      <c r="JGP354" s="514"/>
      <c r="JGQ354" s="519"/>
      <c r="JGR354" s="514"/>
      <c r="JGS354" s="519"/>
      <c r="JGT354" s="514"/>
      <c r="JGU354" s="519"/>
      <c r="JGV354" s="514"/>
      <c r="JGW354" s="519"/>
      <c r="JGX354" s="514"/>
      <c r="JGY354" s="519"/>
      <c r="JGZ354" s="514"/>
      <c r="JHA354" s="519"/>
      <c r="JHB354" s="514"/>
      <c r="JHC354" s="519"/>
      <c r="JHD354" s="514"/>
      <c r="JHE354" s="519"/>
      <c r="JHF354" s="514"/>
      <c r="JHG354" s="519"/>
      <c r="JHH354" s="514"/>
      <c r="JHI354" s="519"/>
      <c r="JHJ354" s="514"/>
      <c r="JHK354" s="519"/>
      <c r="JHL354" s="514"/>
      <c r="JHM354" s="519"/>
      <c r="JHN354" s="514"/>
      <c r="JHO354" s="519"/>
      <c r="JHP354" s="514"/>
      <c r="JHQ354" s="519"/>
      <c r="JHR354" s="514"/>
      <c r="JHS354" s="519"/>
      <c r="JHT354" s="514"/>
      <c r="JHU354" s="519"/>
      <c r="JHV354" s="514"/>
      <c r="JHW354" s="519"/>
      <c r="JHX354" s="514"/>
      <c r="JHY354" s="519"/>
      <c r="JHZ354" s="514"/>
      <c r="JIA354" s="519"/>
      <c r="JIB354" s="514"/>
      <c r="JIC354" s="519"/>
      <c r="JID354" s="514"/>
      <c r="JIE354" s="519"/>
      <c r="JIF354" s="514"/>
      <c r="JIG354" s="519"/>
      <c r="JIH354" s="514"/>
      <c r="JII354" s="519"/>
      <c r="JIJ354" s="514"/>
      <c r="JIK354" s="519"/>
      <c r="JIL354" s="514"/>
      <c r="JIM354" s="519"/>
      <c r="JIN354" s="514"/>
      <c r="JIO354" s="519"/>
      <c r="JIP354" s="514"/>
      <c r="JIQ354" s="519"/>
      <c r="JIR354" s="514"/>
      <c r="JIS354" s="519"/>
      <c r="JIT354" s="514"/>
      <c r="JIU354" s="519"/>
      <c r="JIV354" s="514"/>
      <c r="JIW354" s="519"/>
      <c r="JIX354" s="514"/>
      <c r="JIY354" s="519"/>
      <c r="JIZ354" s="514"/>
      <c r="JJA354" s="519"/>
      <c r="JJB354" s="514"/>
      <c r="JJC354" s="519"/>
      <c r="JJD354" s="514"/>
      <c r="JJE354" s="519"/>
      <c r="JJF354" s="514"/>
      <c r="JJG354" s="519"/>
      <c r="JJH354" s="514"/>
      <c r="JJI354" s="519"/>
      <c r="JJJ354" s="514"/>
      <c r="JJK354" s="519"/>
      <c r="JJL354" s="514"/>
      <c r="JJM354" s="519"/>
      <c r="JJN354" s="514"/>
      <c r="JJO354" s="519"/>
      <c r="JJP354" s="514"/>
      <c r="JJQ354" s="519"/>
      <c r="JJR354" s="514"/>
      <c r="JJS354" s="519"/>
      <c r="JJT354" s="514"/>
      <c r="JJU354" s="519"/>
      <c r="JJV354" s="514"/>
      <c r="JJW354" s="519"/>
      <c r="JJX354" s="514"/>
      <c r="JJY354" s="519"/>
      <c r="JJZ354" s="514"/>
      <c r="JKA354" s="519"/>
      <c r="JKB354" s="514"/>
      <c r="JKC354" s="519"/>
      <c r="JKD354" s="514"/>
      <c r="JKE354" s="519"/>
      <c r="JKF354" s="514"/>
      <c r="JKG354" s="519"/>
      <c r="JKH354" s="514"/>
      <c r="JKI354" s="519"/>
      <c r="JKJ354" s="514"/>
      <c r="JKK354" s="519"/>
      <c r="JKL354" s="514"/>
      <c r="JKM354" s="519"/>
      <c r="JKN354" s="514"/>
      <c r="JKO354" s="519"/>
      <c r="JKP354" s="514"/>
      <c r="JKQ354" s="519"/>
      <c r="JKR354" s="514"/>
      <c r="JKS354" s="519"/>
      <c r="JKT354" s="514"/>
      <c r="JKU354" s="519"/>
      <c r="JKV354" s="514"/>
      <c r="JKW354" s="519"/>
      <c r="JKX354" s="514"/>
      <c r="JKY354" s="519"/>
      <c r="JKZ354" s="514"/>
      <c r="JLA354" s="519"/>
      <c r="JLB354" s="514"/>
      <c r="JLC354" s="519"/>
      <c r="JLD354" s="514"/>
      <c r="JLE354" s="519"/>
      <c r="JLF354" s="514"/>
      <c r="JLG354" s="519"/>
      <c r="JLH354" s="514"/>
      <c r="JLI354" s="519"/>
      <c r="JLJ354" s="514"/>
      <c r="JLK354" s="519"/>
      <c r="JLL354" s="514"/>
      <c r="JLM354" s="519"/>
      <c r="JLN354" s="514"/>
      <c r="JLO354" s="519"/>
      <c r="JLP354" s="514"/>
      <c r="JLQ354" s="519"/>
      <c r="JLR354" s="514"/>
      <c r="JLS354" s="519"/>
      <c r="JLT354" s="514"/>
      <c r="JLU354" s="519"/>
      <c r="JLV354" s="514"/>
      <c r="JLW354" s="519"/>
      <c r="JLX354" s="514"/>
      <c r="JLY354" s="519"/>
      <c r="JLZ354" s="514"/>
      <c r="JMA354" s="519"/>
      <c r="JMB354" s="514"/>
      <c r="JMC354" s="519"/>
      <c r="JMD354" s="514"/>
      <c r="JME354" s="519"/>
      <c r="JMF354" s="514"/>
      <c r="JMG354" s="519"/>
      <c r="JMH354" s="514"/>
      <c r="JMI354" s="519"/>
      <c r="JMJ354" s="514"/>
      <c r="JMK354" s="519"/>
      <c r="JML354" s="514"/>
      <c r="JMM354" s="519"/>
      <c r="JMN354" s="514"/>
      <c r="JMO354" s="519"/>
      <c r="JMP354" s="514"/>
      <c r="JMQ354" s="519"/>
      <c r="JMR354" s="514"/>
      <c r="JMS354" s="519"/>
      <c r="JMT354" s="514"/>
      <c r="JMU354" s="519"/>
      <c r="JMV354" s="514"/>
      <c r="JMW354" s="519"/>
      <c r="JMX354" s="514"/>
      <c r="JMY354" s="519"/>
      <c r="JMZ354" s="514"/>
      <c r="JNA354" s="519"/>
      <c r="JNB354" s="514"/>
      <c r="JNC354" s="519"/>
      <c r="JND354" s="514"/>
      <c r="JNE354" s="519"/>
      <c r="JNF354" s="514"/>
      <c r="JNG354" s="519"/>
      <c r="JNH354" s="514"/>
      <c r="JNI354" s="519"/>
      <c r="JNJ354" s="514"/>
      <c r="JNK354" s="519"/>
      <c r="JNL354" s="514"/>
      <c r="JNM354" s="519"/>
      <c r="JNN354" s="514"/>
      <c r="JNO354" s="519"/>
      <c r="JNP354" s="514"/>
      <c r="JNQ354" s="519"/>
      <c r="JNR354" s="514"/>
      <c r="JNS354" s="519"/>
      <c r="JNT354" s="514"/>
      <c r="JNU354" s="519"/>
      <c r="JNV354" s="514"/>
      <c r="JNW354" s="519"/>
      <c r="JNX354" s="514"/>
      <c r="JNY354" s="519"/>
      <c r="JNZ354" s="514"/>
      <c r="JOA354" s="519"/>
      <c r="JOB354" s="514"/>
      <c r="JOC354" s="519"/>
      <c r="JOD354" s="514"/>
      <c r="JOE354" s="519"/>
      <c r="JOF354" s="514"/>
      <c r="JOG354" s="519"/>
      <c r="JOH354" s="514"/>
      <c r="JOI354" s="519"/>
      <c r="JOJ354" s="514"/>
      <c r="JOK354" s="519"/>
      <c r="JOL354" s="514"/>
      <c r="JOM354" s="519"/>
      <c r="JON354" s="514"/>
      <c r="JOO354" s="519"/>
      <c r="JOP354" s="514"/>
      <c r="JOQ354" s="519"/>
      <c r="JOR354" s="514"/>
      <c r="JOS354" s="519"/>
      <c r="JOT354" s="514"/>
      <c r="JOU354" s="519"/>
      <c r="JOV354" s="514"/>
      <c r="JOW354" s="519"/>
      <c r="JOX354" s="514"/>
      <c r="JOY354" s="519"/>
      <c r="JOZ354" s="514"/>
      <c r="JPA354" s="519"/>
      <c r="JPB354" s="514"/>
      <c r="JPC354" s="519"/>
      <c r="JPD354" s="514"/>
      <c r="JPE354" s="519"/>
      <c r="JPF354" s="514"/>
      <c r="JPG354" s="519"/>
      <c r="JPH354" s="514"/>
      <c r="JPI354" s="519"/>
      <c r="JPJ354" s="514"/>
      <c r="JPK354" s="519"/>
      <c r="JPL354" s="514"/>
      <c r="JPM354" s="519"/>
      <c r="JPN354" s="514"/>
      <c r="JPO354" s="519"/>
      <c r="JPP354" s="514"/>
      <c r="JPQ354" s="519"/>
      <c r="JPR354" s="514"/>
      <c r="JPS354" s="519"/>
      <c r="JPT354" s="514"/>
      <c r="JPU354" s="519"/>
      <c r="JPV354" s="514"/>
      <c r="JPW354" s="519"/>
      <c r="JPX354" s="514"/>
      <c r="JPY354" s="519"/>
      <c r="JPZ354" s="514"/>
      <c r="JQA354" s="519"/>
      <c r="JQB354" s="514"/>
      <c r="JQC354" s="519"/>
      <c r="JQD354" s="514"/>
      <c r="JQE354" s="519"/>
      <c r="JQF354" s="514"/>
      <c r="JQG354" s="519"/>
      <c r="JQH354" s="514"/>
      <c r="JQI354" s="519"/>
      <c r="JQJ354" s="514"/>
      <c r="JQK354" s="519"/>
      <c r="JQL354" s="514"/>
      <c r="JQM354" s="519"/>
      <c r="JQN354" s="514"/>
      <c r="JQO354" s="519"/>
      <c r="JQP354" s="514"/>
      <c r="JQQ354" s="519"/>
      <c r="JQR354" s="514"/>
      <c r="JQS354" s="519"/>
      <c r="JQT354" s="514"/>
      <c r="JQU354" s="519"/>
      <c r="JQV354" s="514"/>
      <c r="JQW354" s="519"/>
      <c r="JQX354" s="514"/>
      <c r="JQY354" s="519"/>
      <c r="JQZ354" s="514"/>
      <c r="JRA354" s="519"/>
      <c r="JRB354" s="514"/>
      <c r="JRC354" s="519"/>
      <c r="JRD354" s="514"/>
      <c r="JRE354" s="519"/>
      <c r="JRF354" s="514"/>
      <c r="JRG354" s="519"/>
      <c r="JRH354" s="514"/>
      <c r="JRI354" s="519"/>
      <c r="JRJ354" s="514"/>
      <c r="JRK354" s="519"/>
      <c r="JRL354" s="514"/>
      <c r="JRM354" s="519"/>
      <c r="JRN354" s="514"/>
      <c r="JRO354" s="519"/>
      <c r="JRP354" s="514"/>
      <c r="JRQ354" s="519"/>
      <c r="JRR354" s="514"/>
      <c r="JRS354" s="519"/>
      <c r="JRT354" s="514"/>
      <c r="JRU354" s="519"/>
      <c r="JRV354" s="514"/>
      <c r="JRW354" s="519"/>
      <c r="JRX354" s="514"/>
      <c r="JRY354" s="519"/>
      <c r="JRZ354" s="514"/>
      <c r="JSA354" s="519"/>
      <c r="JSB354" s="514"/>
      <c r="JSC354" s="519"/>
      <c r="JSD354" s="514"/>
      <c r="JSE354" s="519"/>
      <c r="JSF354" s="514"/>
      <c r="JSG354" s="519"/>
      <c r="JSH354" s="514"/>
      <c r="JSI354" s="519"/>
      <c r="JSJ354" s="514"/>
      <c r="JSK354" s="519"/>
      <c r="JSL354" s="514"/>
      <c r="JSM354" s="519"/>
      <c r="JSN354" s="514"/>
      <c r="JSO354" s="519"/>
      <c r="JSP354" s="514"/>
      <c r="JSQ354" s="519"/>
      <c r="JSR354" s="514"/>
      <c r="JSS354" s="519"/>
      <c r="JST354" s="514"/>
      <c r="JSU354" s="519"/>
      <c r="JSV354" s="514"/>
      <c r="JSW354" s="519"/>
      <c r="JSX354" s="514"/>
      <c r="JSY354" s="519"/>
      <c r="JSZ354" s="514"/>
      <c r="JTA354" s="519"/>
      <c r="JTB354" s="514"/>
      <c r="JTC354" s="519"/>
      <c r="JTD354" s="514"/>
      <c r="JTE354" s="519"/>
      <c r="JTF354" s="514"/>
      <c r="JTG354" s="519"/>
      <c r="JTH354" s="514"/>
      <c r="JTI354" s="519"/>
      <c r="JTJ354" s="514"/>
      <c r="JTK354" s="519"/>
      <c r="JTL354" s="514"/>
      <c r="JTM354" s="519"/>
      <c r="JTN354" s="514"/>
      <c r="JTO354" s="519"/>
      <c r="JTP354" s="514"/>
      <c r="JTQ354" s="519"/>
      <c r="JTR354" s="514"/>
      <c r="JTS354" s="519"/>
      <c r="JTT354" s="514"/>
      <c r="JTU354" s="519"/>
      <c r="JTV354" s="514"/>
      <c r="JTW354" s="519"/>
      <c r="JTX354" s="514"/>
      <c r="JTY354" s="519"/>
      <c r="JTZ354" s="514"/>
      <c r="JUA354" s="519"/>
      <c r="JUB354" s="514"/>
      <c r="JUC354" s="519"/>
      <c r="JUD354" s="514"/>
      <c r="JUE354" s="519"/>
      <c r="JUF354" s="514"/>
      <c r="JUG354" s="519"/>
      <c r="JUH354" s="514"/>
      <c r="JUI354" s="519"/>
      <c r="JUJ354" s="514"/>
      <c r="JUK354" s="519"/>
      <c r="JUL354" s="514"/>
      <c r="JUM354" s="519"/>
      <c r="JUN354" s="514"/>
      <c r="JUO354" s="519"/>
      <c r="JUP354" s="514"/>
      <c r="JUQ354" s="519"/>
      <c r="JUR354" s="514"/>
      <c r="JUS354" s="519"/>
      <c r="JUT354" s="514"/>
      <c r="JUU354" s="519"/>
      <c r="JUV354" s="514"/>
      <c r="JUW354" s="519"/>
      <c r="JUX354" s="514"/>
      <c r="JUY354" s="519"/>
      <c r="JUZ354" s="514"/>
      <c r="JVA354" s="519"/>
      <c r="JVB354" s="514"/>
      <c r="JVC354" s="519"/>
      <c r="JVD354" s="514"/>
      <c r="JVE354" s="519"/>
      <c r="JVF354" s="514"/>
      <c r="JVG354" s="519"/>
      <c r="JVH354" s="514"/>
      <c r="JVI354" s="519"/>
      <c r="JVJ354" s="514"/>
      <c r="JVK354" s="519"/>
      <c r="JVL354" s="514"/>
      <c r="JVM354" s="519"/>
      <c r="JVN354" s="514"/>
      <c r="JVO354" s="519"/>
      <c r="JVP354" s="514"/>
      <c r="JVQ354" s="519"/>
      <c r="JVR354" s="514"/>
      <c r="JVS354" s="519"/>
      <c r="JVT354" s="514"/>
      <c r="JVU354" s="519"/>
      <c r="JVV354" s="514"/>
      <c r="JVW354" s="519"/>
      <c r="JVX354" s="514"/>
      <c r="JVY354" s="519"/>
      <c r="JVZ354" s="514"/>
      <c r="JWA354" s="519"/>
      <c r="JWB354" s="514"/>
      <c r="JWC354" s="519"/>
      <c r="JWD354" s="514"/>
      <c r="JWE354" s="519"/>
      <c r="JWF354" s="514"/>
      <c r="JWG354" s="519"/>
      <c r="JWH354" s="514"/>
      <c r="JWI354" s="519"/>
      <c r="JWJ354" s="514"/>
      <c r="JWK354" s="519"/>
      <c r="JWL354" s="514"/>
      <c r="JWM354" s="519"/>
      <c r="JWN354" s="514"/>
      <c r="JWO354" s="519"/>
      <c r="JWP354" s="514"/>
      <c r="JWQ354" s="519"/>
      <c r="JWR354" s="514"/>
      <c r="JWS354" s="519"/>
      <c r="JWT354" s="514"/>
      <c r="JWU354" s="519"/>
      <c r="JWV354" s="514"/>
      <c r="JWW354" s="519"/>
      <c r="JWX354" s="514"/>
      <c r="JWY354" s="519"/>
      <c r="JWZ354" s="514"/>
      <c r="JXA354" s="519"/>
      <c r="JXB354" s="514"/>
      <c r="JXC354" s="519"/>
      <c r="JXD354" s="514"/>
      <c r="JXE354" s="519"/>
      <c r="JXF354" s="514"/>
      <c r="JXG354" s="519"/>
      <c r="JXH354" s="514"/>
      <c r="JXI354" s="519"/>
      <c r="JXJ354" s="514"/>
      <c r="JXK354" s="519"/>
      <c r="JXL354" s="514"/>
      <c r="JXM354" s="519"/>
      <c r="JXN354" s="514"/>
      <c r="JXO354" s="519"/>
      <c r="JXP354" s="514"/>
      <c r="JXQ354" s="519"/>
      <c r="JXR354" s="514"/>
      <c r="JXS354" s="519"/>
      <c r="JXT354" s="514"/>
      <c r="JXU354" s="519"/>
      <c r="JXV354" s="514"/>
      <c r="JXW354" s="519"/>
      <c r="JXX354" s="514"/>
      <c r="JXY354" s="519"/>
      <c r="JXZ354" s="514"/>
      <c r="JYA354" s="519"/>
      <c r="JYB354" s="514"/>
      <c r="JYC354" s="519"/>
      <c r="JYD354" s="514"/>
      <c r="JYE354" s="519"/>
      <c r="JYF354" s="514"/>
      <c r="JYG354" s="519"/>
      <c r="JYH354" s="514"/>
      <c r="JYI354" s="519"/>
      <c r="JYJ354" s="514"/>
      <c r="JYK354" s="519"/>
      <c r="JYL354" s="514"/>
      <c r="JYM354" s="519"/>
      <c r="JYN354" s="514"/>
      <c r="JYO354" s="519"/>
      <c r="JYP354" s="514"/>
      <c r="JYQ354" s="519"/>
      <c r="JYR354" s="514"/>
      <c r="JYS354" s="519"/>
      <c r="JYT354" s="514"/>
      <c r="JYU354" s="519"/>
      <c r="JYV354" s="514"/>
      <c r="JYW354" s="519"/>
      <c r="JYX354" s="514"/>
      <c r="JYY354" s="519"/>
      <c r="JYZ354" s="514"/>
      <c r="JZA354" s="519"/>
      <c r="JZB354" s="514"/>
      <c r="JZC354" s="519"/>
      <c r="JZD354" s="514"/>
      <c r="JZE354" s="519"/>
      <c r="JZF354" s="514"/>
      <c r="JZG354" s="519"/>
      <c r="JZH354" s="514"/>
      <c r="JZI354" s="519"/>
      <c r="JZJ354" s="514"/>
      <c r="JZK354" s="519"/>
      <c r="JZL354" s="514"/>
      <c r="JZM354" s="519"/>
      <c r="JZN354" s="514"/>
      <c r="JZO354" s="519"/>
      <c r="JZP354" s="514"/>
      <c r="JZQ354" s="519"/>
      <c r="JZR354" s="514"/>
      <c r="JZS354" s="519"/>
      <c r="JZT354" s="514"/>
      <c r="JZU354" s="519"/>
      <c r="JZV354" s="514"/>
      <c r="JZW354" s="519"/>
      <c r="JZX354" s="514"/>
      <c r="JZY354" s="519"/>
      <c r="JZZ354" s="514"/>
      <c r="KAA354" s="519"/>
      <c r="KAB354" s="514"/>
      <c r="KAC354" s="519"/>
      <c r="KAD354" s="514"/>
      <c r="KAE354" s="519"/>
      <c r="KAF354" s="514"/>
      <c r="KAG354" s="519"/>
      <c r="KAH354" s="514"/>
      <c r="KAI354" s="519"/>
      <c r="KAJ354" s="514"/>
      <c r="KAK354" s="519"/>
      <c r="KAL354" s="514"/>
      <c r="KAM354" s="519"/>
      <c r="KAN354" s="514"/>
      <c r="KAO354" s="519"/>
      <c r="KAP354" s="514"/>
      <c r="KAQ354" s="519"/>
      <c r="KAR354" s="514"/>
      <c r="KAS354" s="519"/>
      <c r="KAT354" s="514"/>
      <c r="KAU354" s="519"/>
      <c r="KAV354" s="514"/>
      <c r="KAW354" s="519"/>
      <c r="KAX354" s="514"/>
      <c r="KAY354" s="519"/>
      <c r="KAZ354" s="514"/>
      <c r="KBA354" s="519"/>
      <c r="KBB354" s="514"/>
      <c r="KBC354" s="519"/>
      <c r="KBD354" s="514"/>
      <c r="KBE354" s="519"/>
      <c r="KBF354" s="514"/>
      <c r="KBG354" s="519"/>
      <c r="KBH354" s="514"/>
      <c r="KBI354" s="519"/>
      <c r="KBJ354" s="514"/>
      <c r="KBK354" s="519"/>
      <c r="KBL354" s="514"/>
      <c r="KBM354" s="519"/>
      <c r="KBN354" s="514"/>
      <c r="KBO354" s="519"/>
      <c r="KBP354" s="514"/>
      <c r="KBQ354" s="519"/>
      <c r="KBR354" s="514"/>
      <c r="KBS354" s="519"/>
      <c r="KBT354" s="514"/>
      <c r="KBU354" s="519"/>
      <c r="KBV354" s="514"/>
      <c r="KBW354" s="519"/>
      <c r="KBX354" s="514"/>
      <c r="KBY354" s="519"/>
      <c r="KBZ354" s="514"/>
      <c r="KCA354" s="519"/>
      <c r="KCB354" s="514"/>
      <c r="KCC354" s="519"/>
      <c r="KCD354" s="514"/>
      <c r="KCE354" s="519"/>
      <c r="KCF354" s="514"/>
      <c r="KCG354" s="519"/>
      <c r="KCH354" s="514"/>
      <c r="KCI354" s="519"/>
      <c r="KCJ354" s="514"/>
      <c r="KCK354" s="519"/>
      <c r="KCL354" s="514"/>
      <c r="KCM354" s="519"/>
      <c r="KCN354" s="514"/>
      <c r="KCO354" s="519"/>
      <c r="KCP354" s="514"/>
      <c r="KCQ354" s="519"/>
      <c r="KCR354" s="514"/>
      <c r="KCS354" s="519"/>
      <c r="KCT354" s="514"/>
      <c r="KCU354" s="519"/>
      <c r="KCV354" s="514"/>
      <c r="KCW354" s="519"/>
      <c r="KCX354" s="514"/>
      <c r="KCY354" s="519"/>
      <c r="KCZ354" s="514"/>
      <c r="KDA354" s="519"/>
      <c r="KDB354" s="514"/>
      <c r="KDC354" s="519"/>
      <c r="KDD354" s="514"/>
      <c r="KDE354" s="519"/>
      <c r="KDF354" s="514"/>
      <c r="KDG354" s="519"/>
      <c r="KDH354" s="514"/>
      <c r="KDI354" s="519"/>
      <c r="KDJ354" s="514"/>
      <c r="KDK354" s="519"/>
      <c r="KDL354" s="514"/>
      <c r="KDM354" s="519"/>
      <c r="KDN354" s="514"/>
      <c r="KDO354" s="519"/>
      <c r="KDP354" s="514"/>
      <c r="KDQ354" s="519"/>
      <c r="KDR354" s="514"/>
      <c r="KDS354" s="519"/>
      <c r="KDT354" s="514"/>
      <c r="KDU354" s="519"/>
      <c r="KDV354" s="514"/>
      <c r="KDW354" s="519"/>
      <c r="KDX354" s="514"/>
      <c r="KDY354" s="519"/>
      <c r="KDZ354" s="514"/>
      <c r="KEA354" s="519"/>
      <c r="KEB354" s="514"/>
      <c r="KEC354" s="519"/>
      <c r="KED354" s="514"/>
      <c r="KEE354" s="519"/>
      <c r="KEF354" s="514"/>
      <c r="KEG354" s="519"/>
      <c r="KEH354" s="514"/>
      <c r="KEI354" s="519"/>
      <c r="KEJ354" s="514"/>
      <c r="KEK354" s="519"/>
      <c r="KEL354" s="514"/>
      <c r="KEM354" s="519"/>
      <c r="KEN354" s="514"/>
      <c r="KEO354" s="519"/>
      <c r="KEP354" s="514"/>
      <c r="KEQ354" s="519"/>
      <c r="KER354" s="514"/>
      <c r="KES354" s="519"/>
      <c r="KET354" s="514"/>
      <c r="KEU354" s="519"/>
      <c r="KEV354" s="514"/>
      <c r="KEW354" s="519"/>
      <c r="KEX354" s="514"/>
      <c r="KEY354" s="519"/>
      <c r="KEZ354" s="514"/>
      <c r="KFA354" s="519"/>
      <c r="KFB354" s="514"/>
      <c r="KFC354" s="519"/>
      <c r="KFD354" s="514"/>
      <c r="KFE354" s="519"/>
      <c r="KFF354" s="514"/>
      <c r="KFG354" s="519"/>
      <c r="KFH354" s="514"/>
      <c r="KFI354" s="519"/>
      <c r="KFJ354" s="514"/>
      <c r="KFK354" s="519"/>
      <c r="KFL354" s="514"/>
      <c r="KFM354" s="519"/>
      <c r="KFN354" s="514"/>
      <c r="KFO354" s="519"/>
      <c r="KFP354" s="514"/>
      <c r="KFQ354" s="519"/>
      <c r="KFR354" s="514"/>
      <c r="KFS354" s="519"/>
      <c r="KFT354" s="514"/>
      <c r="KFU354" s="519"/>
      <c r="KFV354" s="514"/>
      <c r="KFW354" s="519"/>
      <c r="KFX354" s="514"/>
      <c r="KFY354" s="519"/>
      <c r="KFZ354" s="514"/>
      <c r="KGA354" s="519"/>
      <c r="KGB354" s="514"/>
      <c r="KGC354" s="519"/>
      <c r="KGD354" s="514"/>
      <c r="KGE354" s="519"/>
      <c r="KGF354" s="514"/>
      <c r="KGG354" s="519"/>
      <c r="KGH354" s="514"/>
      <c r="KGI354" s="519"/>
      <c r="KGJ354" s="514"/>
      <c r="KGK354" s="519"/>
      <c r="KGL354" s="514"/>
      <c r="KGM354" s="519"/>
      <c r="KGN354" s="514"/>
      <c r="KGO354" s="519"/>
      <c r="KGP354" s="514"/>
      <c r="KGQ354" s="519"/>
      <c r="KGR354" s="514"/>
      <c r="KGS354" s="519"/>
      <c r="KGT354" s="514"/>
      <c r="KGU354" s="519"/>
      <c r="KGV354" s="514"/>
      <c r="KGW354" s="519"/>
      <c r="KGX354" s="514"/>
      <c r="KGY354" s="519"/>
      <c r="KGZ354" s="514"/>
      <c r="KHA354" s="519"/>
      <c r="KHB354" s="514"/>
      <c r="KHC354" s="519"/>
      <c r="KHD354" s="514"/>
      <c r="KHE354" s="519"/>
      <c r="KHF354" s="514"/>
      <c r="KHG354" s="519"/>
      <c r="KHH354" s="514"/>
      <c r="KHI354" s="519"/>
      <c r="KHJ354" s="514"/>
      <c r="KHK354" s="519"/>
      <c r="KHL354" s="514"/>
      <c r="KHM354" s="519"/>
      <c r="KHN354" s="514"/>
      <c r="KHO354" s="519"/>
      <c r="KHP354" s="514"/>
      <c r="KHQ354" s="519"/>
      <c r="KHR354" s="514"/>
      <c r="KHS354" s="519"/>
      <c r="KHT354" s="514"/>
      <c r="KHU354" s="519"/>
      <c r="KHV354" s="514"/>
      <c r="KHW354" s="519"/>
      <c r="KHX354" s="514"/>
      <c r="KHY354" s="519"/>
      <c r="KHZ354" s="514"/>
      <c r="KIA354" s="519"/>
      <c r="KIB354" s="514"/>
      <c r="KIC354" s="519"/>
      <c r="KID354" s="514"/>
      <c r="KIE354" s="519"/>
      <c r="KIF354" s="514"/>
      <c r="KIG354" s="519"/>
      <c r="KIH354" s="514"/>
      <c r="KII354" s="519"/>
      <c r="KIJ354" s="514"/>
      <c r="KIK354" s="519"/>
      <c r="KIL354" s="514"/>
      <c r="KIM354" s="519"/>
      <c r="KIN354" s="514"/>
      <c r="KIO354" s="519"/>
      <c r="KIP354" s="514"/>
      <c r="KIQ354" s="519"/>
      <c r="KIR354" s="514"/>
      <c r="KIS354" s="519"/>
      <c r="KIT354" s="514"/>
      <c r="KIU354" s="519"/>
      <c r="KIV354" s="514"/>
      <c r="KIW354" s="519"/>
      <c r="KIX354" s="514"/>
      <c r="KIY354" s="519"/>
      <c r="KIZ354" s="514"/>
      <c r="KJA354" s="519"/>
      <c r="KJB354" s="514"/>
      <c r="KJC354" s="519"/>
      <c r="KJD354" s="514"/>
      <c r="KJE354" s="519"/>
      <c r="KJF354" s="514"/>
      <c r="KJG354" s="519"/>
      <c r="KJH354" s="514"/>
      <c r="KJI354" s="519"/>
      <c r="KJJ354" s="514"/>
      <c r="KJK354" s="519"/>
      <c r="KJL354" s="514"/>
      <c r="KJM354" s="519"/>
      <c r="KJN354" s="514"/>
      <c r="KJO354" s="519"/>
      <c r="KJP354" s="514"/>
      <c r="KJQ354" s="519"/>
      <c r="KJR354" s="514"/>
      <c r="KJS354" s="519"/>
      <c r="KJT354" s="514"/>
      <c r="KJU354" s="519"/>
      <c r="KJV354" s="514"/>
      <c r="KJW354" s="519"/>
      <c r="KJX354" s="514"/>
      <c r="KJY354" s="519"/>
      <c r="KJZ354" s="514"/>
      <c r="KKA354" s="519"/>
      <c r="KKB354" s="514"/>
      <c r="KKC354" s="519"/>
      <c r="KKD354" s="514"/>
      <c r="KKE354" s="519"/>
      <c r="KKF354" s="514"/>
      <c r="KKG354" s="519"/>
      <c r="KKH354" s="514"/>
      <c r="KKI354" s="519"/>
      <c r="KKJ354" s="514"/>
      <c r="KKK354" s="519"/>
      <c r="KKL354" s="514"/>
      <c r="KKM354" s="519"/>
      <c r="KKN354" s="514"/>
      <c r="KKO354" s="519"/>
      <c r="KKP354" s="514"/>
      <c r="KKQ354" s="519"/>
      <c r="KKR354" s="514"/>
      <c r="KKS354" s="519"/>
      <c r="KKT354" s="514"/>
      <c r="KKU354" s="519"/>
      <c r="KKV354" s="514"/>
      <c r="KKW354" s="519"/>
      <c r="KKX354" s="514"/>
      <c r="KKY354" s="519"/>
      <c r="KKZ354" s="514"/>
      <c r="KLA354" s="519"/>
      <c r="KLB354" s="514"/>
      <c r="KLC354" s="519"/>
      <c r="KLD354" s="514"/>
      <c r="KLE354" s="519"/>
      <c r="KLF354" s="514"/>
      <c r="KLG354" s="519"/>
      <c r="KLH354" s="514"/>
      <c r="KLI354" s="519"/>
      <c r="KLJ354" s="514"/>
      <c r="KLK354" s="519"/>
      <c r="KLL354" s="514"/>
      <c r="KLM354" s="519"/>
      <c r="KLN354" s="514"/>
      <c r="KLO354" s="519"/>
      <c r="KLP354" s="514"/>
      <c r="KLQ354" s="519"/>
      <c r="KLR354" s="514"/>
      <c r="KLS354" s="519"/>
      <c r="KLT354" s="514"/>
      <c r="KLU354" s="519"/>
      <c r="KLV354" s="514"/>
      <c r="KLW354" s="519"/>
      <c r="KLX354" s="514"/>
      <c r="KLY354" s="519"/>
      <c r="KLZ354" s="514"/>
      <c r="KMA354" s="519"/>
      <c r="KMB354" s="514"/>
      <c r="KMC354" s="519"/>
      <c r="KMD354" s="514"/>
      <c r="KME354" s="519"/>
      <c r="KMF354" s="514"/>
      <c r="KMG354" s="519"/>
      <c r="KMH354" s="514"/>
      <c r="KMI354" s="519"/>
      <c r="KMJ354" s="514"/>
      <c r="KMK354" s="519"/>
      <c r="KML354" s="514"/>
      <c r="KMM354" s="519"/>
      <c r="KMN354" s="514"/>
      <c r="KMO354" s="519"/>
      <c r="KMP354" s="514"/>
      <c r="KMQ354" s="519"/>
      <c r="KMR354" s="514"/>
      <c r="KMS354" s="519"/>
      <c r="KMT354" s="514"/>
      <c r="KMU354" s="519"/>
      <c r="KMV354" s="514"/>
      <c r="KMW354" s="519"/>
      <c r="KMX354" s="514"/>
      <c r="KMY354" s="519"/>
      <c r="KMZ354" s="514"/>
      <c r="KNA354" s="519"/>
      <c r="KNB354" s="514"/>
      <c r="KNC354" s="519"/>
      <c r="KND354" s="514"/>
      <c r="KNE354" s="519"/>
      <c r="KNF354" s="514"/>
      <c r="KNG354" s="519"/>
      <c r="KNH354" s="514"/>
      <c r="KNI354" s="519"/>
      <c r="KNJ354" s="514"/>
      <c r="KNK354" s="519"/>
      <c r="KNL354" s="514"/>
      <c r="KNM354" s="519"/>
      <c r="KNN354" s="514"/>
      <c r="KNO354" s="519"/>
      <c r="KNP354" s="514"/>
      <c r="KNQ354" s="519"/>
      <c r="KNR354" s="514"/>
      <c r="KNS354" s="519"/>
      <c r="KNT354" s="514"/>
      <c r="KNU354" s="519"/>
      <c r="KNV354" s="514"/>
      <c r="KNW354" s="519"/>
      <c r="KNX354" s="514"/>
      <c r="KNY354" s="519"/>
      <c r="KNZ354" s="514"/>
      <c r="KOA354" s="519"/>
      <c r="KOB354" s="514"/>
      <c r="KOC354" s="519"/>
      <c r="KOD354" s="514"/>
      <c r="KOE354" s="519"/>
      <c r="KOF354" s="514"/>
      <c r="KOG354" s="519"/>
      <c r="KOH354" s="514"/>
      <c r="KOI354" s="519"/>
      <c r="KOJ354" s="514"/>
      <c r="KOK354" s="519"/>
      <c r="KOL354" s="514"/>
      <c r="KOM354" s="519"/>
      <c r="KON354" s="514"/>
      <c r="KOO354" s="519"/>
      <c r="KOP354" s="514"/>
      <c r="KOQ354" s="519"/>
      <c r="KOR354" s="514"/>
      <c r="KOS354" s="519"/>
      <c r="KOT354" s="514"/>
      <c r="KOU354" s="519"/>
      <c r="KOV354" s="514"/>
      <c r="KOW354" s="519"/>
      <c r="KOX354" s="514"/>
      <c r="KOY354" s="519"/>
      <c r="KOZ354" s="514"/>
      <c r="KPA354" s="519"/>
      <c r="KPB354" s="514"/>
      <c r="KPC354" s="519"/>
      <c r="KPD354" s="514"/>
      <c r="KPE354" s="519"/>
      <c r="KPF354" s="514"/>
      <c r="KPG354" s="519"/>
      <c r="KPH354" s="514"/>
      <c r="KPI354" s="519"/>
      <c r="KPJ354" s="514"/>
      <c r="KPK354" s="519"/>
      <c r="KPL354" s="514"/>
      <c r="KPM354" s="519"/>
      <c r="KPN354" s="514"/>
      <c r="KPO354" s="519"/>
      <c r="KPP354" s="514"/>
      <c r="KPQ354" s="519"/>
      <c r="KPR354" s="514"/>
      <c r="KPS354" s="519"/>
      <c r="KPT354" s="514"/>
      <c r="KPU354" s="519"/>
      <c r="KPV354" s="514"/>
      <c r="KPW354" s="519"/>
      <c r="KPX354" s="514"/>
      <c r="KPY354" s="519"/>
      <c r="KPZ354" s="514"/>
      <c r="KQA354" s="519"/>
      <c r="KQB354" s="514"/>
      <c r="KQC354" s="519"/>
      <c r="KQD354" s="514"/>
      <c r="KQE354" s="519"/>
      <c r="KQF354" s="514"/>
      <c r="KQG354" s="519"/>
      <c r="KQH354" s="514"/>
      <c r="KQI354" s="519"/>
      <c r="KQJ354" s="514"/>
      <c r="KQK354" s="519"/>
      <c r="KQL354" s="514"/>
      <c r="KQM354" s="519"/>
      <c r="KQN354" s="514"/>
      <c r="KQO354" s="519"/>
      <c r="KQP354" s="514"/>
      <c r="KQQ354" s="519"/>
      <c r="KQR354" s="514"/>
      <c r="KQS354" s="519"/>
      <c r="KQT354" s="514"/>
      <c r="KQU354" s="519"/>
      <c r="KQV354" s="514"/>
      <c r="KQW354" s="519"/>
      <c r="KQX354" s="514"/>
      <c r="KQY354" s="519"/>
      <c r="KQZ354" s="514"/>
      <c r="KRA354" s="519"/>
      <c r="KRB354" s="514"/>
      <c r="KRC354" s="519"/>
      <c r="KRD354" s="514"/>
      <c r="KRE354" s="519"/>
      <c r="KRF354" s="514"/>
      <c r="KRG354" s="519"/>
      <c r="KRH354" s="514"/>
      <c r="KRI354" s="519"/>
      <c r="KRJ354" s="514"/>
      <c r="KRK354" s="519"/>
      <c r="KRL354" s="514"/>
      <c r="KRM354" s="519"/>
      <c r="KRN354" s="514"/>
      <c r="KRO354" s="519"/>
      <c r="KRP354" s="514"/>
      <c r="KRQ354" s="519"/>
      <c r="KRR354" s="514"/>
      <c r="KRS354" s="519"/>
      <c r="KRT354" s="514"/>
      <c r="KRU354" s="519"/>
      <c r="KRV354" s="514"/>
      <c r="KRW354" s="519"/>
      <c r="KRX354" s="514"/>
      <c r="KRY354" s="519"/>
      <c r="KRZ354" s="514"/>
      <c r="KSA354" s="519"/>
      <c r="KSB354" s="514"/>
      <c r="KSC354" s="519"/>
      <c r="KSD354" s="514"/>
      <c r="KSE354" s="519"/>
      <c r="KSF354" s="514"/>
      <c r="KSG354" s="519"/>
      <c r="KSH354" s="514"/>
      <c r="KSI354" s="519"/>
      <c r="KSJ354" s="514"/>
      <c r="KSK354" s="519"/>
      <c r="KSL354" s="514"/>
      <c r="KSM354" s="519"/>
      <c r="KSN354" s="514"/>
      <c r="KSO354" s="519"/>
      <c r="KSP354" s="514"/>
      <c r="KSQ354" s="519"/>
      <c r="KSR354" s="514"/>
      <c r="KSS354" s="519"/>
      <c r="KST354" s="514"/>
      <c r="KSU354" s="519"/>
      <c r="KSV354" s="514"/>
      <c r="KSW354" s="519"/>
      <c r="KSX354" s="514"/>
      <c r="KSY354" s="519"/>
      <c r="KSZ354" s="514"/>
      <c r="KTA354" s="519"/>
      <c r="KTB354" s="514"/>
      <c r="KTC354" s="519"/>
      <c r="KTD354" s="514"/>
      <c r="KTE354" s="519"/>
      <c r="KTF354" s="514"/>
      <c r="KTG354" s="519"/>
      <c r="KTH354" s="514"/>
      <c r="KTI354" s="519"/>
      <c r="KTJ354" s="514"/>
      <c r="KTK354" s="519"/>
      <c r="KTL354" s="514"/>
      <c r="KTM354" s="519"/>
      <c r="KTN354" s="514"/>
      <c r="KTO354" s="519"/>
      <c r="KTP354" s="514"/>
      <c r="KTQ354" s="519"/>
      <c r="KTR354" s="514"/>
      <c r="KTS354" s="519"/>
      <c r="KTT354" s="514"/>
      <c r="KTU354" s="519"/>
      <c r="KTV354" s="514"/>
      <c r="KTW354" s="519"/>
      <c r="KTX354" s="514"/>
      <c r="KTY354" s="519"/>
      <c r="KTZ354" s="514"/>
      <c r="KUA354" s="519"/>
      <c r="KUB354" s="514"/>
      <c r="KUC354" s="519"/>
      <c r="KUD354" s="514"/>
      <c r="KUE354" s="519"/>
      <c r="KUF354" s="514"/>
      <c r="KUG354" s="519"/>
      <c r="KUH354" s="514"/>
      <c r="KUI354" s="519"/>
      <c r="KUJ354" s="514"/>
      <c r="KUK354" s="519"/>
      <c r="KUL354" s="514"/>
      <c r="KUM354" s="519"/>
      <c r="KUN354" s="514"/>
      <c r="KUO354" s="519"/>
      <c r="KUP354" s="514"/>
      <c r="KUQ354" s="519"/>
      <c r="KUR354" s="514"/>
      <c r="KUS354" s="519"/>
      <c r="KUT354" s="514"/>
      <c r="KUU354" s="519"/>
      <c r="KUV354" s="514"/>
      <c r="KUW354" s="519"/>
      <c r="KUX354" s="514"/>
      <c r="KUY354" s="519"/>
      <c r="KUZ354" s="514"/>
      <c r="KVA354" s="519"/>
      <c r="KVB354" s="514"/>
      <c r="KVC354" s="519"/>
      <c r="KVD354" s="514"/>
      <c r="KVE354" s="519"/>
      <c r="KVF354" s="514"/>
      <c r="KVG354" s="519"/>
      <c r="KVH354" s="514"/>
      <c r="KVI354" s="519"/>
      <c r="KVJ354" s="514"/>
      <c r="KVK354" s="519"/>
      <c r="KVL354" s="514"/>
      <c r="KVM354" s="519"/>
      <c r="KVN354" s="514"/>
      <c r="KVO354" s="519"/>
      <c r="KVP354" s="514"/>
      <c r="KVQ354" s="519"/>
      <c r="KVR354" s="514"/>
      <c r="KVS354" s="519"/>
      <c r="KVT354" s="514"/>
      <c r="KVU354" s="519"/>
      <c r="KVV354" s="514"/>
      <c r="KVW354" s="519"/>
      <c r="KVX354" s="514"/>
      <c r="KVY354" s="519"/>
      <c r="KVZ354" s="514"/>
      <c r="KWA354" s="519"/>
      <c r="KWB354" s="514"/>
      <c r="KWC354" s="519"/>
      <c r="KWD354" s="514"/>
      <c r="KWE354" s="519"/>
      <c r="KWF354" s="514"/>
      <c r="KWG354" s="519"/>
      <c r="KWH354" s="514"/>
      <c r="KWI354" s="519"/>
      <c r="KWJ354" s="514"/>
      <c r="KWK354" s="519"/>
      <c r="KWL354" s="514"/>
      <c r="KWM354" s="519"/>
      <c r="KWN354" s="514"/>
      <c r="KWO354" s="519"/>
      <c r="KWP354" s="514"/>
      <c r="KWQ354" s="519"/>
      <c r="KWR354" s="514"/>
      <c r="KWS354" s="519"/>
      <c r="KWT354" s="514"/>
      <c r="KWU354" s="519"/>
      <c r="KWV354" s="514"/>
      <c r="KWW354" s="519"/>
      <c r="KWX354" s="514"/>
      <c r="KWY354" s="519"/>
      <c r="KWZ354" s="514"/>
      <c r="KXA354" s="519"/>
      <c r="KXB354" s="514"/>
      <c r="KXC354" s="519"/>
      <c r="KXD354" s="514"/>
      <c r="KXE354" s="519"/>
      <c r="KXF354" s="514"/>
      <c r="KXG354" s="519"/>
      <c r="KXH354" s="514"/>
      <c r="KXI354" s="519"/>
      <c r="KXJ354" s="514"/>
      <c r="KXK354" s="519"/>
      <c r="KXL354" s="514"/>
      <c r="KXM354" s="519"/>
      <c r="KXN354" s="514"/>
      <c r="KXO354" s="519"/>
      <c r="KXP354" s="514"/>
      <c r="KXQ354" s="519"/>
      <c r="KXR354" s="514"/>
      <c r="KXS354" s="519"/>
      <c r="KXT354" s="514"/>
      <c r="KXU354" s="519"/>
      <c r="KXV354" s="514"/>
      <c r="KXW354" s="519"/>
      <c r="KXX354" s="514"/>
      <c r="KXY354" s="519"/>
      <c r="KXZ354" s="514"/>
      <c r="KYA354" s="519"/>
      <c r="KYB354" s="514"/>
      <c r="KYC354" s="519"/>
      <c r="KYD354" s="514"/>
      <c r="KYE354" s="519"/>
      <c r="KYF354" s="514"/>
      <c r="KYG354" s="519"/>
      <c r="KYH354" s="514"/>
      <c r="KYI354" s="519"/>
      <c r="KYJ354" s="514"/>
      <c r="KYK354" s="519"/>
      <c r="KYL354" s="514"/>
      <c r="KYM354" s="519"/>
      <c r="KYN354" s="514"/>
      <c r="KYO354" s="519"/>
      <c r="KYP354" s="514"/>
      <c r="KYQ354" s="519"/>
      <c r="KYR354" s="514"/>
      <c r="KYS354" s="519"/>
      <c r="KYT354" s="514"/>
      <c r="KYU354" s="519"/>
      <c r="KYV354" s="514"/>
      <c r="KYW354" s="519"/>
      <c r="KYX354" s="514"/>
      <c r="KYY354" s="519"/>
      <c r="KYZ354" s="514"/>
      <c r="KZA354" s="519"/>
      <c r="KZB354" s="514"/>
      <c r="KZC354" s="519"/>
      <c r="KZD354" s="514"/>
      <c r="KZE354" s="519"/>
      <c r="KZF354" s="514"/>
      <c r="KZG354" s="519"/>
      <c r="KZH354" s="514"/>
      <c r="KZI354" s="519"/>
      <c r="KZJ354" s="514"/>
      <c r="KZK354" s="519"/>
      <c r="KZL354" s="514"/>
      <c r="KZM354" s="519"/>
      <c r="KZN354" s="514"/>
      <c r="KZO354" s="519"/>
      <c r="KZP354" s="514"/>
      <c r="KZQ354" s="519"/>
      <c r="KZR354" s="514"/>
      <c r="KZS354" s="519"/>
      <c r="KZT354" s="514"/>
      <c r="KZU354" s="519"/>
      <c r="KZV354" s="514"/>
      <c r="KZW354" s="519"/>
      <c r="KZX354" s="514"/>
      <c r="KZY354" s="519"/>
      <c r="KZZ354" s="514"/>
      <c r="LAA354" s="519"/>
      <c r="LAB354" s="514"/>
      <c r="LAC354" s="519"/>
      <c r="LAD354" s="514"/>
      <c r="LAE354" s="519"/>
      <c r="LAF354" s="514"/>
      <c r="LAG354" s="519"/>
      <c r="LAH354" s="514"/>
      <c r="LAI354" s="519"/>
      <c r="LAJ354" s="514"/>
      <c r="LAK354" s="519"/>
      <c r="LAL354" s="514"/>
      <c r="LAM354" s="519"/>
      <c r="LAN354" s="514"/>
      <c r="LAO354" s="519"/>
      <c r="LAP354" s="514"/>
      <c r="LAQ354" s="519"/>
      <c r="LAR354" s="514"/>
      <c r="LAS354" s="519"/>
      <c r="LAT354" s="514"/>
      <c r="LAU354" s="519"/>
      <c r="LAV354" s="514"/>
      <c r="LAW354" s="519"/>
      <c r="LAX354" s="514"/>
      <c r="LAY354" s="519"/>
      <c r="LAZ354" s="514"/>
      <c r="LBA354" s="519"/>
      <c r="LBB354" s="514"/>
      <c r="LBC354" s="519"/>
      <c r="LBD354" s="514"/>
      <c r="LBE354" s="519"/>
      <c r="LBF354" s="514"/>
      <c r="LBG354" s="519"/>
      <c r="LBH354" s="514"/>
      <c r="LBI354" s="519"/>
      <c r="LBJ354" s="514"/>
      <c r="LBK354" s="519"/>
      <c r="LBL354" s="514"/>
      <c r="LBM354" s="519"/>
      <c r="LBN354" s="514"/>
      <c r="LBO354" s="519"/>
      <c r="LBP354" s="514"/>
      <c r="LBQ354" s="519"/>
      <c r="LBR354" s="514"/>
      <c r="LBS354" s="519"/>
      <c r="LBT354" s="514"/>
      <c r="LBU354" s="519"/>
      <c r="LBV354" s="514"/>
      <c r="LBW354" s="519"/>
      <c r="LBX354" s="514"/>
      <c r="LBY354" s="519"/>
      <c r="LBZ354" s="514"/>
      <c r="LCA354" s="519"/>
      <c r="LCB354" s="514"/>
      <c r="LCC354" s="519"/>
      <c r="LCD354" s="514"/>
      <c r="LCE354" s="519"/>
      <c r="LCF354" s="514"/>
      <c r="LCG354" s="519"/>
      <c r="LCH354" s="514"/>
      <c r="LCI354" s="519"/>
      <c r="LCJ354" s="514"/>
      <c r="LCK354" s="519"/>
      <c r="LCL354" s="514"/>
      <c r="LCM354" s="519"/>
      <c r="LCN354" s="514"/>
      <c r="LCO354" s="519"/>
      <c r="LCP354" s="514"/>
      <c r="LCQ354" s="519"/>
      <c r="LCR354" s="514"/>
      <c r="LCS354" s="519"/>
      <c r="LCT354" s="514"/>
      <c r="LCU354" s="519"/>
      <c r="LCV354" s="514"/>
      <c r="LCW354" s="519"/>
      <c r="LCX354" s="514"/>
      <c r="LCY354" s="519"/>
      <c r="LCZ354" s="514"/>
      <c r="LDA354" s="519"/>
      <c r="LDB354" s="514"/>
      <c r="LDC354" s="519"/>
      <c r="LDD354" s="514"/>
      <c r="LDE354" s="519"/>
      <c r="LDF354" s="514"/>
      <c r="LDG354" s="519"/>
      <c r="LDH354" s="514"/>
      <c r="LDI354" s="519"/>
      <c r="LDJ354" s="514"/>
      <c r="LDK354" s="519"/>
      <c r="LDL354" s="514"/>
      <c r="LDM354" s="519"/>
      <c r="LDN354" s="514"/>
      <c r="LDO354" s="519"/>
      <c r="LDP354" s="514"/>
      <c r="LDQ354" s="519"/>
      <c r="LDR354" s="514"/>
      <c r="LDS354" s="519"/>
      <c r="LDT354" s="514"/>
      <c r="LDU354" s="519"/>
      <c r="LDV354" s="514"/>
      <c r="LDW354" s="519"/>
      <c r="LDX354" s="514"/>
      <c r="LDY354" s="519"/>
      <c r="LDZ354" s="514"/>
      <c r="LEA354" s="519"/>
      <c r="LEB354" s="514"/>
      <c r="LEC354" s="519"/>
      <c r="LED354" s="514"/>
      <c r="LEE354" s="519"/>
      <c r="LEF354" s="514"/>
      <c r="LEG354" s="519"/>
      <c r="LEH354" s="514"/>
      <c r="LEI354" s="519"/>
      <c r="LEJ354" s="514"/>
      <c r="LEK354" s="519"/>
      <c r="LEL354" s="514"/>
      <c r="LEM354" s="519"/>
      <c r="LEN354" s="514"/>
      <c r="LEO354" s="519"/>
      <c r="LEP354" s="514"/>
      <c r="LEQ354" s="519"/>
      <c r="LER354" s="514"/>
      <c r="LES354" s="519"/>
      <c r="LET354" s="514"/>
      <c r="LEU354" s="519"/>
      <c r="LEV354" s="514"/>
      <c r="LEW354" s="519"/>
      <c r="LEX354" s="514"/>
      <c r="LEY354" s="519"/>
      <c r="LEZ354" s="514"/>
      <c r="LFA354" s="519"/>
      <c r="LFB354" s="514"/>
      <c r="LFC354" s="519"/>
      <c r="LFD354" s="514"/>
      <c r="LFE354" s="519"/>
      <c r="LFF354" s="514"/>
      <c r="LFG354" s="519"/>
      <c r="LFH354" s="514"/>
      <c r="LFI354" s="519"/>
      <c r="LFJ354" s="514"/>
      <c r="LFK354" s="519"/>
      <c r="LFL354" s="514"/>
      <c r="LFM354" s="519"/>
      <c r="LFN354" s="514"/>
      <c r="LFO354" s="519"/>
      <c r="LFP354" s="514"/>
      <c r="LFQ354" s="519"/>
      <c r="LFR354" s="514"/>
      <c r="LFS354" s="519"/>
      <c r="LFT354" s="514"/>
      <c r="LFU354" s="519"/>
      <c r="LFV354" s="514"/>
      <c r="LFW354" s="519"/>
      <c r="LFX354" s="514"/>
      <c r="LFY354" s="519"/>
      <c r="LFZ354" s="514"/>
      <c r="LGA354" s="519"/>
      <c r="LGB354" s="514"/>
      <c r="LGC354" s="519"/>
      <c r="LGD354" s="514"/>
      <c r="LGE354" s="519"/>
      <c r="LGF354" s="514"/>
      <c r="LGG354" s="519"/>
      <c r="LGH354" s="514"/>
      <c r="LGI354" s="519"/>
      <c r="LGJ354" s="514"/>
      <c r="LGK354" s="519"/>
      <c r="LGL354" s="514"/>
      <c r="LGM354" s="519"/>
      <c r="LGN354" s="514"/>
      <c r="LGO354" s="519"/>
      <c r="LGP354" s="514"/>
      <c r="LGQ354" s="519"/>
      <c r="LGR354" s="514"/>
      <c r="LGS354" s="519"/>
      <c r="LGT354" s="514"/>
      <c r="LGU354" s="519"/>
      <c r="LGV354" s="514"/>
      <c r="LGW354" s="519"/>
      <c r="LGX354" s="514"/>
      <c r="LGY354" s="519"/>
      <c r="LGZ354" s="514"/>
      <c r="LHA354" s="519"/>
      <c r="LHB354" s="514"/>
      <c r="LHC354" s="519"/>
      <c r="LHD354" s="514"/>
      <c r="LHE354" s="519"/>
      <c r="LHF354" s="514"/>
      <c r="LHG354" s="519"/>
      <c r="LHH354" s="514"/>
      <c r="LHI354" s="519"/>
      <c r="LHJ354" s="514"/>
      <c r="LHK354" s="519"/>
      <c r="LHL354" s="514"/>
      <c r="LHM354" s="519"/>
      <c r="LHN354" s="514"/>
      <c r="LHO354" s="519"/>
      <c r="LHP354" s="514"/>
      <c r="LHQ354" s="519"/>
      <c r="LHR354" s="514"/>
      <c r="LHS354" s="519"/>
      <c r="LHT354" s="514"/>
      <c r="LHU354" s="519"/>
      <c r="LHV354" s="514"/>
      <c r="LHW354" s="519"/>
      <c r="LHX354" s="514"/>
      <c r="LHY354" s="519"/>
      <c r="LHZ354" s="514"/>
      <c r="LIA354" s="519"/>
      <c r="LIB354" s="514"/>
      <c r="LIC354" s="519"/>
      <c r="LID354" s="514"/>
      <c r="LIE354" s="519"/>
      <c r="LIF354" s="514"/>
      <c r="LIG354" s="519"/>
      <c r="LIH354" s="514"/>
      <c r="LII354" s="519"/>
      <c r="LIJ354" s="514"/>
      <c r="LIK354" s="519"/>
      <c r="LIL354" s="514"/>
      <c r="LIM354" s="519"/>
      <c r="LIN354" s="514"/>
      <c r="LIO354" s="519"/>
      <c r="LIP354" s="514"/>
      <c r="LIQ354" s="519"/>
      <c r="LIR354" s="514"/>
      <c r="LIS354" s="519"/>
      <c r="LIT354" s="514"/>
      <c r="LIU354" s="519"/>
      <c r="LIV354" s="514"/>
      <c r="LIW354" s="519"/>
      <c r="LIX354" s="514"/>
      <c r="LIY354" s="519"/>
      <c r="LIZ354" s="514"/>
      <c r="LJA354" s="519"/>
      <c r="LJB354" s="514"/>
      <c r="LJC354" s="519"/>
      <c r="LJD354" s="514"/>
      <c r="LJE354" s="519"/>
      <c r="LJF354" s="514"/>
      <c r="LJG354" s="519"/>
      <c r="LJH354" s="514"/>
      <c r="LJI354" s="519"/>
      <c r="LJJ354" s="514"/>
      <c r="LJK354" s="519"/>
      <c r="LJL354" s="514"/>
      <c r="LJM354" s="519"/>
      <c r="LJN354" s="514"/>
      <c r="LJO354" s="519"/>
      <c r="LJP354" s="514"/>
      <c r="LJQ354" s="519"/>
      <c r="LJR354" s="514"/>
      <c r="LJS354" s="519"/>
      <c r="LJT354" s="514"/>
      <c r="LJU354" s="519"/>
      <c r="LJV354" s="514"/>
      <c r="LJW354" s="519"/>
      <c r="LJX354" s="514"/>
      <c r="LJY354" s="519"/>
      <c r="LJZ354" s="514"/>
      <c r="LKA354" s="519"/>
      <c r="LKB354" s="514"/>
      <c r="LKC354" s="519"/>
      <c r="LKD354" s="514"/>
      <c r="LKE354" s="519"/>
      <c r="LKF354" s="514"/>
      <c r="LKG354" s="519"/>
      <c r="LKH354" s="514"/>
      <c r="LKI354" s="519"/>
      <c r="LKJ354" s="514"/>
      <c r="LKK354" s="519"/>
      <c r="LKL354" s="514"/>
      <c r="LKM354" s="519"/>
      <c r="LKN354" s="514"/>
      <c r="LKO354" s="519"/>
      <c r="LKP354" s="514"/>
      <c r="LKQ354" s="519"/>
      <c r="LKR354" s="514"/>
      <c r="LKS354" s="519"/>
      <c r="LKT354" s="514"/>
      <c r="LKU354" s="519"/>
      <c r="LKV354" s="514"/>
      <c r="LKW354" s="519"/>
      <c r="LKX354" s="514"/>
      <c r="LKY354" s="519"/>
      <c r="LKZ354" s="514"/>
      <c r="LLA354" s="519"/>
      <c r="LLB354" s="514"/>
      <c r="LLC354" s="519"/>
      <c r="LLD354" s="514"/>
      <c r="LLE354" s="519"/>
      <c r="LLF354" s="514"/>
      <c r="LLG354" s="519"/>
      <c r="LLH354" s="514"/>
      <c r="LLI354" s="519"/>
      <c r="LLJ354" s="514"/>
      <c r="LLK354" s="519"/>
      <c r="LLL354" s="514"/>
      <c r="LLM354" s="519"/>
      <c r="LLN354" s="514"/>
      <c r="LLO354" s="519"/>
      <c r="LLP354" s="514"/>
      <c r="LLQ354" s="519"/>
      <c r="LLR354" s="514"/>
      <c r="LLS354" s="519"/>
      <c r="LLT354" s="514"/>
      <c r="LLU354" s="519"/>
      <c r="LLV354" s="514"/>
      <c r="LLW354" s="519"/>
      <c r="LLX354" s="514"/>
      <c r="LLY354" s="519"/>
      <c r="LLZ354" s="514"/>
      <c r="LMA354" s="519"/>
      <c r="LMB354" s="514"/>
      <c r="LMC354" s="519"/>
      <c r="LMD354" s="514"/>
      <c r="LME354" s="519"/>
      <c r="LMF354" s="514"/>
      <c r="LMG354" s="519"/>
      <c r="LMH354" s="514"/>
      <c r="LMI354" s="519"/>
      <c r="LMJ354" s="514"/>
      <c r="LMK354" s="519"/>
      <c r="LML354" s="514"/>
      <c r="LMM354" s="519"/>
      <c r="LMN354" s="514"/>
      <c r="LMO354" s="519"/>
      <c r="LMP354" s="514"/>
      <c r="LMQ354" s="519"/>
      <c r="LMR354" s="514"/>
      <c r="LMS354" s="519"/>
      <c r="LMT354" s="514"/>
      <c r="LMU354" s="519"/>
      <c r="LMV354" s="514"/>
      <c r="LMW354" s="519"/>
      <c r="LMX354" s="514"/>
      <c r="LMY354" s="519"/>
      <c r="LMZ354" s="514"/>
      <c r="LNA354" s="519"/>
      <c r="LNB354" s="514"/>
      <c r="LNC354" s="519"/>
      <c r="LND354" s="514"/>
      <c r="LNE354" s="519"/>
      <c r="LNF354" s="514"/>
      <c r="LNG354" s="519"/>
      <c r="LNH354" s="514"/>
      <c r="LNI354" s="519"/>
      <c r="LNJ354" s="514"/>
      <c r="LNK354" s="519"/>
      <c r="LNL354" s="514"/>
      <c r="LNM354" s="519"/>
      <c r="LNN354" s="514"/>
      <c r="LNO354" s="519"/>
      <c r="LNP354" s="514"/>
      <c r="LNQ354" s="519"/>
      <c r="LNR354" s="514"/>
      <c r="LNS354" s="519"/>
      <c r="LNT354" s="514"/>
      <c r="LNU354" s="519"/>
      <c r="LNV354" s="514"/>
      <c r="LNW354" s="519"/>
      <c r="LNX354" s="514"/>
      <c r="LNY354" s="519"/>
      <c r="LNZ354" s="514"/>
      <c r="LOA354" s="519"/>
      <c r="LOB354" s="514"/>
      <c r="LOC354" s="519"/>
      <c r="LOD354" s="514"/>
      <c r="LOE354" s="519"/>
      <c r="LOF354" s="514"/>
      <c r="LOG354" s="519"/>
      <c r="LOH354" s="514"/>
      <c r="LOI354" s="519"/>
      <c r="LOJ354" s="514"/>
      <c r="LOK354" s="519"/>
      <c r="LOL354" s="514"/>
      <c r="LOM354" s="519"/>
      <c r="LON354" s="514"/>
      <c r="LOO354" s="519"/>
      <c r="LOP354" s="514"/>
      <c r="LOQ354" s="519"/>
      <c r="LOR354" s="514"/>
      <c r="LOS354" s="519"/>
      <c r="LOT354" s="514"/>
      <c r="LOU354" s="519"/>
      <c r="LOV354" s="514"/>
      <c r="LOW354" s="519"/>
      <c r="LOX354" s="514"/>
      <c r="LOY354" s="519"/>
      <c r="LOZ354" s="514"/>
      <c r="LPA354" s="519"/>
      <c r="LPB354" s="514"/>
      <c r="LPC354" s="519"/>
      <c r="LPD354" s="514"/>
      <c r="LPE354" s="519"/>
      <c r="LPF354" s="514"/>
      <c r="LPG354" s="519"/>
      <c r="LPH354" s="514"/>
      <c r="LPI354" s="519"/>
      <c r="LPJ354" s="514"/>
      <c r="LPK354" s="519"/>
      <c r="LPL354" s="514"/>
      <c r="LPM354" s="519"/>
      <c r="LPN354" s="514"/>
      <c r="LPO354" s="519"/>
      <c r="LPP354" s="514"/>
      <c r="LPQ354" s="519"/>
      <c r="LPR354" s="514"/>
      <c r="LPS354" s="519"/>
      <c r="LPT354" s="514"/>
      <c r="LPU354" s="519"/>
      <c r="LPV354" s="514"/>
      <c r="LPW354" s="519"/>
      <c r="LPX354" s="514"/>
      <c r="LPY354" s="519"/>
      <c r="LPZ354" s="514"/>
      <c r="LQA354" s="519"/>
      <c r="LQB354" s="514"/>
      <c r="LQC354" s="519"/>
      <c r="LQD354" s="514"/>
      <c r="LQE354" s="519"/>
      <c r="LQF354" s="514"/>
      <c r="LQG354" s="519"/>
      <c r="LQH354" s="514"/>
      <c r="LQI354" s="519"/>
      <c r="LQJ354" s="514"/>
      <c r="LQK354" s="519"/>
      <c r="LQL354" s="514"/>
      <c r="LQM354" s="519"/>
      <c r="LQN354" s="514"/>
      <c r="LQO354" s="519"/>
      <c r="LQP354" s="514"/>
      <c r="LQQ354" s="519"/>
      <c r="LQR354" s="514"/>
      <c r="LQS354" s="519"/>
      <c r="LQT354" s="514"/>
      <c r="LQU354" s="519"/>
      <c r="LQV354" s="514"/>
      <c r="LQW354" s="519"/>
      <c r="LQX354" s="514"/>
      <c r="LQY354" s="519"/>
      <c r="LQZ354" s="514"/>
      <c r="LRA354" s="519"/>
      <c r="LRB354" s="514"/>
      <c r="LRC354" s="519"/>
      <c r="LRD354" s="514"/>
      <c r="LRE354" s="519"/>
      <c r="LRF354" s="514"/>
      <c r="LRG354" s="519"/>
      <c r="LRH354" s="514"/>
      <c r="LRI354" s="519"/>
      <c r="LRJ354" s="514"/>
      <c r="LRK354" s="519"/>
      <c r="LRL354" s="514"/>
      <c r="LRM354" s="519"/>
      <c r="LRN354" s="514"/>
      <c r="LRO354" s="519"/>
      <c r="LRP354" s="514"/>
      <c r="LRQ354" s="519"/>
      <c r="LRR354" s="514"/>
      <c r="LRS354" s="519"/>
      <c r="LRT354" s="514"/>
      <c r="LRU354" s="519"/>
      <c r="LRV354" s="514"/>
      <c r="LRW354" s="519"/>
      <c r="LRX354" s="514"/>
      <c r="LRY354" s="519"/>
      <c r="LRZ354" s="514"/>
      <c r="LSA354" s="519"/>
      <c r="LSB354" s="514"/>
      <c r="LSC354" s="519"/>
      <c r="LSD354" s="514"/>
      <c r="LSE354" s="519"/>
      <c r="LSF354" s="514"/>
      <c r="LSG354" s="519"/>
      <c r="LSH354" s="514"/>
      <c r="LSI354" s="519"/>
      <c r="LSJ354" s="514"/>
      <c r="LSK354" s="519"/>
      <c r="LSL354" s="514"/>
      <c r="LSM354" s="519"/>
      <c r="LSN354" s="514"/>
      <c r="LSO354" s="519"/>
      <c r="LSP354" s="514"/>
      <c r="LSQ354" s="519"/>
      <c r="LSR354" s="514"/>
      <c r="LSS354" s="519"/>
      <c r="LST354" s="514"/>
      <c r="LSU354" s="519"/>
      <c r="LSV354" s="514"/>
      <c r="LSW354" s="519"/>
      <c r="LSX354" s="514"/>
      <c r="LSY354" s="519"/>
      <c r="LSZ354" s="514"/>
      <c r="LTA354" s="519"/>
      <c r="LTB354" s="514"/>
      <c r="LTC354" s="519"/>
      <c r="LTD354" s="514"/>
      <c r="LTE354" s="519"/>
      <c r="LTF354" s="514"/>
      <c r="LTG354" s="519"/>
      <c r="LTH354" s="514"/>
      <c r="LTI354" s="519"/>
      <c r="LTJ354" s="514"/>
      <c r="LTK354" s="519"/>
      <c r="LTL354" s="514"/>
      <c r="LTM354" s="519"/>
      <c r="LTN354" s="514"/>
      <c r="LTO354" s="519"/>
      <c r="LTP354" s="514"/>
      <c r="LTQ354" s="519"/>
      <c r="LTR354" s="514"/>
      <c r="LTS354" s="519"/>
      <c r="LTT354" s="514"/>
      <c r="LTU354" s="519"/>
      <c r="LTV354" s="514"/>
      <c r="LTW354" s="519"/>
      <c r="LTX354" s="514"/>
      <c r="LTY354" s="519"/>
      <c r="LTZ354" s="514"/>
      <c r="LUA354" s="519"/>
      <c r="LUB354" s="514"/>
      <c r="LUC354" s="519"/>
      <c r="LUD354" s="514"/>
      <c r="LUE354" s="519"/>
      <c r="LUF354" s="514"/>
      <c r="LUG354" s="519"/>
      <c r="LUH354" s="514"/>
      <c r="LUI354" s="519"/>
      <c r="LUJ354" s="514"/>
      <c r="LUK354" s="519"/>
      <c r="LUL354" s="514"/>
      <c r="LUM354" s="519"/>
      <c r="LUN354" s="514"/>
      <c r="LUO354" s="519"/>
      <c r="LUP354" s="514"/>
      <c r="LUQ354" s="519"/>
      <c r="LUR354" s="514"/>
      <c r="LUS354" s="519"/>
      <c r="LUT354" s="514"/>
      <c r="LUU354" s="519"/>
      <c r="LUV354" s="514"/>
      <c r="LUW354" s="519"/>
      <c r="LUX354" s="514"/>
      <c r="LUY354" s="519"/>
      <c r="LUZ354" s="514"/>
      <c r="LVA354" s="519"/>
      <c r="LVB354" s="514"/>
      <c r="LVC354" s="519"/>
      <c r="LVD354" s="514"/>
      <c r="LVE354" s="519"/>
      <c r="LVF354" s="514"/>
      <c r="LVG354" s="519"/>
      <c r="LVH354" s="514"/>
      <c r="LVI354" s="519"/>
      <c r="LVJ354" s="514"/>
      <c r="LVK354" s="519"/>
      <c r="LVL354" s="514"/>
      <c r="LVM354" s="519"/>
      <c r="LVN354" s="514"/>
      <c r="LVO354" s="519"/>
      <c r="LVP354" s="514"/>
      <c r="LVQ354" s="519"/>
      <c r="LVR354" s="514"/>
      <c r="LVS354" s="519"/>
      <c r="LVT354" s="514"/>
      <c r="LVU354" s="519"/>
      <c r="LVV354" s="514"/>
      <c r="LVW354" s="519"/>
      <c r="LVX354" s="514"/>
      <c r="LVY354" s="519"/>
      <c r="LVZ354" s="514"/>
      <c r="LWA354" s="519"/>
      <c r="LWB354" s="514"/>
      <c r="LWC354" s="519"/>
      <c r="LWD354" s="514"/>
      <c r="LWE354" s="519"/>
      <c r="LWF354" s="514"/>
      <c r="LWG354" s="519"/>
      <c r="LWH354" s="514"/>
      <c r="LWI354" s="519"/>
      <c r="LWJ354" s="514"/>
      <c r="LWK354" s="519"/>
      <c r="LWL354" s="514"/>
      <c r="LWM354" s="519"/>
      <c r="LWN354" s="514"/>
      <c r="LWO354" s="519"/>
      <c r="LWP354" s="514"/>
      <c r="LWQ354" s="519"/>
      <c r="LWR354" s="514"/>
      <c r="LWS354" s="519"/>
      <c r="LWT354" s="514"/>
      <c r="LWU354" s="519"/>
      <c r="LWV354" s="514"/>
      <c r="LWW354" s="519"/>
      <c r="LWX354" s="514"/>
      <c r="LWY354" s="519"/>
      <c r="LWZ354" s="514"/>
      <c r="LXA354" s="519"/>
      <c r="LXB354" s="514"/>
      <c r="LXC354" s="519"/>
      <c r="LXD354" s="514"/>
      <c r="LXE354" s="519"/>
      <c r="LXF354" s="514"/>
      <c r="LXG354" s="519"/>
      <c r="LXH354" s="514"/>
      <c r="LXI354" s="519"/>
      <c r="LXJ354" s="514"/>
      <c r="LXK354" s="519"/>
      <c r="LXL354" s="514"/>
      <c r="LXM354" s="519"/>
      <c r="LXN354" s="514"/>
      <c r="LXO354" s="519"/>
      <c r="LXP354" s="514"/>
      <c r="LXQ354" s="519"/>
      <c r="LXR354" s="514"/>
      <c r="LXS354" s="519"/>
      <c r="LXT354" s="514"/>
      <c r="LXU354" s="519"/>
      <c r="LXV354" s="514"/>
      <c r="LXW354" s="519"/>
      <c r="LXX354" s="514"/>
      <c r="LXY354" s="519"/>
      <c r="LXZ354" s="514"/>
      <c r="LYA354" s="519"/>
      <c r="LYB354" s="514"/>
      <c r="LYC354" s="519"/>
      <c r="LYD354" s="514"/>
      <c r="LYE354" s="519"/>
      <c r="LYF354" s="514"/>
      <c r="LYG354" s="519"/>
      <c r="LYH354" s="514"/>
      <c r="LYI354" s="519"/>
      <c r="LYJ354" s="514"/>
      <c r="LYK354" s="519"/>
      <c r="LYL354" s="514"/>
      <c r="LYM354" s="519"/>
      <c r="LYN354" s="514"/>
      <c r="LYO354" s="519"/>
      <c r="LYP354" s="514"/>
      <c r="LYQ354" s="519"/>
      <c r="LYR354" s="514"/>
      <c r="LYS354" s="519"/>
      <c r="LYT354" s="514"/>
      <c r="LYU354" s="519"/>
      <c r="LYV354" s="514"/>
      <c r="LYW354" s="519"/>
      <c r="LYX354" s="514"/>
      <c r="LYY354" s="519"/>
      <c r="LYZ354" s="514"/>
      <c r="LZA354" s="519"/>
      <c r="LZB354" s="514"/>
      <c r="LZC354" s="519"/>
      <c r="LZD354" s="514"/>
      <c r="LZE354" s="519"/>
      <c r="LZF354" s="514"/>
      <c r="LZG354" s="519"/>
      <c r="LZH354" s="514"/>
      <c r="LZI354" s="519"/>
      <c r="LZJ354" s="514"/>
      <c r="LZK354" s="519"/>
      <c r="LZL354" s="514"/>
      <c r="LZM354" s="519"/>
      <c r="LZN354" s="514"/>
      <c r="LZO354" s="519"/>
      <c r="LZP354" s="514"/>
      <c r="LZQ354" s="519"/>
      <c r="LZR354" s="514"/>
      <c r="LZS354" s="519"/>
      <c r="LZT354" s="514"/>
      <c r="LZU354" s="519"/>
      <c r="LZV354" s="514"/>
      <c r="LZW354" s="519"/>
      <c r="LZX354" s="514"/>
      <c r="LZY354" s="519"/>
      <c r="LZZ354" s="514"/>
      <c r="MAA354" s="519"/>
      <c r="MAB354" s="514"/>
      <c r="MAC354" s="519"/>
      <c r="MAD354" s="514"/>
      <c r="MAE354" s="519"/>
      <c r="MAF354" s="514"/>
      <c r="MAG354" s="519"/>
      <c r="MAH354" s="514"/>
      <c r="MAI354" s="519"/>
      <c r="MAJ354" s="514"/>
      <c r="MAK354" s="519"/>
      <c r="MAL354" s="514"/>
      <c r="MAM354" s="519"/>
      <c r="MAN354" s="514"/>
      <c r="MAO354" s="519"/>
      <c r="MAP354" s="514"/>
      <c r="MAQ354" s="519"/>
      <c r="MAR354" s="514"/>
      <c r="MAS354" s="519"/>
      <c r="MAT354" s="514"/>
      <c r="MAU354" s="519"/>
      <c r="MAV354" s="514"/>
      <c r="MAW354" s="519"/>
      <c r="MAX354" s="514"/>
      <c r="MAY354" s="519"/>
      <c r="MAZ354" s="514"/>
      <c r="MBA354" s="519"/>
      <c r="MBB354" s="514"/>
      <c r="MBC354" s="519"/>
      <c r="MBD354" s="514"/>
      <c r="MBE354" s="519"/>
      <c r="MBF354" s="514"/>
      <c r="MBG354" s="519"/>
      <c r="MBH354" s="514"/>
      <c r="MBI354" s="519"/>
      <c r="MBJ354" s="514"/>
      <c r="MBK354" s="519"/>
      <c r="MBL354" s="514"/>
      <c r="MBM354" s="519"/>
      <c r="MBN354" s="514"/>
      <c r="MBO354" s="519"/>
      <c r="MBP354" s="514"/>
      <c r="MBQ354" s="519"/>
      <c r="MBR354" s="514"/>
      <c r="MBS354" s="519"/>
      <c r="MBT354" s="514"/>
      <c r="MBU354" s="519"/>
      <c r="MBV354" s="514"/>
      <c r="MBW354" s="519"/>
      <c r="MBX354" s="514"/>
      <c r="MBY354" s="519"/>
      <c r="MBZ354" s="514"/>
      <c r="MCA354" s="519"/>
      <c r="MCB354" s="514"/>
      <c r="MCC354" s="519"/>
      <c r="MCD354" s="514"/>
      <c r="MCE354" s="519"/>
      <c r="MCF354" s="514"/>
      <c r="MCG354" s="519"/>
      <c r="MCH354" s="514"/>
      <c r="MCI354" s="519"/>
      <c r="MCJ354" s="514"/>
      <c r="MCK354" s="519"/>
      <c r="MCL354" s="514"/>
      <c r="MCM354" s="519"/>
      <c r="MCN354" s="514"/>
      <c r="MCO354" s="519"/>
      <c r="MCP354" s="514"/>
      <c r="MCQ354" s="519"/>
      <c r="MCR354" s="514"/>
      <c r="MCS354" s="519"/>
      <c r="MCT354" s="514"/>
      <c r="MCU354" s="519"/>
      <c r="MCV354" s="514"/>
      <c r="MCW354" s="519"/>
      <c r="MCX354" s="514"/>
      <c r="MCY354" s="519"/>
      <c r="MCZ354" s="514"/>
      <c r="MDA354" s="519"/>
      <c r="MDB354" s="514"/>
      <c r="MDC354" s="519"/>
      <c r="MDD354" s="514"/>
      <c r="MDE354" s="519"/>
      <c r="MDF354" s="514"/>
      <c r="MDG354" s="519"/>
      <c r="MDH354" s="514"/>
      <c r="MDI354" s="519"/>
      <c r="MDJ354" s="514"/>
      <c r="MDK354" s="519"/>
      <c r="MDL354" s="514"/>
      <c r="MDM354" s="519"/>
      <c r="MDN354" s="514"/>
      <c r="MDO354" s="519"/>
      <c r="MDP354" s="514"/>
      <c r="MDQ354" s="519"/>
      <c r="MDR354" s="514"/>
      <c r="MDS354" s="519"/>
      <c r="MDT354" s="514"/>
      <c r="MDU354" s="519"/>
      <c r="MDV354" s="514"/>
      <c r="MDW354" s="519"/>
      <c r="MDX354" s="514"/>
      <c r="MDY354" s="519"/>
      <c r="MDZ354" s="514"/>
      <c r="MEA354" s="519"/>
      <c r="MEB354" s="514"/>
      <c r="MEC354" s="519"/>
      <c r="MED354" s="514"/>
      <c r="MEE354" s="519"/>
      <c r="MEF354" s="514"/>
      <c r="MEG354" s="519"/>
      <c r="MEH354" s="514"/>
      <c r="MEI354" s="519"/>
      <c r="MEJ354" s="514"/>
      <c r="MEK354" s="519"/>
      <c r="MEL354" s="514"/>
      <c r="MEM354" s="519"/>
      <c r="MEN354" s="514"/>
      <c r="MEO354" s="519"/>
      <c r="MEP354" s="514"/>
      <c r="MEQ354" s="519"/>
      <c r="MER354" s="514"/>
      <c r="MES354" s="519"/>
      <c r="MET354" s="514"/>
      <c r="MEU354" s="519"/>
      <c r="MEV354" s="514"/>
      <c r="MEW354" s="519"/>
      <c r="MEX354" s="514"/>
      <c r="MEY354" s="519"/>
      <c r="MEZ354" s="514"/>
      <c r="MFA354" s="519"/>
      <c r="MFB354" s="514"/>
      <c r="MFC354" s="519"/>
      <c r="MFD354" s="514"/>
      <c r="MFE354" s="519"/>
      <c r="MFF354" s="514"/>
      <c r="MFG354" s="519"/>
      <c r="MFH354" s="514"/>
      <c r="MFI354" s="519"/>
      <c r="MFJ354" s="514"/>
      <c r="MFK354" s="519"/>
      <c r="MFL354" s="514"/>
      <c r="MFM354" s="519"/>
      <c r="MFN354" s="514"/>
      <c r="MFO354" s="519"/>
      <c r="MFP354" s="514"/>
      <c r="MFQ354" s="519"/>
      <c r="MFR354" s="514"/>
      <c r="MFS354" s="519"/>
      <c r="MFT354" s="514"/>
      <c r="MFU354" s="519"/>
      <c r="MFV354" s="514"/>
      <c r="MFW354" s="519"/>
      <c r="MFX354" s="514"/>
      <c r="MFY354" s="519"/>
      <c r="MFZ354" s="514"/>
      <c r="MGA354" s="519"/>
      <c r="MGB354" s="514"/>
      <c r="MGC354" s="519"/>
      <c r="MGD354" s="514"/>
      <c r="MGE354" s="519"/>
      <c r="MGF354" s="514"/>
      <c r="MGG354" s="519"/>
      <c r="MGH354" s="514"/>
      <c r="MGI354" s="519"/>
      <c r="MGJ354" s="514"/>
      <c r="MGK354" s="519"/>
      <c r="MGL354" s="514"/>
      <c r="MGM354" s="519"/>
      <c r="MGN354" s="514"/>
      <c r="MGO354" s="519"/>
      <c r="MGP354" s="514"/>
      <c r="MGQ354" s="519"/>
      <c r="MGR354" s="514"/>
      <c r="MGS354" s="519"/>
      <c r="MGT354" s="514"/>
      <c r="MGU354" s="519"/>
      <c r="MGV354" s="514"/>
      <c r="MGW354" s="519"/>
      <c r="MGX354" s="514"/>
      <c r="MGY354" s="519"/>
      <c r="MGZ354" s="514"/>
      <c r="MHA354" s="519"/>
      <c r="MHB354" s="514"/>
      <c r="MHC354" s="519"/>
      <c r="MHD354" s="514"/>
      <c r="MHE354" s="519"/>
      <c r="MHF354" s="514"/>
      <c r="MHG354" s="519"/>
      <c r="MHH354" s="514"/>
      <c r="MHI354" s="519"/>
      <c r="MHJ354" s="514"/>
      <c r="MHK354" s="519"/>
      <c r="MHL354" s="514"/>
      <c r="MHM354" s="519"/>
      <c r="MHN354" s="514"/>
      <c r="MHO354" s="519"/>
      <c r="MHP354" s="514"/>
      <c r="MHQ354" s="519"/>
      <c r="MHR354" s="514"/>
      <c r="MHS354" s="519"/>
      <c r="MHT354" s="514"/>
      <c r="MHU354" s="519"/>
      <c r="MHV354" s="514"/>
      <c r="MHW354" s="519"/>
      <c r="MHX354" s="514"/>
      <c r="MHY354" s="519"/>
      <c r="MHZ354" s="514"/>
      <c r="MIA354" s="519"/>
      <c r="MIB354" s="514"/>
      <c r="MIC354" s="519"/>
      <c r="MID354" s="514"/>
      <c r="MIE354" s="519"/>
      <c r="MIF354" s="514"/>
      <c r="MIG354" s="519"/>
      <c r="MIH354" s="514"/>
      <c r="MII354" s="519"/>
      <c r="MIJ354" s="514"/>
      <c r="MIK354" s="519"/>
      <c r="MIL354" s="514"/>
      <c r="MIM354" s="519"/>
      <c r="MIN354" s="514"/>
      <c r="MIO354" s="519"/>
      <c r="MIP354" s="514"/>
      <c r="MIQ354" s="519"/>
      <c r="MIR354" s="514"/>
      <c r="MIS354" s="519"/>
      <c r="MIT354" s="514"/>
      <c r="MIU354" s="519"/>
      <c r="MIV354" s="514"/>
      <c r="MIW354" s="519"/>
      <c r="MIX354" s="514"/>
      <c r="MIY354" s="519"/>
      <c r="MIZ354" s="514"/>
      <c r="MJA354" s="519"/>
      <c r="MJB354" s="514"/>
      <c r="MJC354" s="519"/>
      <c r="MJD354" s="514"/>
      <c r="MJE354" s="519"/>
      <c r="MJF354" s="514"/>
      <c r="MJG354" s="519"/>
      <c r="MJH354" s="514"/>
      <c r="MJI354" s="519"/>
      <c r="MJJ354" s="514"/>
      <c r="MJK354" s="519"/>
      <c r="MJL354" s="514"/>
      <c r="MJM354" s="519"/>
      <c r="MJN354" s="514"/>
      <c r="MJO354" s="519"/>
      <c r="MJP354" s="514"/>
      <c r="MJQ354" s="519"/>
      <c r="MJR354" s="514"/>
      <c r="MJS354" s="519"/>
      <c r="MJT354" s="514"/>
      <c r="MJU354" s="519"/>
      <c r="MJV354" s="514"/>
      <c r="MJW354" s="519"/>
      <c r="MJX354" s="514"/>
      <c r="MJY354" s="519"/>
      <c r="MJZ354" s="514"/>
      <c r="MKA354" s="519"/>
      <c r="MKB354" s="514"/>
      <c r="MKC354" s="519"/>
      <c r="MKD354" s="514"/>
      <c r="MKE354" s="519"/>
      <c r="MKF354" s="514"/>
      <c r="MKG354" s="519"/>
      <c r="MKH354" s="514"/>
      <c r="MKI354" s="519"/>
      <c r="MKJ354" s="514"/>
      <c r="MKK354" s="519"/>
      <c r="MKL354" s="514"/>
      <c r="MKM354" s="519"/>
      <c r="MKN354" s="514"/>
      <c r="MKO354" s="519"/>
      <c r="MKP354" s="514"/>
      <c r="MKQ354" s="519"/>
      <c r="MKR354" s="514"/>
      <c r="MKS354" s="519"/>
      <c r="MKT354" s="514"/>
      <c r="MKU354" s="519"/>
      <c r="MKV354" s="514"/>
      <c r="MKW354" s="519"/>
      <c r="MKX354" s="514"/>
      <c r="MKY354" s="519"/>
      <c r="MKZ354" s="514"/>
      <c r="MLA354" s="519"/>
      <c r="MLB354" s="514"/>
      <c r="MLC354" s="519"/>
      <c r="MLD354" s="514"/>
      <c r="MLE354" s="519"/>
      <c r="MLF354" s="514"/>
      <c r="MLG354" s="519"/>
      <c r="MLH354" s="514"/>
      <c r="MLI354" s="519"/>
      <c r="MLJ354" s="514"/>
      <c r="MLK354" s="519"/>
      <c r="MLL354" s="514"/>
      <c r="MLM354" s="519"/>
      <c r="MLN354" s="514"/>
      <c r="MLO354" s="519"/>
      <c r="MLP354" s="514"/>
      <c r="MLQ354" s="519"/>
      <c r="MLR354" s="514"/>
      <c r="MLS354" s="519"/>
      <c r="MLT354" s="514"/>
      <c r="MLU354" s="519"/>
      <c r="MLV354" s="514"/>
      <c r="MLW354" s="519"/>
      <c r="MLX354" s="514"/>
      <c r="MLY354" s="519"/>
      <c r="MLZ354" s="514"/>
      <c r="MMA354" s="519"/>
      <c r="MMB354" s="514"/>
      <c r="MMC354" s="519"/>
      <c r="MMD354" s="514"/>
      <c r="MME354" s="519"/>
      <c r="MMF354" s="514"/>
      <c r="MMG354" s="519"/>
      <c r="MMH354" s="514"/>
      <c r="MMI354" s="519"/>
      <c r="MMJ354" s="514"/>
      <c r="MMK354" s="519"/>
      <c r="MML354" s="514"/>
      <c r="MMM354" s="519"/>
      <c r="MMN354" s="514"/>
      <c r="MMO354" s="519"/>
      <c r="MMP354" s="514"/>
      <c r="MMQ354" s="519"/>
      <c r="MMR354" s="514"/>
      <c r="MMS354" s="519"/>
      <c r="MMT354" s="514"/>
      <c r="MMU354" s="519"/>
      <c r="MMV354" s="514"/>
      <c r="MMW354" s="519"/>
      <c r="MMX354" s="514"/>
      <c r="MMY354" s="519"/>
      <c r="MMZ354" s="514"/>
      <c r="MNA354" s="519"/>
      <c r="MNB354" s="514"/>
      <c r="MNC354" s="519"/>
      <c r="MND354" s="514"/>
      <c r="MNE354" s="519"/>
      <c r="MNF354" s="514"/>
      <c r="MNG354" s="519"/>
      <c r="MNH354" s="514"/>
      <c r="MNI354" s="519"/>
      <c r="MNJ354" s="514"/>
      <c r="MNK354" s="519"/>
      <c r="MNL354" s="514"/>
      <c r="MNM354" s="519"/>
      <c r="MNN354" s="514"/>
      <c r="MNO354" s="519"/>
      <c r="MNP354" s="514"/>
      <c r="MNQ354" s="519"/>
      <c r="MNR354" s="514"/>
      <c r="MNS354" s="519"/>
      <c r="MNT354" s="514"/>
      <c r="MNU354" s="519"/>
      <c r="MNV354" s="514"/>
      <c r="MNW354" s="519"/>
      <c r="MNX354" s="514"/>
      <c r="MNY354" s="519"/>
      <c r="MNZ354" s="514"/>
      <c r="MOA354" s="519"/>
      <c r="MOB354" s="514"/>
      <c r="MOC354" s="519"/>
      <c r="MOD354" s="514"/>
      <c r="MOE354" s="519"/>
      <c r="MOF354" s="514"/>
      <c r="MOG354" s="519"/>
      <c r="MOH354" s="514"/>
      <c r="MOI354" s="519"/>
      <c r="MOJ354" s="514"/>
      <c r="MOK354" s="519"/>
      <c r="MOL354" s="514"/>
      <c r="MOM354" s="519"/>
      <c r="MON354" s="514"/>
      <c r="MOO354" s="519"/>
      <c r="MOP354" s="514"/>
      <c r="MOQ354" s="519"/>
      <c r="MOR354" s="514"/>
      <c r="MOS354" s="519"/>
      <c r="MOT354" s="514"/>
      <c r="MOU354" s="519"/>
      <c r="MOV354" s="514"/>
      <c r="MOW354" s="519"/>
      <c r="MOX354" s="514"/>
      <c r="MOY354" s="519"/>
      <c r="MOZ354" s="514"/>
      <c r="MPA354" s="519"/>
      <c r="MPB354" s="514"/>
      <c r="MPC354" s="519"/>
      <c r="MPD354" s="514"/>
      <c r="MPE354" s="519"/>
      <c r="MPF354" s="514"/>
      <c r="MPG354" s="519"/>
      <c r="MPH354" s="514"/>
      <c r="MPI354" s="519"/>
      <c r="MPJ354" s="514"/>
      <c r="MPK354" s="519"/>
      <c r="MPL354" s="514"/>
      <c r="MPM354" s="519"/>
      <c r="MPN354" s="514"/>
      <c r="MPO354" s="519"/>
      <c r="MPP354" s="514"/>
      <c r="MPQ354" s="519"/>
      <c r="MPR354" s="514"/>
      <c r="MPS354" s="519"/>
      <c r="MPT354" s="514"/>
      <c r="MPU354" s="519"/>
      <c r="MPV354" s="514"/>
      <c r="MPW354" s="519"/>
      <c r="MPX354" s="514"/>
      <c r="MPY354" s="519"/>
      <c r="MPZ354" s="514"/>
      <c r="MQA354" s="519"/>
      <c r="MQB354" s="514"/>
      <c r="MQC354" s="519"/>
      <c r="MQD354" s="514"/>
      <c r="MQE354" s="519"/>
      <c r="MQF354" s="514"/>
      <c r="MQG354" s="519"/>
      <c r="MQH354" s="514"/>
      <c r="MQI354" s="519"/>
      <c r="MQJ354" s="514"/>
      <c r="MQK354" s="519"/>
      <c r="MQL354" s="514"/>
      <c r="MQM354" s="519"/>
      <c r="MQN354" s="514"/>
      <c r="MQO354" s="519"/>
      <c r="MQP354" s="514"/>
      <c r="MQQ354" s="519"/>
      <c r="MQR354" s="514"/>
      <c r="MQS354" s="519"/>
      <c r="MQT354" s="514"/>
      <c r="MQU354" s="519"/>
      <c r="MQV354" s="514"/>
      <c r="MQW354" s="519"/>
      <c r="MQX354" s="514"/>
      <c r="MQY354" s="519"/>
      <c r="MQZ354" s="514"/>
      <c r="MRA354" s="519"/>
      <c r="MRB354" s="514"/>
      <c r="MRC354" s="519"/>
      <c r="MRD354" s="514"/>
      <c r="MRE354" s="519"/>
      <c r="MRF354" s="514"/>
      <c r="MRG354" s="519"/>
      <c r="MRH354" s="514"/>
      <c r="MRI354" s="519"/>
      <c r="MRJ354" s="514"/>
      <c r="MRK354" s="519"/>
      <c r="MRL354" s="514"/>
      <c r="MRM354" s="519"/>
      <c r="MRN354" s="514"/>
      <c r="MRO354" s="519"/>
      <c r="MRP354" s="514"/>
      <c r="MRQ354" s="519"/>
      <c r="MRR354" s="514"/>
      <c r="MRS354" s="519"/>
      <c r="MRT354" s="514"/>
      <c r="MRU354" s="519"/>
      <c r="MRV354" s="514"/>
      <c r="MRW354" s="519"/>
      <c r="MRX354" s="514"/>
      <c r="MRY354" s="519"/>
      <c r="MRZ354" s="514"/>
      <c r="MSA354" s="519"/>
      <c r="MSB354" s="514"/>
      <c r="MSC354" s="519"/>
      <c r="MSD354" s="514"/>
      <c r="MSE354" s="519"/>
      <c r="MSF354" s="514"/>
      <c r="MSG354" s="519"/>
      <c r="MSH354" s="514"/>
      <c r="MSI354" s="519"/>
      <c r="MSJ354" s="514"/>
      <c r="MSK354" s="519"/>
      <c r="MSL354" s="514"/>
      <c r="MSM354" s="519"/>
      <c r="MSN354" s="514"/>
      <c r="MSO354" s="519"/>
      <c r="MSP354" s="514"/>
      <c r="MSQ354" s="519"/>
      <c r="MSR354" s="514"/>
      <c r="MSS354" s="519"/>
      <c r="MST354" s="514"/>
      <c r="MSU354" s="519"/>
      <c r="MSV354" s="514"/>
      <c r="MSW354" s="519"/>
      <c r="MSX354" s="514"/>
      <c r="MSY354" s="519"/>
      <c r="MSZ354" s="514"/>
      <c r="MTA354" s="519"/>
      <c r="MTB354" s="514"/>
      <c r="MTC354" s="519"/>
      <c r="MTD354" s="514"/>
      <c r="MTE354" s="519"/>
      <c r="MTF354" s="514"/>
      <c r="MTG354" s="519"/>
      <c r="MTH354" s="514"/>
      <c r="MTI354" s="519"/>
      <c r="MTJ354" s="514"/>
      <c r="MTK354" s="519"/>
      <c r="MTL354" s="514"/>
      <c r="MTM354" s="519"/>
      <c r="MTN354" s="514"/>
      <c r="MTO354" s="519"/>
      <c r="MTP354" s="514"/>
      <c r="MTQ354" s="519"/>
      <c r="MTR354" s="514"/>
      <c r="MTS354" s="519"/>
      <c r="MTT354" s="514"/>
      <c r="MTU354" s="519"/>
      <c r="MTV354" s="514"/>
      <c r="MTW354" s="519"/>
      <c r="MTX354" s="514"/>
      <c r="MTY354" s="519"/>
      <c r="MTZ354" s="514"/>
      <c r="MUA354" s="519"/>
      <c r="MUB354" s="514"/>
      <c r="MUC354" s="519"/>
      <c r="MUD354" s="514"/>
      <c r="MUE354" s="519"/>
      <c r="MUF354" s="514"/>
      <c r="MUG354" s="519"/>
      <c r="MUH354" s="514"/>
      <c r="MUI354" s="519"/>
      <c r="MUJ354" s="514"/>
      <c r="MUK354" s="519"/>
      <c r="MUL354" s="514"/>
      <c r="MUM354" s="519"/>
      <c r="MUN354" s="514"/>
      <c r="MUO354" s="519"/>
      <c r="MUP354" s="514"/>
      <c r="MUQ354" s="519"/>
      <c r="MUR354" s="514"/>
      <c r="MUS354" s="519"/>
      <c r="MUT354" s="514"/>
      <c r="MUU354" s="519"/>
      <c r="MUV354" s="514"/>
      <c r="MUW354" s="519"/>
      <c r="MUX354" s="514"/>
      <c r="MUY354" s="519"/>
      <c r="MUZ354" s="514"/>
      <c r="MVA354" s="519"/>
      <c r="MVB354" s="514"/>
      <c r="MVC354" s="519"/>
      <c r="MVD354" s="514"/>
      <c r="MVE354" s="519"/>
      <c r="MVF354" s="514"/>
      <c r="MVG354" s="519"/>
      <c r="MVH354" s="514"/>
      <c r="MVI354" s="519"/>
      <c r="MVJ354" s="514"/>
      <c r="MVK354" s="519"/>
      <c r="MVL354" s="514"/>
      <c r="MVM354" s="519"/>
      <c r="MVN354" s="514"/>
      <c r="MVO354" s="519"/>
      <c r="MVP354" s="514"/>
      <c r="MVQ354" s="519"/>
      <c r="MVR354" s="514"/>
      <c r="MVS354" s="519"/>
      <c r="MVT354" s="514"/>
      <c r="MVU354" s="519"/>
      <c r="MVV354" s="514"/>
      <c r="MVW354" s="519"/>
      <c r="MVX354" s="514"/>
      <c r="MVY354" s="519"/>
      <c r="MVZ354" s="514"/>
      <c r="MWA354" s="519"/>
      <c r="MWB354" s="514"/>
      <c r="MWC354" s="519"/>
      <c r="MWD354" s="514"/>
      <c r="MWE354" s="519"/>
      <c r="MWF354" s="514"/>
      <c r="MWG354" s="519"/>
      <c r="MWH354" s="514"/>
      <c r="MWI354" s="519"/>
      <c r="MWJ354" s="514"/>
      <c r="MWK354" s="519"/>
      <c r="MWL354" s="514"/>
      <c r="MWM354" s="519"/>
      <c r="MWN354" s="514"/>
      <c r="MWO354" s="519"/>
      <c r="MWP354" s="514"/>
      <c r="MWQ354" s="519"/>
      <c r="MWR354" s="514"/>
      <c r="MWS354" s="519"/>
      <c r="MWT354" s="514"/>
      <c r="MWU354" s="519"/>
      <c r="MWV354" s="514"/>
      <c r="MWW354" s="519"/>
      <c r="MWX354" s="514"/>
      <c r="MWY354" s="519"/>
      <c r="MWZ354" s="514"/>
      <c r="MXA354" s="519"/>
      <c r="MXB354" s="514"/>
      <c r="MXC354" s="519"/>
      <c r="MXD354" s="514"/>
      <c r="MXE354" s="519"/>
      <c r="MXF354" s="514"/>
      <c r="MXG354" s="519"/>
      <c r="MXH354" s="514"/>
      <c r="MXI354" s="519"/>
      <c r="MXJ354" s="514"/>
      <c r="MXK354" s="519"/>
      <c r="MXL354" s="514"/>
      <c r="MXM354" s="519"/>
      <c r="MXN354" s="514"/>
      <c r="MXO354" s="519"/>
      <c r="MXP354" s="514"/>
      <c r="MXQ354" s="519"/>
      <c r="MXR354" s="514"/>
      <c r="MXS354" s="519"/>
      <c r="MXT354" s="514"/>
      <c r="MXU354" s="519"/>
      <c r="MXV354" s="514"/>
      <c r="MXW354" s="519"/>
      <c r="MXX354" s="514"/>
      <c r="MXY354" s="519"/>
      <c r="MXZ354" s="514"/>
      <c r="MYA354" s="519"/>
      <c r="MYB354" s="514"/>
      <c r="MYC354" s="519"/>
      <c r="MYD354" s="514"/>
      <c r="MYE354" s="519"/>
      <c r="MYF354" s="514"/>
      <c r="MYG354" s="519"/>
      <c r="MYH354" s="514"/>
      <c r="MYI354" s="519"/>
      <c r="MYJ354" s="514"/>
      <c r="MYK354" s="519"/>
      <c r="MYL354" s="514"/>
      <c r="MYM354" s="519"/>
      <c r="MYN354" s="514"/>
      <c r="MYO354" s="519"/>
      <c r="MYP354" s="514"/>
      <c r="MYQ354" s="519"/>
      <c r="MYR354" s="514"/>
      <c r="MYS354" s="519"/>
      <c r="MYT354" s="514"/>
      <c r="MYU354" s="519"/>
      <c r="MYV354" s="514"/>
      <c r="MYW354" s="519"/>
      <c r="MYX354" s="514"/>
      <c r="MYY354" s="519"/>
      <c r="MYZ354" s="514"/>
      <c r="MZA354" s="519"/>
      <c r="MZB354" s="514"/>
      <c r="MZC354" s="519"/>
      <c r="MZD354" s="514"/>
      <c r="MZE354" s="519"/>
      <c r="MZF354" s="514"/>
      <c r="MZG354" s="519"/>
      <c r="MZH354" s="514"/>
      <c r="MZI354" s="519"/>
      <c r="MZJ354" s="514"/>
      <c r="MZK354" s="519"/>
      <c r="MZL354" s="514"/>
      <c r="MZM354" s="519"/>
      <c r="MZN354" s="514"/>
      <c r="MZO354" s="519"/>
      <c r="MZP354" s="514"/>
      <c r="MZQ354" s="519"/>
      <c r="MZR354" s="514"/>
      <c r="MZS354" s="519"/>
      <c r="MZT354" s="514"/>
      <c r="MZU354" s="519"/>
      <c r="MZV354" s="514"/>
      <c r="MZW354" s="519"/>
      <c r="MZX354" s="514"/>
      <c r="MZY354" s="519"/>
      <c r="MZZ354" s="514"/>
      <c r="NAA354" s="519"/>
      <c r="NAB354" s="514"/>
      <c r="NAC354" s="519"/>
      <c r="NAD354" s="514"/>
      <c r="NAE354" s="519"/>
      <c r="NAF354" s="514"/>
      <c r="NAG354" s="519"/>
      <c r="NAH354" s="514"/>
      <c r="NAI354" s="519"/>
      <c r="NAJ354" s="514"/>
      <c r="NAK354" s="519"/>
      <c r="NAL354" s="514"/>
      <c r="NAM354" s="519"/>
      <c r="NAN354" s="514"/>
      <c r="NAO354" s="519"/>
      <c r="NAP354" s="514"/>
      <c r="NAQ354" s="519"/>
      <c r="NAR354" s="514"/>
      <c r="NAS354" s="519"/>
      <c r="NAT354" s="514"/>
      <c r="NAU354" s="519"/>
      <c r="NAV354" s="514"/>
      <c r="NAW354" s="519"/>
      <c r="NAX354" s="514"/>
      <c r="NAY354" s="519"/>
      <c r="NAZ354" s="514"/>
      <c r="NBA354" s="519"/>
      <c r="NBB354" s="514"/>
      <c r="NBC354" s="519"/>
      <c r="NBD354" s="514"/>
      <c r="NBE354" s="519"/>
      <c r="NBF354" s="514"/>
      <c r="NBG354" s="519"/>
      <c r="NBH354" s="514"/>
      <c r="NBI354" s="519"/>
      <c r="NBJ354" s="514"/>
      <c r="NBK354" s="519"/>
      <c r="NBL354" s="514"/>
      <c r="NBM354" s="519"/>
      <c r="NBN354" s="514"/>
      <c r="NBO354" s="519"/>
      <c r="NBP354" s="514"/>
      <c r="NBQ354" s="519"/>
      <c r="NBR354" s="514"/>
      <c r="NBS354" s="519"/>
      <c r="NBT354" s="514"/>
      <c r="NBU354" s="519"/>
      <c r="NBV354" s="514"/>
      <c r="NBW354" s="519"/>
      <c r="NBX354" s="514"/>
      <c r="NBY354" s="519"/>
      <c r="NBZ354" s="514"/>
      <c r="NCA354" s="519"/>
      <c r="NCB354" s="514"/>
      <c r="NCC354" s="519"/>
      <c r="NCD354" s="514"/>
      <c r="NCE354" s="519"/>
      <c r="NCF354" s="514"/>
      <c r="NCG354" s="519"/>
      <c r="NCH354" s="514"/>
      <c r="NCI354" s="519"/>
      <c r="NCJ354" s="514"/>
      <c r="NCK354" s="519"/>
      <c r="NCL354" s="514"/>
      <c r="NCM354" s="519"/>
      <c r="NCN354" s="514"/>
      <c r="NCO354" s="519"/>
      <c r="NCP354" s="514"/>
      <c r="NCQ354" s="519"/>
      <c r="NCR354" s="514"/>
      <c r="NCS354" s="519"/>
      <c r="NCT354" s="514"/>
      <c r="NCU354" s="519"/>
      <c r="NCV354" s="514"/>
      <c r="NCW354" s="519"/>
      <c r="NCX354" s="514"/>
      <c r="NCY354" s="519"/>
      <c r="NCZ354" s="514"/>
      <c r="NDA354" s="519"/>
      <c r="NDB354" s="514"/>
      <c r="NDC354" s="519"/>
      <c r="NDD354" s="514"/>
      <c r="NDE354" s="519"/>
      <c r="NDF354" s="514"/>
      <c r="NDG354" s="519"/>
      <c r="NDH354" s="514"/>
      <c r="NDI354" s="519"/>
      <c r="NDJ354" s="514"/>
      <c r="NDK354" s="519"/>
      <c r="NDL354" s="514"/>
      <c r="NDM354" s="519"/>
      <c r="NDN354" s="514"/>
      <c r="NDO354" s="519"/>
      <c r="NDP354" s="514"/>
      <c r="NDQ354" s="519"/>
      <c r="NDR354" s="514"/>
      <c r="NDS354" s="519"/>
      <c r="NDT354" s="514"/>
      <c r="NDU354" s="519"/>
      <c r="NDV354" s="514"/>
      <c r="NDW354" s="519"/>
      <c r="NDX354" s="514"/>
      <c r="NDY354" s="519"/>
      <c r="NDZ354" s="514"/>
      <c r="NEA354" s="519"/>
      <c r="NEB354" s="514"/>
      <c r="NEC354" s="519"/>
      <c r="NED354" s="514"/>
      <c r="NEE354" s="519"/>
      <c r="NEF354" s="514"/>
      <c r="NEG354" s="519"/>
      <c r="NEH354" s="514"/>
      <c r="NEI354" s="519"/>
      <c r="NEJ354" s="514"/>
      <c r="NEK354" s="519"/>
      <c r="NEL354" s="514"/>
      <c r="NEM354" s="519"/>
      <c r="NEN354" s="514"/>
      <c r="NEO354" s="519"/>
      <c r="NEP354" s="514"/>
      <c r="NEQ354" s="519"/>
      <c r="NER354" s="514"/>
      <c r="NES354" s="519"/>
      <c r="NET354" s="514"/>
      <c r="NEU354" s="519"/>
      <c r="NEV354" s="514"/>
      <c r="NEW354" s="519"/>
      <c r="NEX354" s="514"/>
      <c r="NEY354" s="519"/>
      <c r="NEZ354" s="514"/>
      <c r="NFA354" s="519"/>
      <c r="NFB354" s="514"/>
      <c r="NFC354" s="519"/>
      <c r="NFD354" s="514"/>
      <c r="NFE354" s="519"/>
      <c r="NFF354" s="514"/>
      <c r="NFG354" s="519"/>
      <c r="NFH354" s="514"/>
      <c r="NFI354" s="519"/>
      <c r="NFJ354" s="514"/>
      <c r="NFK354" s="519"/>
      <c r="NFL354" s="514"/>
      <c r="NFM354" s="519"/>
      <c r="NFN354" s="514"/>
      <c r="NFO354" s="519"/>
      <c r="NFP354" s="514"/>
      <c r="NFQ354" s="519"/>
      <c r="NFR354" s="514"/>
      <c r="NFS354" s="519"/>
      <c r="NFT354" s="514"/>
      <c r="NFU354" s="519"/>
      <c r="NFV354" s="514"/>
      <c r="NFW354" s="519"/>
      <c r="NFX354" s="514"/>
      <c r="NFY354" s="519"/>
      <c r="NFZ354" s="514"/>
      <c r="NGA354" s="519"/>
      <c r="NGB354" s="514"/>
      <c r="NGC354" s="519"/>
      <c r="NGD354" s="514"/>
      <c r="NGE354" s="519"/>
      <c r="NGF354" s="514"/>
      <c r="NGG354" s="519"/>
      <c r="NGH354" s="514"/>
      <c r="NGI354" s="519"/>
      <c r="NGJ354" s="514"/>
      <c r="NGK354" s="519"/>
      <c r="NGL354" s="514"/>
      <c r="NGM354" s="519"/>
      <c r="NGN354" s="514"/>
      <c r="NGO354" s="519"/>
      <c r="NGP354" s="514"/>
      <c r="NGQ354" s="519"/>
      <c r="NGR354" s="514"/>
      <c r="NGS354" s="519"/>
      <c r="NGT354" s="514"/>
      <c r="NGU354" s="519"/>
      <c r="NGV354" s="514"/>
      <c r="NGW354" s="519"/>
      <c r="NGX354" s="514"/>
      <c r="NGY354" s="519"/>
      <c r="NGZ354" s="514"/>
      <c r="NHA354" s="519"/>
      <c r="NHB354" s="514"/>
      <c r="NHC354" s="519"/>
      <c r="NHD354" s="514"/>
      <c r="NHE354" s="519"/>
      <c r="NHF354" s="514"/>
      <c r="NHG354" s="519"/>
      <c r="NHH354" s="514"/>
      <c r="NHI354" s="519"/>
      <c r="NHJ354" s="514"/>
      <c r="NHK354" s="519"/>
      <c r="NHL354" s="514"/>
      <c r="NHM354" s="519"/>
      <c r="NHN354" s="514"/>
      <c r="NHO354" s="519"/>
      <c r="NHP354" s="514"/>
      <c r="NHQ354" s="519"/>
      <c r="NHR354" s="514"/>
      <c r="NHS354" s="519"/>
      <c r="NHT354" s="514"/>
      <c r="NHU354" s="519"/>
      <c r="NHV354" s="514"/>
      <c r="NHW354" s="519"/>
      <c r="NHX354" s="514"/>
      <c r="NHY354" s="519"/>
      <c r="NHZ354" s="514"/>
      <c r="NIA354" s="519"/>
      <c r="NIB354" s="514"/>
      <c r="NIC354" s="519"/>
      <c r="NID354" s="514"/>
      <c r="NIE354" s="519"/>
      <c r="NIF354" s="514"/>
      <c r="NIG354" s="519"/>
      <c r="NIH354" s="514"/>
      <c r="NII354" s="519"/>
      <c r="NIJ354" s="514"/>
      <c r="NIK354" s="519"/>
      <c r="NIL354" s="514"/>
      <c r="NIM354" s="519"/>
      <c r="NIN354" s="514"/>
      <c r="NIO354" s="519"/>
      <c r="NIP354" s="514"/>
      <c r="NIQ354" s="519"/>
      <c r="NIR354" s="514"/>
      <c r="NIS354" s="519"/>
      <c r="NIT354" s="514"/>
      <c r="NIU354" s="519"/>
      <c r="NIV354" s="514"/>
      <c r="NIW354" s="519"/>
      <c r="NIX354" s="514"/>
      <c r="NIY354" s="519"/>
      <c r="NIZ354" s="514"/>
      <c r="NJA354" s="519"/>
      <c r="NJB354" s="514"/>
      <c r="NJC354" s="519"/>
      <c r="NJD354" s="514"/>
      <c r="NJE354" s="519"/>
      <c r="NJF354" s="514"/>
      <c r="NJG354" s="519"/>
      <c r="NJH354" s="514"/>
      <c r="NJI354" s="519"/>
      <c r="NJJ354" s="514"/>
      <c r="NJK354" s="519"/>
      <c r="NJL354" s="514"/>
      <c r="NJM354" s="519"/>
      <c r="NJN354" s="514"/>
      <c r="NJO354" s="519"/>
      <c r="NJP354" s="514"/>
      <c r="NJQ354" s="519"/>
      <c r="NJR354" s="514"/>
      <c r="NJS354" s="519"/>
      <c r="NJT354" s="514"/>
      <c r="NJU354" s="519"/>
      <c r="NJV354" s="514"/>
      <c r="NJW354" s="519"/>
      <c r="NJX354" s="514"/>
      <c r="NJY354" s="519"/>
      <c r="NJZ354" s="514"/>
      <c r="NKA354" s="519"/>
      <c r="NKB354" s="514"/>
      <c r="NKC354" s="519"/>
      <c r="NKD354" s="514"/>
      <c r="NKE354" s="519"/>
      <c r="NKF354" s="514"/>
      <c r="NKG354" s="519"/>
      <c r="NKH354" s="514"/>
      <c r="NKI354" s="519"/>
      <c r="NKJ354" s="514"/>
      <c r="NKK354" s="519"/>
      <c r="NKL354" s="514"/>
      <c r="NKM354" s="519"/>
      <c r="NKN354" s="514"/>
      <c r="NKO354" s="519"/>
      <c r="NKP354" s="514"/>
      <c r="NKQ354" s="519"/>
      <c r="NKR354" s="514"/>
      <c r="NKS354" s="519"/>
      <c r="NKT354" s="514"/>
      <c r="NKU354" s="519"/>
      <c r="NKV354" s="514"/>
      <c r="NKW354" s="519"/>
      <c r="NKX354" s="514"/>
      <c r="NKY354" s="519"/>
      <c r="NKZ354" s="514"/>
      <c r="NLA354" s="519"/>
      <c r="NLB354" s="514"/>
      <c r="NLC354" s="519"/>
      <c r="NLD354" s="514"/>
      <c r="NLE354" s="519"/>
      <c r="NLF354" s="514"/>
      <c r="NLG354" s="519"/>
      <c r="NLH354" s="514"/>
      <c r="NLI354" s="519"/>
      <c r="NLJ354" s="514"/>
      <c r="NLK354" s="519"/>
      <c r="NLL354" s="514"/>
      <c r="NLM354" s="519"/>
      <c r="NLN354" s="514"/>
      <c r="NLO354" s="519"/>
      <c r="NLP354" s="514"/>
      <c r="NLQ354" s="519"/>
      <c r="NLR354" s="514"/>
      <c r="NLS354" s="519"/>
      <c r="NLT354" s="514"/>
      <c r="NLU354" s="519"/>
      <c r="NLV354" s="514"/>
      <c r="NLW354" s="519"/>
      <c r="NLX354" s="514"/>
      <c r="NLY354" s="519"/>
      <c r="NLZ354" s="514"/>
      <c r="NMA354" s="519"/>
      <c r="NMB354" s="514"/>
      <c r="NMC354" s="519"/>
      <c r="NMD354" s="514"/>
      <c r="NME354" s="519"/>
      <c r="NMF354" s="514"/>
      <c r="NMG354" s="519"/>
      <c r="NMH354" s="514"/>
      <c r="NMI354" s="519"/>
      <c r="NMJ354" s="514"/>
      <c r="NMK354" s="519"/>
      <c r="NML354" s="514"/>
      <c r="NMM354" s="519"/>
      <c r="NMN354" s="514"/>
      <c r="NMO354" s="519"/>
      <c r="NMP354" s="514"/>
      <c r="NMQ354" s="519"/>
      <c r="NMR354" s="514"/>
      <c r="NMS354" s="519"/>
      <c r="NMT354" s="514"/>
      <c r="NMU354" s="519"/>
      <c r="NMV354" s="514"/>
      <c r="NMW354" s="519"/>
      <c r="NMX354" s="514"/>
      <c r="NMY354" s="519"/>
      <c r="NMZ354" s="514"/>
      <c r="NNA354" s="519"/>
      <c r="NNB354" s="514"/>
      <c r="NNC354" s="519"/>
      <c r="NND354" s="514"/>
      <c r="NNE354" s="519"/>
      <c r="NNF354" s="514"/>
      <c r="NNG354" s="519"/>
      <c r="NNH354" s="514"/>
      <c r="NNI354" s="519"/>
      <c r="NNJ354" s="514"/>
      <c r="NNK354" s="519"/>
      <c r="NNL354" s="514"/>
      <c r="NNM354" s="519"/>
      <c r="NNN354" s="514"/>
      <c r="NNO354" s="519"/>
      <c r="NNP354" s="514"/>
      <c r="NNQ354" s="519"/>
      <c r="NNR354" s="514"/>
      <c r="NNS354" s="519"/>
      <c r="NNT354" s="514"/>
      <c r="NNU354" s="519"/>
      <c r="NNV354" s="514"/>
      <c r="NNW354" s="519"/>
      <c r="NNX354" s="514"/>
      <c r="NNY354" s="519"/>
      <c r="NNZ354" s="514"/>
      <c r="NOA354" s="519"/>
      <c r="NOB354" s="514"/>
      <c r="NOC354" s="519"/>
      <c r="NOD354" s="514"/>
      <c r="NOE354" s="519"/>
      <c r="NOF354" s="514"/>
      <c r="NOG354" s="519"/>
      <c r="NOH354" s="514"/>
      <c r="NOI354" s="519"/>
      <c r="NOJ354" s="514"/>
      <c r="NOK354" s="519"/>
      <c r="NOL354" s="514"/>
      <c r="NOM354" s="519"/>
      <c r="NON354" s="514"/>
      <c r="NOO354" s="519"/>
      <c r="NOP354" s="514"/>
      <c r="NOQ354" s="519"/>
      <c r="NOR354" s="514"/>
      <c r="NOS354" s="519"/>
      <c r="NOT354" s="514"/>
      <c r="NOU354" s="519"/>
      <c r="NOV354" s="514"/>
      <c r="NOW354" s="519"/>
      <c r="NOX354" s="514"/>
      <c r="NOY354" s="519"/>
      <c r="NOZ354" s="514"/>
      <c r="NPA354" s="519"/>
      <c r="NPB354" s="514"/>
      <c r="NPC354" s="519"/>
      <c r="NPD354" s="514"/>
      <c r="NPE354" s="519"/>
      <c r="NPF354" s="514"/>
      <c r="NPG354" s="519"/>
      <c r="NPH354" s="514"/>
      <c r="NPI354" s="519"/>
      <c r="NPJ354" s="514"/>
      <c r="NPK354" s="519"/>
      <c r="NPL354" s="514"/>
      <c r="NPM354" s="519"/>
      <c r="NPN354" s="514"/>
      <c r="NPO354" s="519"/>
      <c r="NPP354" s="514"/>
      <c r="NPQ354" s="519"/>
      <c r="NPR354" s="514"/>
      <c r="NPS354" s="519"/>
      <c r="NPT354" s="514"/>
      <c r="NPU354" s="519"/>
      <c r="NPV354" s="514"/>
      <c r="NPW354" s="519"/>
      <c r="NPX354" s="514"/>
      <c r="NPY354" s="519"/>
      <c r="NPZ354" s="514"/>
      <c r="NQA354" s="519"/>
      <c r="NQB354" s="514"/>
      <c r="NQC354" s="519"/>
      <c r="NQD354" s="514"/>
      <c r="NQE354" s="519"/>
      <c r="NQF354" s="514"/>
      <c r="NQG354" s="519"/>
      <c r="NQH354" s="514"/>
      <c r="NQI354" s="519"/>
      <c r="NQJ354" s="514"/>
      <c r="NQK354" s="519"/>
      <c r="NQL354" s="514"/>
      <c r="NQM354" s="519"/>
      <c r="NQN354" s="514"/>
      <c r="NQO354" s="519"/>
      <c r="NQP354" s="514"/>
      <c r="NQQ354" s="519"/>
      <c r="NQR354" s="514"/>
      <c r="NQS354" s="519"/>
      <c r="NQT354" s="514"/>
      <c r="NQU354" s="519"/>
      <c r="NQV354" s="514"/>
      <c r="NQW354" s="519"/>
      <c r="NQX354" s="514"/>
      <c r="NQY354" s="519"/>
      <c r="NQZ354" s="514"/>
      <c r="NRA354" s="519"/>
      <c r="NRB354" s="514"/>
      <c r="NRC354" s="519"/>
      <c r="NRD354" s="514"/>
      <c r="NRE354" s="519"/>
      <c r="NRF354" s="514"/>
      <c r="NRG354" s="519"/>
      <c r="NRH354" s="514"/>
      <c r="NRI354" s="519"/>
      <c r="NRJ354" s="514"/>
      <c r="NRK354" s="519"/>
      <c r="NRL354" s="514"/>
      <c r="NRM354" s="519"/>
      <c r="NRN354" s="514"/>
      <c r="NRO354" s="519"/>
      <c r="NRP354" s="514"/>
      <c r="NRQ354" s="519"/>
      <c r="NRR354" s="514"/>
      <c r="NRS354" s="519"/>
      <c r="NRT354" s="514"/>
      <c r="NRU354" s="519"/>
      <c r="NRV354" s="514"/>
      <c r="NRW354" s="519"/>
      <c r="NRX354" s="514"/>
      <c r="NRY354" s="519"/>
      <c r="NRZ354" s="514"/>
      <c r="NSA354" s="519"/>
      <c r="NSB354" s="514"/>
      <c r="NSC354" s="519"/>
      <c r="NSD354" s="514"/>
      <c r="NSE354" s="519"/>
      <c r="NSF354" s="514"/>
      <c r="NSG354" s="519"/>
      <c r="NSH354" s="514"/>
      <c r="NSI354" s="519"/>
      <c r="NSJ354" s="514"/>
      <c r="NSK354" s="519"/>
      <c r="NSL354" s="514"/>
      <c r="NSM354" s="519"/>
      <c r="NSN354" s="514"/>
      <c r="NSO354" s="519"/>
      <c r="NSP354" s="514"/>
      <c r="NSQ354" s="519"/>
      <c r="NSR354" s="514"/>
      <c r="NSS354" s="519"/>
      <c r="NST354" s="514"/>
      <c r="NSU354" s="519"/>
      <c r="NSV354" s="514"/>
      <c r="NSW354" s="519"/>
      <c r="NSX354" s="514"/>
      <c r="NSY354" s="519"/>
      <c r="NSZ354" s="514"/>
      <c r="NTA354" s="519"/>
      <c r="NTB354" s="514"/>
      <c r="NTC354" s="519"/>
      <c r="NTD354" s="514"/>
      <c r="NTE354" s="519"/>
      <c r="NTF354" s="514"/>
      <c r="NTG354" s="519"/>
      <c r="NTH354" s="514"/>
      <c r="NTI354" s="519"/>
      <c r="NTJ354" s="514"/>
      <c r="NTK354" s="519"/>
      <c r="NTL354" s="514"/>
      <c r="NTM354" s="519"/>
      <c r="NTN354" s="514"/>
      <c r="NTO354" s="519"/>
      <c r="NTP354" s="514"/>
      <c r="NTQ354" s="519"/>
      <c r="NTR354" s="514"/>
      <c r="NTS354" s="519"/>
      <c r="NTT354" s="514"/>
      <c r="NTU354" s="519"/>
      <c r="NTV354" s="514"/>
      <c r="NTW354" s="519"/>
      <c r="NTX354" s="514"/>
      <c r="NTY354" s="519"/>
      <c r="NTZ354" s="514"/>
      <c r="NUA354" s="519"/>
      <c r="NUB354" s="514"/>
      <c r="NUC354" s="519"/>
      <c r="NUD354" s="514"/>
      <c r="NUE354" s="519"/>
      <c r="NUF354" s="514"/>
      <c r="NUG354" s="519"/>
      <c r="NUH354" s="514"/>
      <c r="NUI354" s="519"/>
      <c r="NUJ354" s="514"/>
      <c r="NUK354" s="519"/>
      <c r="NUL354" s="514"/>
      <c r="NUM354" s="519"/>
      <c r="NUN354" s="514"/>
      <c r="NUO354" s="519"/>
      <c r="NUP354" s="514"/>
      <c r="NUQ354" s="519"/>
      <c r="NUR354" s="514"/>
      <c r="NUS354" s="519"/>
      <c r="NUT354" s="514"/>
      <c r="NUU354" s="519"/>
      <c r="NUV354" s="514"/>
      <c r="NUW354" s="519"/>
      <c r="NUX354" s="514"/>
      <c r="NUY354" s="519"/>
      <c r="NUZ354" s="514"/>
      <c r="NVA354" s="519"/>
      <c r="NVB354" s="514"/>
      <c r="NVC354" s="519"/>
      <c r="NVD354" s="514"/>
      <c r="NVE354" s="519"/>
      <c r="NVF354" s="514"/>
      <c r="NVG354" s="519"/>
      <c r="NVH354" s="514"/>
      <c r="NVI354" s="519"/>
      <c r="NVJ354" s="514"/>
      <c r="NVK354" s="519"/>
      <c r="NVL354" s="514"/>
      <c r="NVM354" s="519"/>
      <c r="NVN354" s="514"/>
      <c r="NVO354" s="519"/>
      <c r="NVP354" s="514"/>
      <c r="NVQ354" s="519"/>
      <c r="NVR354" s="514"/>
      <c r="NVS354" s="519"/>
      <c r="NVT354" s="514"/>
      <c r="NVU354" s="519"/>
      <c r="NVV354" s="514"/>
      <c r="NVW354" s="519"/>
      <c r="NVX354" s="514"/>
      <c r="NVY354" s="519"/>
      <c r="NVZ354" s="514"/>
      <c r="NWA354" s="519"/>
      <c r="NWB354" s="514"/>
      <c r="NWC354" s="519"/>
      <c r="NWD354" s="514"/>
      <c r="NWE354" s="519"/>
      <c r="NWF354" s="514"/>
      <c r="NWG354" s="519"/>
      <c r="NWH354" s="514"/>
      <c r="NWI354" s="519"/>
      <c r="NWJ354" s="514"/>
      <c r="NWK354" s="519"/>
      <c r="NWL354" s="514"/>
      <c r="NWM354" s="519"/>
      <c r="NWN354" s="514"/>
      <c r="NWO354" s="519"/>
      <c r="NWP354" s="514"/>
      <c r="NWQ354" s="519"/>
      <c r="NWR354" s="514"/>
      <c r="NWS354" s="519"/>
      <c r="NWT354" s="514"/>
      <c r="NWU354" s="519"/>
      <c r="NWV354" s="514"/>
      <c r="NWW354" s="519"/>
      <c r="NWX354" s="514"/>
      <c r="NWY354" s="519"/>
      <c r="NWZ354" s="514"/>
      <c r="NXA354" s="519"/>
      <c r="NXB354" s="514"/>
      <c r="NXC354" s="519"/>
      <c r="NXD354" s="514"/>
      <c r="NXE354" s="519"/>
      <c r="NXF354" s="514"/>
      <c r="NXG354" s="519"/>
      <c r="NXH354" s="514"/>
      <c r="NXI354" s="519"/>
      <c r="NXJ354" s="514"/>
      <c r="NXK354" s="519"/>
      <c r="NXL354" s="514"/>
      <c r="NXM354" s="519"/>
      <c r="NXN354" s="514"/>
      <c r="NXO354" s="519"/>
      <c r="NXP354" s="514"/>
      <c r="NXQ354" s="519"/>
      <c r="NXR354" s="514"/>
      <c r="NXS354" s="519"/>
      <c r="NXT354" s="514"/>
      <c r="NXU354" s="519"/>
      <c r="NXV354" s="514"/>
      <c r="NXW354" s="519"/>
      <c r="NXX354" s="514"/>
      <c r="NXY354" s="519"/>
      <c r="NXZ354" s="514"/>
      <c r="NYA354" s="519"/>
      <c r="NYB354" s="514"/>
      <c r="NYC354" s="519"/>
      <c r="NYD354" s="514"/>
      <c r="NYE354" s="519"/>
      <c r="NYF354" s="514"/>
      <c r="NYG354" s="519"/>
      <c r="NYH354" s="514"/>
      <c r="NYI354" s="519"/>
      <c r="NYJ354" s="514"/>
      <c r="NYK354" s="519"/>
      <c r="NYL354" s="514"/>
      <c r="NYM354" s="519"/>
      <c r="NYN354" s="514"/>
      <c r="NYO354" s="519"/>
      <c r="NYP354" s="514"/>
      <c r="NYQ354" s="519"/>
      <c r="NYR354" s="514"/>
      <c r="NYS354" s="519"/>
      <c r="NYT354" s="514"/>
      <c r="NYU354" s="519"/>
      <c r="NYV354" s="514"/>
      <c r="NYW354" s="519"/>
      <c r="NYX354" s="514"/>
      <c r="NYY354" s="519"/>
      <c r="NYZ354" s="514"/>
      <c r="NZA354" s="519"/>
      <c r="NZB354" s="514"/>
      <c r="NZC354" s="519"/>
      <c r="NZD354" s="514"/>
      <c r="NZE354" s="519"/>
      <c r="NZF354" s="514"/>
      <c r="NZG354" s="519"/>
      <c r="NZH354" s="514"/>
      <c r="NZI354" s="519"/>
      <c r="NZJ354" s="514"/>
      <c r="NZK354" s="519"/>
      <c r="NZL354" s="514"/>
      <c r="NZM354" s="519"/>
      <c r="NZN354" s="514"/>
      <c r="NZO354" s="519"/>
      <c r="NZP354" s="514"/>
      <c r="NZQ354" s="519"/>
      <c r="NZR354" s="514"/>
      <c r="NZS354" s="519"/>
      <c r="NZT354" s="514"/>
      <c r="NZU354" s="519"/>
      <c r="NZV354" s="514"/>
      <c r="NZW354" s="519"/>
      <c r="NZX354" s="514"/>
      <c r="NZY354" s="519"/>
      <c r="NZZ354" s="514"/>
      <c r="OAA354" s="519"/>
      <c r="OAB354" s="514"/>
      <c r="OAC354" s="519"/>
      <c r="OAD354" s="514"/>
      <c r="OAE354" s="519"/>
      <c r="OAF354" s="514"/>
      <c r="OAG354" s="519"/>
      <c r="OAH354" s="514"/>
      <c r="OAI354" s="519"/>
      <c r="OAJ354" s="514"/>
      <c r="OAK354" s="519"/>
      <c r="OAL354" s="514"/>
      <c r="OAM354" s="519"/>
      <c r="OAN354" s="514"/>
      <c r="OAO354" s="519"/>
      <c r="OAP354" s="514"/>
      <c r="OAQ354" s="519"/>
      <c r="OAR354" s="514"/>
      <c r="OAS354" s="519"/>
      <c r="OAT354" s="514"/>
      <c r="OAU354" s="519"/>
      <c r="OAV354" s="514"/>
      <c r="OAW354" s="519"/>
      <c r="OAX354" s="514"/>
      <c r="OAY354" s="519"/>
      <c r="OAZ354" s="514"/>
      <c r="OBA354" s="519"/>
      <c r="OBB354" s="514"/>
      <c r="OBC354" s="519"/>
      <c r="OBD354" s="514"/>
      <c r="OBE354" s="519"/>
      <c r="OBF354" s="514"/>
      <c r="OBG354" s="519"/>
      <c r="OBH354" s="514"/>
      <c r="OBI354" s="519"/>
      <c r="OBJ354" s="514"/>
      <c r="OBK354" s="519"/>
      <c r="OBL354" s="514"/>
      <c r="OBM354" s="519"/>
      <c r="OBN354" s="514"/>
      <c r="OBO354" s="519"/>
      <c r="OBP354" s="514"/>
      <c r="OBQ354" s="519"/>
      <c r="OBR354" s="514"/>
      <c r="OBS354" s="519"/>
      <c r="OBT354" s="514"/>
      <c r="OBU354" s="519"/>
      <c r="OBV354" s="514"/>
      <c r="OBW354" s="519"/>
      <c r="OBX354" s="514"/>
      <c r="OBY354" s="519"/>
      <c r="OBZ354" s="514"/>
      <c r="OCA354" s="519"/>
      <c r="OCB354" s="514"/>
      <c r="OCC354" s="519"/>
      <c r="OCD354" s="514"/>
      <c r="OCE354" s="519"/>
      <c r="OCF354" s="514"/>
      <c r="OCG354" s="519"/>
      <c r="OCH354" s="514"/>
      <c r="OCI354" s="519"/>
      <c r="OCJ354" s="514"/>
      <c r="OCK354" s="519"/>
      <c r="OCL354" s="514"/>
      <c r="OCM354" s="519"/>
      <c r="OCN354" s="514"/>
      <c r="OCO354" s="519"/>
      <c r="OCP354" s="514"/>
      <c r="OCQ354" s="519"/>
      <c r="OCR354" s="514"/>
      <c r="OCS354" s="519"/>
      <c r="OCT354" s="514"/>
      <c r="OCU354" s="519"/>
      <c r="OCV354" s="514"/>
      <c r="OCW354" s="519"/>
      <c r="OCX354" s="514"/>
      <c r="OCY354" s="519"/>
      <c r="OCZ354" s="514"/>
      <c r="ODA354" s="519"/>
      <c r="ODB354" s="514"/>
      <c r="ODC354" s="519"/>
      <c r="ODD354" s="514"/>
      <c r="ODE354" s="519"/>
      <c r="ODF354" s="514"/>
      <c r="ODG354" s="519"/>
      <c r="ODH354" s="514"/>
      <c r="ODI354" s="519"/>
      <c r="ODJ354" s="514"/>
      <c r="ODK354" s="519"/>
      <c r="ODL354" s="514"/>
      <c r="ODM354" s="519"/>
      <c r="ODN354" s="514"/>
      <c r="ODO354" s="519"/>
      <c r="ODP354" s="514"/>
      <c r="ODQ354" s="519"/>
      <c r="ODR354" s="514"/>
      <c r="ODS354" s="519"/>
      <c r="ODT354" s="514"/>
      <c r="ODU354" s="519"/>
      <c r="ODV354" s="514"/>
      <c r="ODW354" s="519"/>
      <c r="ODX354" s="514"/>
      <c r="ODY354" s="519"/>
      <c r="ODZ354" s="514"/>
      <c r="OEA354" s="519"/>
      <c r="OEB354" s="514"/>
      <c r="OEC354" s="519"/>
      <c r="OED354" s="514"/>
      <c r="OEE354" s="519"/>
      <c r="OEF354" s="514"/>
      <c r="OEG354" s="519"/>
      <c r="OEH354" s="514"/>
      <c r="OEI354" s="519"/>
      <c r="OEJ354" s="514"/>
      <c r="OEK354" s="519"/>
      <c r="OEL354" s="514"/>
      <c r="OEM354" s="519"/>
      <c r="OEN354" s="514"/>
      <c r="OEO354" s="519"/>
      <c r="OEP354" s="514"/>
      <c r="OEQ354" s="519"/>
      <c r="OER354" s="514"/>
      <c r="OES354" s="519"/>
      <c r="OET354" s="514"/>
      <c r="OEU354" s="519"/>
      <c r="OEV354" s="514"/>
      <c r="OEW354" s="519"/>
      <c r="OEX354" s="514"/>
      <c r="OEY354" s="519"/>
      <c r="OEZ354" s="514"/>
      <c r="OFA354" s="519"/>
      <c r="OFB354" s="514"/>
      <c r="OFC354" s="519"/>
      <c r="OFD354" s="514"/>
      <c r="OFE354" s="519"/>
      <c r="OFF354" s="514"/>
      <c r="OFG354" s="519"/>
      <c r="OFH354" s="514"/>
      <c r="OFI354" s="519"/>
      <c r="OFJ354" s="514"/>
      <c r="OFK354" s="519"/>
      <c r="OFL354" s="514"/>
      <c r="OFM354" s="519"/>
      <c r="OFN354" s="514"/>
      <c r="OFO354" s="519"/>
      <c r="OFP354" s="514"/>
      <c r="OFQ354" s="519"/>
      <c r="OFR354" s="514"/>
      <c r="OFS354" s="519"/>
      <c r="OFT354" s="514"/>
      <c r="OFU354" s="519"/>
      <c r="OFV354" s="514"/>
      <c r="OFW354" s="519"/>
      <c r="OFX354" s="514"/>
      <c r="OFY354" s="519"/>
      <c r="OFZ354" s="514"/>
      <c r="OGA354" s="519"/>
      <c r="OGB354" s="514"/>
      <c r="OGC354" s="519"/>
      <c r="OGD354" s="514"/>
      <c r="OGE354" s="519"/>
      <c r="OGF354" s="514"/>
      <c r="OGG354" s="519"/>
      <c r="OGH354" s="514"/>
      <c r="OGI354" s="519"/>
      <c r="OGJ354" s="514"/>
      <c r="OGK354" s="519"/>
      <c r="OGL354" s="514"/>
      <c r="OGM354" s="519"/>
      <c r="OGN354" s="514"/>
      <c r="OGO354" s="519"/>
      <c r="OGP354" s="514"/>
      <c r="OGQ354" s="519"/>
      <c r="OGR354" s="514"/>
      <c r="OGS354" s="519"/>
      <c r="OGT354" s="514"/>
      <c r="OGU354" s="519"/>
      <c r="OGV354" s="514"/>
      <c r="OGW354" s="519"/>
      <c r="OGX354" s="514"/>
      <c r="OGY354" s="519"/>
      <c r="OGZ354" s="514"/>
      <c r="OHA354" s="519"/>
      <c r="OHB354" s="514"/>
      <c r="OHC354" s="519"/>
      <c r="OHD354" s="514"/>
      <c r="OHE354" s="519"/>
      <c r="OHF354" s="514"/>
      <c r="OHG354" s="519"/>
      <c r="OHH354" s="514"/>
      <c r="OHI354" s="519"/>
      <c r="OHJ354" s="514"/>
      <c r="OHK354" s="519"/>
      <c r="OHL354" s="514"/>
      <c r="OHM354" s="519"/>
      <c r="OHN354" s="514"/>
      <c r="OHO354" s="519"/>
      <c r="OHP354" s="514"/>
      <c r="OHQ354" s="519"/>
      <c r="OHR354" s="514"/>
      <c r="OHS354" s="519"/>
      <c r="OHT354" s="514"/>
      <c r="OHU354" s="519"/>
      <c r="OHV354" s="514"/>
      <c r="OHW354" s="519"/>
      <c r="OHX354" s="514"/>
      <c r="OHY354" s="519"/>
      <c r="OHZ354" s="514"/>
      <c r="OIA354" s="519"/>
      <c r="OIB354" s="514"/>
      <c r="OIC354" s="519"/>
      <c r="OID354" s="514"/>
      <c r="OIE354" s="519"/>
      <c r="OIF354" s="514"/>
      <c r="OIG354" s="519"/>
      <c r="OIH354" s="514"/>
      <c r="OII354" s="519"/>
      <c r="OIJ354" s="514"/>
      <c r="OIK354" s="519"/>
      <c r="OIL354" s="514"/>
      <c r="OIM354" s="519"/>
      <c r="OIN354" s="514"/>
      <c r="OIO354" s="519"/>
      <c r="OIP354" s="514"/>
      <c r="OIQ354" s="519"/>
      <c r="OIR354" s="514"/>
      <c r="OIS354" s="519"/>
      <c r="OIT354" s="514"/>
      <c r="OIU354" s="519"/>
      <c r="OIV354" s="514"/>
      <c r="OIW354" s="519"/>
      <c r="OIX354" s="514"/>
      <c r="OIY354" s="519"/>
      <c r="OIZ354" s="514"/>
      <c r="OJA354" s="519"/>
      <c r="OJB354" s="514"/>
      <c r="OJC354" s="519"/>
      <c r="OJD354" s="514"/>
      <c r="OJE354" s="519"/>
      <c r="OJF354" s="514"/>
      <c r="OJG354" s="519"/>
      <c r="OJH354" s="514"/>
      <c r="OJI354" s="519"/>
      <c r="OJJ354" s="514"/>
      <c r="OJK354" s="519"/>
      <c r="OJL354" s="514"/>
      <c r="OJM354" s="519"/>
      <c r="OJN354" s="514"/>
      <c r="OJO354" s="519"/>
      <c r="OJP354" s="514"/>
      <c r="OJQ354" s="519"/>
      <c r="OJR354" s="514"/>
      <c r="OJS354" s="519"/>
      <c r="OJT354" s="514"/>
      <c r="OJU354" s="519"/>
      <c r="OJV354" s="514"/>
      <c r="OJW354" s="519"/>
      <c r="OJX354" s="514"/>
      <c r="OJY354" s="519"/>
      <c r="OJZ354" s="514"/>
      <c r="OKA354" s="519"/>
      <c r="OKB354" s="514"/>
      <c r="OKC354" s="519"/>
      <c r="OKD354" s="514"/>
      <c r="OKE354" s="519"/>
      <c r="OKF354" s="514"/>
      <c r="OKG354" s="519"/>
      <c r="OKH354" s="514"/>
      <c r="OKI354" s="519"/>
      <c r="OKJ354" s="514"/>
      <c r="OKK354" s="519"/>
      <c r="OKL354" s="514"/>
      <c r="OKM354" s="519"/>
      <c r="OKN354" s="514"/>
      <c r="OKO354" s="519"/>
      <c r="OKP354" s="514"/>
      <c r="OKQ354" s="519"/>
      <c r="OKR354" s="514"/>
      <c r="OKS354" s="519"/>
      <c r="OKT354" s="514"/>
      <c r="OKU354" s="519"/>
      <c r="OKV354" s="514"/>
      <c r="OKW354" s="519"/>
      <c r="OKX354" s="514"/>
      <c r="OKY354" s="519"/>
      <c r="OKZ354" s="514"/>
      <c r="OLA354" s="519"/>
      <c r="OLB354" s="514"/>
      <c r="OLC354" s="519"/>
      <c r="OLD354" s="514"/>
      <c r="OLE354" s="519"/>
      <c r="OLF354" s="514"/>
      <c r="OLG354" s="519"/>
      <c r="OLH354" s="514"/>
      <c r="OLI354" s="519"/>
      <c r="OLJ354" s="514"/>
      <c r="OLK354" s="519"/>
      <c r="OLL354" s="514"/>
      <c r="OLM354" s="519"/>
      <c r="OLN354" s="514"/>
      <c r="OLO354" s="519"/>
      <c r="OLP354" s="514"/>
      <c r="OLQ354" s="519"/>
      <c r="OLR354" s="514"/>
      <c r="OLS354" s="519"/>
      <c r="OLT354" s="514"/>
      <c r="OLU354" s="519"/>
      <c r="OLV354" s="514"/>
      <c r="OLW354" s="519"/>
      <c r="OLX354" s="514"/>
      <c r="OLY354" s="519"/>
      <c r="OLZ354" s="514"/>
      <c r="OMA354" s="519"/>
      <c r="OMB354" s="514"/>
      <c r="OMC354" s="519"/>
      <c r="OMD354" s="514"/>
      <c r="OME354" s="519"/>
      <c r="OMF354" s="514"/>
      <c r="OMG354" s="519"/>
      <c r="OMH354" s="514"/>
      <c r="OMI354" s="519"/>
      <c r="OMJ354" s="514"/>
      <c r="OMK354" s="519"/>
      <c r="OML354" s="514"/>
      <c r="OMM354" s="519"/>
      <c r="OMN354" s="514"/>
      <c r="OMO354" s="519"/>
      <c r="OMP354" s="514"/>
      <c r="OMQ354" s="519"/>
      <c r="OMR354" s="514"/>
      <c r="OMS354" s="519"/>
      <c r="OMT354" s="514"/>
      <c r="OMU354" s="519"/>
      <c r="OMV354" s="514"/>
      <c r="OMW354" s="519"/>
      <c r="OMX354" s="514"/>
      <c r="OMY354" s="519"/>
      <c r="OMZ354" s="514"/>
      <c r="ONA354" s="519"/>
      <c r="ONB354" s="514"/>
      <c r="ONC354" s="519"/>
      <c r="OND354" s="514"/>
      <c r="ONE354" s="519"/>
      <c r="ONF354" s="514"/>
      <c r="ONG354" s="519"/>
      <c r="ONH354" s="514"/>
      <c r="ONI354" s="519"/>
      <c r="ONJ354" s="514"/>
      <c r="ONK354" s="519"/>
      <c r="ONL354" s="514"/>
      <c r="ONM354" s="519"/>
      <c r="ONN354" s="514"/>
      <c r="ONO354" s="519"/>
      <c r="ONP354" s="514"/>
      <c r="ONQ354" s="519"/>
      <c r="ONR354" s="514"/>
      <c r="ONS354" s="519"/>
      <c r="ONT354" s="514"/>
      <c r="ONU354" s="519"/>
      <c r="ONV354" s="514"/>
      <c r="ONW354" s="519"/>
      <c r="ONX354" s="514"/>
      <c r="ONY354" s="519"/>
      <c r="ONZ354" s="514"/>
      <c r="OOA354" s="519"/>
      <c r="OOB354" s="514"/>
      <c r="OOC354" s="519"/>
      <c r="OOD354" s="514"/>
      <c r="OOE354" s="519"/>
      <c r="OOF354" s="514"/>
      <c r="OOG354" s="519"/>
      <c r="OOH354" s="514"/>
      <c r="OOI354" s="519"/>
      <c r="OOJ354" s="514"/>
      <c r="OOK354" s="519"/>
      <c r="OOL354" s="514"/>
      <c r="OOM354" s="519"/>
      <c r="OON354" s="514"/>
      <c r="OOO354" s="519"/>
      <c r="OOP354" s="514"/>
      <c r="OOQ354" s="519"/>
      <c r="OOR354" s="514"/>
      <c r="OOS354" s="519"/>
      <c r="OOT354" s="514"/>
      <c r="OOU354" s="519"/>
      <c r="OOV354" s="514"/>
      <c r="OOW354" s="519"/>
      <c r="OOX354" s="514"/>
      <c r="OOY354" s="519"/>
      <c r="OOZ354" s="514"/>
      <c r="OPA354" s="519"/>
      <c r="OPB354" s="514"/>
      <c r="OPC354" s="519"/>
      <c r="OPD354" s="514"/>
      <c r="OPE354" s="519"/>
      <c r="OPF354" s="514"/>
      <c r="OPG354" s="519"/>
      <c r="OPH354" s="514"/>
      <c r="OPI354" s="519"/>
      <c r="OPJ354" s="514"/>
      <c r="OPK354" s="519"/>
      <c r="OPL354" s="514"/>
      <c r="OPM354" s="519"/>
      <c r="OPN354" s="514"/>
      <c r="OPO354" s="519"/>
      <c r="OPP354" s="514"/>
      <c r="OPQ354" s="519"/>
      <c r="OPR354" s="514"/>
      <c r="OPS354" s="519"/>
      <c r="OPT354" s="514"/>
      <c r="OPU354" s="519"/>
      <c r="OPV354" s="514"/>
      <c r="OPW354" s="519"/>
      <c r="OPX354" s="514"/>
      <c r="OPY354" s="519"/>
      <c r="OPZ354" s="514"/>
      <c r="OQA354" s="519"/>
      <c r="OQB354" s="514"/>
      <c r="OQC354" s="519"/>
      <c r="OQD354" s="514"/>
      <c r="OQE354" s="519"/>
      <c r="OQF354" s="514"/>
      <c r="OQG354" s="519"/>
      <c r="OQH354" s="514"/>
      <c r="OQI354" s="519"/>
      <c r="OQJ354" s="514"/>
      <c r="OQK354" s="519"/>
      <c r="OQL354" s="514"/>
      <c r="OQM354" s="519"/>
      <c r="OQN354" s="514"/>
      <c r="OQO354" s="519"/>
      <c r="OQP354" s="514"/>
      <c r="OQQ354" s="519"/>
      <c r="OQR354" s="514"/>
      <c r="OQS354" s="519"/>
      <c r="OQT354" s="514"/>
      <c r="OQU354" s="519"/>
      <c r="OQV354" s="514"/>
      <c r="OQW354" s="519"/>
      <c r="OQX354" s="514"/>
      <c r="OQY354" s="519"/>
      <c r="OQZ354" s="514"/>
      <c r="ORA354" s="519"/>
      <c r="ORB354" s="514"/>
      <c r="ORC354" s="519"/>
      <c r="ORD354" s="514"/>
      <c r="ORE354" s="519"/>
      <c r="ORF354" s="514"/>
      <c r="ORG354" s="519"/>
      <c r="ORH354" s="514"/>
      <c r="ORI354" s="519"/>
      <c r="ORJ354" s="514"/>
      <c r="ORK354" s="519"/>
      <c r="ORL354" s="514"/>
      <c r="ORM354" s="519"/>
      <c r="ORN354" s="514"/>
      <c r="ORO354" s="519"/>
      <c r="ORP354" s="514"/>
      <c r="ORQ354" s="519"/>
      <c r="ORR354" s="514"/>
      <c r="ORS354" s="519"/>
      <c r="ORT354" s="514"/>
      <c r="ORU354" s="519"/>
      <c r="ORV354" s="514"/>
      <c r="ORW354" s="519"/>
      <c r="ORX354" s="514"/>
      <c r="ORY354" s="519"/>
      <c r="ORZ354" s="514"/>
      <c r="OSA354" s="519"/>
      <c r="OSB354" s="514"/>
      <c r="OSC354" s="519"/>
      <c r="OSD354" s="514"/>
      <c r="OSE354" s="519"/>
      <c r="OSF354" s="514"/>
      <c r="OSG354" s="519"/>
      <c r="OSH354" s="514"/>
      <c r="OSI354" s="519"/>
      <c r="OSJ354" s="514"/>
      <c r="OSK354" s="519"/>
      <c r="OSL354" s="514"/>
      <c r="OSM354" s="519"/>
      <c r="OSN354" s="514"/>
      <c r="OSO354" s="519"/>
      <c r="OSP354" s="514"/>
      <c r="OSQ354" s="519"/>
      <c r="OSR354" s="514"/>
      <c r="OSS354" s="519"/>
      <c r="OST354" s="514"/>
      <c r="OSU354" s="519"/>
      <c r="OSV354" s="514"/>
      <c r="OSW354" s="519"/>
      <c r="OSX354" s="514"/>
      <c r="OSY354" s="519"/>
      <c r="OSZ354" s="514"/>
      <c r="OTA354" s="519"/>
      <c r="OTB354" s="514"/>
      <c r="OTC354" s="519"/>
      <c r="OTD354" s="514"/>
      <c r="OTE354" s="519"/>
      <c r="OTF354" s="514"/>
      <c r="OTG354" s="519"/>
      <c r="OTH354" s="514"/>
      <c r="OTI354" s="519"/>
      <c r="OTJ354" s="514"/>
      <c r="OTK354" s="519"/>
      <c r="OTL354" s="514"/>
      <c r="OTM354" s="519"/>
      <c r="OTN354" s="514"/>
      <c r="OTO354" s="519"/>
      <c r="OTP354" s="514"/>
      <c r="OTQ354" s="519"/>
      <c r="OTR354" s="514"/>
      <c r="OTS354" s="519"/>
      <c r="OTT354" s="514"/>
      <c r="OTU354" s="519"/>
      <c r="OTV354" s="514"/>
      <c r="OTW354" s="519"/>
      <c r="OTX354" s="514"/>
      <c r="OTY354" s="519"/>
      <c r="OTZ354" s="514"/>
      <c r="OUA354" s="519"/>
      <c r="OUB354" s="514"/>
      <c r="OUC354" s="519"/>
      <c r="OUD354" s="514"/>
      <c r="OUE354" s="519"/>
      <c r="OUF354" s="514"/>
      <c r="OUG354" s="519"/>
      <c r="OUH354" s="514"/>
      <c r="OUI354" s="519"/>
      <c r="OUJ354" s="514"/>
      <c r="OUK354" s="519"/>
      <c r="OUL354" s="514"/>
      <c r="OUM354" s="519"/>
      <c r="OUN354" s="514"/>
      <c r="OUO354" s="519"/>
      <c r="OUP354" s="514"/>
      <c r="OUQ354" s="519"/>
      <c r="OUR354" s="514"/>
      <c r="OUS354" s="519"/>
      <c r="OUT354" s="514"/>
      <c r="OUU354" s="519"/>
      <c r="OUV354" s="514"/>
      <c r="OUW354" s="519"/>
      <c r="OUX354" s="514"/>
      <c r="OUY354" s="519"/>
      <c r="OUZ354" s="514"/>
      <c r="OVA354" s="519"/>
      <c r="OVB354" s="514"/>
      <c r="OVC354" s="519"/>
      <c r="OVD354" s="514"/>
      <c r="OVE354" s="519"/>
      <c r="OVF354" s="514"/>
      <c r="OVG354" s="519"/>
      <c r="OVH354" s="514"/>
      <c r="OVI354" s="519"/>
      <c r="OVJ354" s="514"/>
      <c r="OVK354" s="519"/>
      <c r="OVL354" s="514"/>
      <c r="OVM354" s="519"/>
      <c r="OVN354" s="514"/>
      <c r="OVO354" s="519"/>
      <c r="OVP354" s="514"/>
      <c r="OVQ354" s="519"/>
      <c r="OVR354" s="514"/>
      <c r="OVS354" s="519"/>
      <c r="OVT354" s="514"/>
      <c r="OVU354" s="519"/>
      <c r="OVV354" s="514"/>
      <c r="OVW354" s="519"/>
      <c r="OVX354" s="514"/>
      <c r="OVY354" s="519"/>
      <c r="OVZ354" s="514"/>
      <c r="OWA354" s="519"/>
      <c r="OWB354" s="514"/>
      <c r="OWC354" s="519"/>
      <c r="OWD354" s="514"/>
      <c r="OWE354" s="519"/>
      <c r="OWF354" s="514"/>
      <c r="OWG354" s="519"/>
      <c r="OWH354" s="514"/>
      <c r="OWI354" s="519"/>
      <c r="OWJ354" s="514"/>
      <c r="OWK354" s="519"/>
      <c r="OWL354" s="514"/>
      <c r="OWM354" s="519"/>
      <c r="OWN354" s="514"/>
      <c r="OWO354" s="519"/>
      <c r="OWP354" s="514"/>
      <c r="OWQ354" s="519"/>
      <c r="OWR354" s="514"/>
      <c r="OWS354" s="519"/>
      <c r="OWT354" s="514"/>
      <c r="OWU354" s="519"/>
      <c r="OWV354" s="514"/>
      <c r="OWW354" s="519"/>
      <c r="OWX354" s="514"/>
      <c r="OWY354" s="519"/>
      <c r="OWZ354" s="514"/>
      <c r="OXA354" s="519"/>
      <c r="OXB354" s="514"/>
      <c r="OXC354" s="519"/>
      <c r="OXD354" s="514"/>
      <c r="OXE354" s="519"/>
      <c r="OXF354" s="514"/>
      <c r="OXG354" s="519"/>
      <c r="OXH354" s="514"/>
      <c r="OXI354" s="519"/>
      <c r="OXJ354" s="514"/>
      <c r="OXK354" s="519"/>
      <c r="OXL354" s="514"/>
      <c r="OXM354" s="519"/>
      <c r="OXN354" s="514"/>
      <c r="OXO354" s="519"/>
      <c r="OXP354" s="514"/>
      <c r="OXQ354" s="519"/>
      <c r="OXR354" s="514"/>
      <c r="OXS354" s="519"/>
      <c r="OXT354" s="514"/>
      <c r="OXU354" s="519"/>
      <c r="OXV354" s="514"/>
      <c r="OXW354" s="519"/>
      <c r="OXX354" s="514"/>
      <c r="OXY354" s="519"/>
      <c r="OXZ354" s="514"/>
      <c r="OYA354" s="519"/>
      <c r="OYB354" s="514"/>
      <c r="OYC354" s="519"/>
      <c r="OYD354" s="514"/>
      <c r="OYE354" s="519"/>
      <c r="OYF354" s="514"/>
      <c r="OYG354" s="519"/>
      <c r="OYH354" s="514"/>
      <c r="OYI354" s="519"/>
      <c r="OYJ354" s="514"/>
      <c r="OYK354" s="519"/>
      <c r="OYL354" s="514"/>
      <c r="OYM354" s="519"/>
      <c r="OYN354" s="514"/>
      <c r="OYO354" s="519"/>
      <c r="OYP354" s="514"/>
      <c r="OYQ354" s="519"/>
      <c r="OYR354" s="514"/>
      <c r="OYS354" s="519"/>
      <c r="OYT354" s="514"/>
      <c r="OYU354" s="519"/>
      <c r="OYV354" s="514"/>
      <c r="OYW354" s="519"/>
      <c r="OYX354" s="514"/>
      <c r="OYY354" s="519"/>
      <c r="OYZ354" s="514"/>
      <c r="OZA354" s="519"/>
      <c r="OZB354" s="514"/>
      <c r="OZC354" s="519"/>
      <c r="OZD354" s="514"/>
      <c r="OZE354" s="519"/>
      <c r="OZF354" s="514"/>
      <c r="OZG354" s="519"/>
      <c r="OZH354" s="514"/>
      <c r="OZI354" s="519"/>
      <c r="OZJ354" s="514"/>
      <c r="OZK354" s="519"/>
      <c r="OZL354" s="514"/>
      <c r="OZM354" s="519"/>
      <c r="OZN354" s="514"/>
      <c r="OZO354" s="519"/>
      <c r="OZP354" s="514"/>
      <c r="OZQ354" s="519"/>
      <c r="OZR354" s="514"/>
      <c r="OZS354" s="519"/>
      <c r="OZT354" s="514"/>
      <c r="OZU354" s="519"/>
      <c r="OZV354" s="514"/>
      <c r="OZW354" s="519"/>
      <c r="OZX354" s="514"/>
      <c r="OZY354" s="519"/>
      <c r="OZZ354" s="514"/>
      <c r="PAA354" s="519"/>
      <c r="PAB354" s="514"/>
      <c r="PAC354" s="519"/>
      <c r="PAD354" s="514"/>
      <c r="PAE354" s="519"/>
      <c r="PAF354" s="514"/>
      <c r="PAG354" s="519"/>
      <c r="PAH354" s="514"/>
      <c r="PAI354" s="519"/>
      <c r="PAJ354" s="514"/>
      <c r="PAK354" s="519"/>
      <c r="PAL354" s="514"/>
      <c r="PAM354" s="519"/>
      <c r="PAN354" s="514"/>
      <c r="PAO354" s="519"/>
      <c r="PAP354" s="514"/>
      <c r="PAQ354" s="519"/>
      <c r="PAR354" s="514"/>
      <c r="PAS354" s="519"/>
      <c r="PAT354" s="514"/>
      <c r="PAU354" s="519"/>
      <c r="PAV354" s="514"/>
      <c r="PAW354" s="519"/>
      <c r="PAX354" s="514"/>
      <c r="PAY354" s="519"/>
      <c r="PAZ354" s="514"/>
      <c r="PBA354" s="519"/>
      <c r="PBB354" s="514"/>
      <c r="PBC354" s="519"/>
      <c r="PBD354" s="514"/>
      <c r="PBE354" s="519"/>
      <c r="PBF354" s="514"/>
      <c r="PBG354" s="519"/>
      <c r="PBH354" s="514"/>
      <c r="PBI354" s="519"/>
      <c r="PBJ354" s="514"/>
      <c r="PBK354" s="519"/>
      <c r="PBL354" s="514"/>
      <c r="PBM354" s="519"/>
      <c r="PBN354" s="514"/>
      <c r="PBO354" s="519"/>
      <c r="PBP354" s="514"/>
      <c r="PBQ354" s="519"/>
      <c r="PBR354" s="514"/>
      <c r="PBS354" s="519"/>
      <c r="PBT354" s="514"/>
      <c r="PBU354" s="519"/>
      <c r="PBV354" s="514"/>
      <c r="PBW354" s="519"/>
      <c r="PBX354" s="514"/>
      <c r="PBY354" s="519"/>
      <c r="PBZ354" s="514"/>
      <c r="PCA354" s="519"/>
      <c r="PCB354" s="514"/>
      <c r="PCC354" s="519"/>
      <c r="PCD354" s="514"/>
      <c r="PCE354" s="519"/>
      <c r="PCF354" s="514"/>
      <c r="PCG354" s="519"/>
      <c r="PCH354" s="514"/>
      <c r="PCI354" s="519"/>
      <c r="PCJ354" s="514"/>
      <c r="PCK354" s="519"/>
      <c r="PCL354" s="514"/>
      <c r="PCM354" s="519"/>
      <c r="PCN354" s="514"/>
      <c r="PCO354" s="519"/>
      <c r="PCP354" s="514"/>
      <c r="PCQ354" s="519"/>
      <c r="PCR354" s="514"/>
      <c r="PCS354" s="519"/>
      <c r="PCT354" s="514"/>
      <c r="PCU354" s="519"/>
      <c r="PCV354" s="514"/>
      <c r="PCW354" s="519"/>
      <c r="PCX354" s="514"/>
      <c r="PCY354" s="519"/>
      <c r="PCZ354" s="514"/>
      <c r="PDA354" s="519"/>
      <c r="PDB354" s="514"/>
      <c r="PDC354" s="519"/>
      <c r="PDD354" s="514"/>
      <c r="PDE354" s="519"/>
      <c r="PDF354" s="514"/>
      <c r="PDG354" s="519"/>
      <c r="PDH354" s="514"/>
      <c r="PDI354" s="519"/>
      <c r="PDJ354" s="514"/>
      <c r="PDK354" s="519"/>
      <c r="PDL354" s="514"/>
      <c r="PDM354" s="519"/>
      <c r="PDN354" s="514"/>
      <c r="PDO354" s="519"/>
      <c r="PDP354" s="514"/>
      <c r="PDQ354" s="519"/>
      <c r="PDR354" s="514"/>
      <c r="PDS354" s="519"/>
      <c r="PDT354" s="514"/>
      <c r="PDU354" s="519"/>
      <c r="PDV354" s="514"/>
      <c r="PDW354" s="519"/>
      <c r="PDX354" s="514"/>
      <c r="PDY354" s="519"/>
      <c r="PDZ354" s="514"/>
      <c r="PEA354" s="519"/>
      <c r="PEB354" s="514"/>
      <c r="PEC354" s="519"/>
      <c r="PED354" s="514"/>
      <c r="PEE354" s="519"/>
      <c r="PEF354" s="514"/>
      <c r="PEG354" s="519"/>
      <c r="PEH354" s="514"/>
      <c r="PEI354" s="519"/>
      <c r="PEJ354" s="514"/>
      <c r="PEK354" s="519"/>
      <c r="PEL354" s="514"/>
      <c r="PEM354" s="519"/>
      <c r="PEN354" s="514"/>
      <c r="PEO354" s="519"/>
      <c r="PEP354" s="514"/>
      <c r="PEQ354" s="519"/>
      <c r="PER354" s="514"/>
      <c r="PES354" s="519"/>
      <c r="PET354" s="514"/>
      <c r="PEU354" s="519"/>
      <c r="PEV354" s="514"/>
      <c r="PEW354" s="519"/>
      <c r="PEX354" s="514"/>
      <c r="PEY354" s="519"/>
      <c r="PEZ354" s="514"/>
      <c r="PFA354" s="519"/>
      <c r="PFB354" s="514"/>
      <c r="PFC354" s="519"/>
      <c r="PFD354" s="514"/>
      <c r="PFE354" s="519"/>
      <c r="PFF354" s="514"/>
      <c r="PFG354" s="519"/>
      <c r="PFH354" s="514"/>
      <c r="PFI354" s="519"/>
      <c r="PFJ354" s="514"/>
      <c r="PFK354" s="519"/>
      <c r="PFL354" s="514"/>
      <c r="PFM354" s="519"/>
      <c r="PFN354" s="514"/>
      <c r="PFO354" s="519"/>
      <c r="PFP354" s="514"/>
      <c r="PFQ354" s="519"/>
      <c r="PFR354" s="514"/>
      <c r="PFS354" s="519"/>
      <c r="PFT354" s="514"/>
      <c r="PFU354" s="519"/>
      <c r="PFV354" s="514"/>
      <c r="PFW354" s="519"/>
      <c r="PFX354" s="514"/>
      <c r="PFY354" s="519"/>
      <c r="PFZ354" s="514"/>
      <c r="PGA354" s="519"/>
      <c r="PGB354" s="514"/>
      <c r="PGC354" s="519"/>
      <c r="PGD354" s="514"/>
      <c r="PGE354" s="519"/>
      <c r="PGF354" s="514"/>
      <c r="PGG354" s="519"/>
      <c r="PGH354" s="514"/>
      <c r="PGI354" s="519"/>
      <c r="PGJ354" s="514"/>
      <c r="PGK354" s="519"/>
      <c r="PGL354" s="514"/>
      <c r="PGM354" s="519"/>
      <c r="PGN354" s="514"/>
      <c r="PGO354" s="519"/>
      <c r="PGP354" s="514"/>
      <c r="PGQ354" s="519"/>
      <c r="PGR354" s="514"/>
      <c r="PGS354" s="519"/>
      <c r="PGT354" s="514"/>
      <c r="PGU354" s="519"/>
      <c r="PGV354" s="514"/>
      <c r="PGW354" s="519"/>
      <c r="PGX354" s="514"/>
      <c r="PGY354" s="519"/>
      <c r="PGZ354" s="514"/>
      <c r="PHA354" s="519"/>
      <c r="PHB354" s="514"/>
      <c r="PHC354" s="519"/>
      <c r="PHD354" s="514"/>
      <c r="PHE354" s="519"/>
      <c r="PHF354" s="514"/>
      <c r="PHG354" s="519"/>
      <c r="PHH354" s="514"/>
      <c r="PHI354" s="519"/>
      <c r="PHJ354" s="514"/>
      <c r="PHK354" s="519"/>
      <c r="PHL354" s="514"/>
      <c r="PHM354" s="519"/>
      <c r="PHN354" s="514"/>
      <c r="PHO354" s="519"/>
      <c r="PHP354" s="514"/>
      <c r="PHQ354" s="519"/>
      <c r="PHR354" s="514"/>
      <c r="PHS354" s="519"/>
      <c r="PHT354" s="514"/>
      <c r="PHU354" s="519"/>
      <c r="PHV354" s="514"/>
      <c r="PHW354" s="519"/>
      <c r="PHX354" s="514"/>
      <c r="PHY354" s="519"/>
      <c r="PHZ354" s="514"/>
      <c r="PIA354" s="519"/>
      <c r="PIB354" s="514"/>
      <c r="PIC354" s="519"/>
      <c r="PID354" s="514"/>
      <c r="PIE354" s="519"/>
      <c r="PIF354" s="514"/>
      <c r="PIG354" s="519"/>
      <c r="PIH354" s="514"/>
      <c r="PII354" s="519"/>
      <c r="PIJ354" s="514"/>
      <c r="PIK354" s="519"/>
      <c r="PIL354" s="514"/>
      <c r="PIM354" s="519"/>
      <c r="PIN354" s="514"/>
      <c r="PIO354" s="519"/>
      <c r="PIP354" s="514"/>
      <c r="PIQ354" s="519"/>
      <c r="PIR354" s="514"/>
      <c r="PIS354" s="519"/>
      <c r="PIT354" s="514"/>
      <c r="PIU354" s="519"/>
      <c r="PIV354" s="514"/>
      <c r="PIW354" s="519"/>
      <c r="PIX354" s="514"/>
      <c r="PIY354" s="519"/>
      <c r="PIZ354" s="514"/>
      <c r="PJA354" s="519"/>
      <c r="PJB354" s="514"/>
      <c r="PJC354" s="519"/>
      <c r="PJD354" s="514"/>
      <c r="PJE354" s="519"/>
      <c r="PJF354" s="514"/>
      <c r="PJG354" s="519"/>
      <c r="PJH354" s="514"/>
      <c r="PJI354" s="519"/>
      <c r="PJJ354" s="514"/>
      <c r="PJK354" s="519"/>
      <c r="PJL354" s="514"/>
      <c r="PJM354" s="519"/>
      <c r="PJN354" s="514"/>
      <c r="PJO354" s="519"/>
      <c r="PJP354" s="514"/>
      <c r="PJQ354" s="519"/>
      <c r="PJR354" s="514"/>
      <c r="PJS354" s="519"/>
      <c r="PJT354" s="514"/>
      <c r="PJU354" s="519"/>
      <c r="PJV354" s="514"/>
      <c r="PJW354" s="519"/>
      <c r="PJX354" s="514"/>
      <c r="PJY354" s="519"/>
      <c r="PJZ354" s="514"/>
      <c r="PKA354" s="519"/>
      <c r="PKB354" s="514"/>
      <c r="PKC354" s="519"/>
      <c r="PKD354" s="514"/>
      <c r="PKE354" s="519"/>
      <c r="PKF354" s="514"/>
      <c r="PKG354" s="519"/>
      <c r="PKH354" s="514"/>
      <c r="PKI354" s="519"/>
      <c r="PKJ354" s="514"/>
      <c r="PKK354" s="519"/>
      <c r="PKL354" s="514"/>
      <c r="PKM354" s="519"/>
      <c r="PKN354" s="514"/>
      <c r="PKO354" s="519"/>
      <c r="PKP354" s="514"/>
      <c r="PKQ354" s="519"/>
      <c r="PKR354" s="514"/>
      <c r="PKS354" s="519"/>
      <c r="PKT354" s="514"/>
      <c r="PKU354" s="519"/>
      <c r="PKV354" s="514"/>
      <c r="PKW354" s="519"/>
      <c r="PKX354" s="514"/>
      <c r="PKY354" s="519"/>
      <c r="PKZ354" s="514"/>
      <c r="PLA354" s="519"/>
      <c r="PLB354" s="514"/>
      <c r="PLC354" s="519"/>
      <c r="PLD354" s="514"/>
      <c r="PLE354" s="519"/>
      <c r="PLF354" s="514"/>
      <c r="PLG354" s="519"/>
      <c r="PLH354" s="514"/>
      <c r="PLI354" s="519"/>
      <c r="PLJ354" s="514"/>
      <c r="PLK354" s="519"/>
      <c r="PLL354" s="514"/>
      <c r="PLM354" s="519"/>
      <c r="PLN354" s="514"/>
      <c r="PLO354" s="519"/>
      <c r="PLP354" s="514"/>
      <c r="PLQ354" s="519"/>
      <c r="PLR354" s="514"/>
      <c r="PLS354" s="519"/>
      <c r="PLT354" s="514"/>
      <c r="PLU354" s="519"/>
      <c r="PLV354" s="514"/>
      <c r="PLW354" s="519"/>
      <c r="PLX354" s="514"/>
      <c r="PLY354" s="519"/>
      <c r="PLZ354" s="514"/>
      <c r="PMA354" s="519"/>
      <c r="PMB354" s="514"/>
      <c r="PMC354" s="519"/>
      <c r="PMD354" s="514"/>
      <c r="PME354" s="519"/>
      <c r="PMF354" s="514"/>
      <c r="PMG354" s="519"/>
      <c r="PMH354" s="514"/>
      <c r="PMI354" s="519"/>
      <c r="PMJ354" s="514"/>
      <c r="PMK354" s="519"/>
      <c r="PML354" s="514"/>
      <c r="PMM354" s="519"/>
      <c r="PMN354" s="514"/>
      <c r="PMO354" s="519"/>
      <c r="PMP354" s="514"/>
      <c r="PMQ354" s="519"/>
      <c r="PMR354" s="514"/>
      <c r="PMS354" s="519"/>
      <c r="PMT354" s="514"/>
      <c r="PMU354" s="519"/>
      <c r="PMV354" s="514"/>
      <c r="PMW354" s="519"/>
      <c r="PMX354" s="514"/>
      <c r="PMY354" s="519"/>
      <c r="PMZ354" s="514"/>
      <c r="PNA354" s="519"/>
      <c r="PNB354" s="514"/>
      <c r="PNC354" s="519"/>
      <c r="PND354" s="514"/>
      <c r="PNE354" s="519"/>
      <c r="PNF354" s="514"/>
      <c r="PNG354" s="519"/>
      <c r="PNH354" s="514"/>
      <c r="PNI354" s="519"/>
      <c r="PNJ354" s="514"/>
      <c r="PNK354" s="519"/>
      <c r="PNL354" s="514"/>
      <c r="PNM354" s="519"/>
      <c r="PNN354" s="514"/>
      <c r="PNO354" s="519"/>
      <c r="PNP354" s="514"/>
      <c r="PNQ354" s="519"/>
      <c r="PNR354" s="514"/>
      <c r="PNS354" s="519"/>
      <c r="PNT354" s="514"/>
      <c r="PNU354" s="519"/>
      <c r="PNV354" s="514"/>
      <c r="PNW354" s="519"/>
      <c r="PNX354" s="514"/>
      <c r="PNY354" s="519"/>
      <c r="PNZ354" s="514"/>
      <c r="POA354" s="519"/>
      <c r="POB354" s="514"/>
      <c r="POC354" s="519"/>
      <c r="POD354" s="514"/>
      <c r="POE354" s="519"/>
      <c r="POF354" s="514"/>
      <c r="POG354" s="519"/>
      <c r="POH354" s="514"/>
      <c r="POI354" s="519"/>
      <c r="POJ354" s="514"/>
      <c r="POK354" s="519"/>
      <c r="POL354" s="514"/>
      <c r="POM354" s="519"/>
      <c r="PON354" s="514"/>
      <c r="POO354" s="519"/>
      <c r="POP354" s="514"/>
      <c r="POQ354" s="519"/>
      <c r="POR354" s="514"/>
      <c r="POS354" s="519"/>
      <c r="POT354" s="514"/>
      <c r="POU354" s="519"/>
      <c r="POV354" s="514"/>
      <c r="POW354" s="519"/>
      <c r="POX354" s="514"/>
      <c r="POY354" s="519"/>
      <c r="POZ354" s="514"/>
      <c r="PPA354" s="519"/>
      <c r="PPB354" s="514"/>
      <c r="PPC354" s="519"/>
      <c r="PPD354" s="514"/>
      <c r="PPE354" s="519"/>
      <c r="PPF354" s="514"/>
      <c r="PPG354" s="519"/>
      <c r="PPH354" s="514"/>
      <c r="PPI354" s="519"/>
      <c r="PPJ354" s="514"/>
      <c r="PPK354" s="519"/>
      <c r="PPL354" s="514"/>
      <c r="PPM354" s="519"/>
      <c r="PPN354" s="514"/>
      <c r="PPO354" s="519"/>
      <c r="PPP354" s="514"/>
      <c r="PPQ354" s="519"/>
      <c r="PPR354" s="514"/>
      <c r="PPS354" s="519"/>
      <c r="PPT354" s="514"/>
      <c r="PPU354" s="519"/>
      <c r="PPV354" s="514"/>
      <c r="PPW354" s="519"/>
      <c r="PPX354" s="514"/>
      <c r="PPY354" s="519"/>
      <c r="PPZ354" s="514"/>
      <c r="PQA354" s="519"/>
      <c r="PQB354" s="514"/>
      <c r="PQC354" s="519"/>
      <c r="PQD354" s="514"/>
      <c r="PQE354" s="519"/>
      <c r="PQF354" s="514"/>
      <c r="PQG354" s="519"/>
      <c r="PQH354" s="514"/>
      <c r="PQI354" s="519"/>
      <c r="PQJ354" s="514"/>
      <c r="PQK354" s="519"/>
      <c r="PQL354" s="514"/>
      <c r="PQM354" s="519"/>
      <c r="PQN354" s="514"/>
      <c r="PQO354" s="519"/>
      <c r="PQP354" s="514"/>
      <c r="PQQ354" s="519"/>
      <c r="PQR354" s="514"/>
      <c r="PQS354" s="519"/>
      <c r="PQT354" s="514"/>
      <c r="PQU354" s="519"/>
      <c r="PQV354" s="514"/>
      <c r="PQW354" s="519"/>
      <c r="PQX354" s="514"/>
      <c r="PQY354" s="519"/>
      <c r="PQZ354" s="514"/>
      <c r="PRA354" s="519"/>
      <c r="PRB354" s="514"/>
      <c r="PRC354" s="519"/>
      <c r="PRD354" s="514"/>
      <c r="PRE354" s="519"/>
      <c r="PRF354" s="514"/>
      <c r="PRG354" s="519"/>
      <c r="PRH354" s="514"/>
      <c r="PRI354" s="519"/>
      <c r="PRJ354" s="514"/>
      <c r="PRK354" s="519"/>
      <c r="PRL354" s="514"/>
      <c r="PRM354" s="519"/>
      <c r="PRN354" s="514"/>
      <c r="PRO354" s="519"/>
      <c r="PRP354" s="514"/>
      <c r="PRQ354" s="519"/>
      <c r="PRR354" s="514"/>
      <c r="PRS354" s="519"/>
      <c r="PRT354" s="514"/>
      <c r="PRU354" s="519"/>
      <c r="PRV354" s="514"/>
      <c r="PRW354" s="519"/>
      <c r="PRX354" s="514"/>
      <c r="PRY354" s="519"/>
      <c r="PRZ354" s="514"/>
      <c r="PSA354" s="519"/>
      <c r="PSB354" s="514"/>
      <c r="PSC354" s="519"/>
      <c r="PSD354" s="514"/>
      <c r="PSE354" s="519"/>
      <c r="PSF354" s="514"/>
      <c r="PSG354" s="519"/>
      <c r="PSH354" s="514"/>
      <c r="PSI354" s="519"/>
      <c r="PSJ354" s="514"/>
      <c r="PSK354" s="519"/>
      <c r="PSL354" s="514"/>
      <c r="PSM354" s="519"/>
      <c r="PSN354" s="514"/>
      <c r="PSO354" s="519"/>
      <c r="PSP354" s="514"/>
      <c r="PSQ354" s="519"/>
      <c r="PSR354" s="514"/>
      <c r="PSS354" s="519"/>
      <c r="PST354" s="514"/>
      <c r="PSU354" s="519"/>
      <c r="PSV354" s="514"/>
      <c r="PSW354" s="519"/>
      <c r="PSX354" s="514"/>
      <c r="PSY354" s="519"/>
      <c r="PSZ354" s="514"/>
      <c r="PTA354" s="519"/>
      <c r="PTB354" s="514"/>
      <c r="PTC354" s="519"/>
      <c r="PTD354" s="514"/>
      <c r="PTE354" s="519"/>
      <c r="PTF354" s="514"/>
      <c r="PTG354" s="519"/>
      <c r="PTH354" s="514"/>
      <c r="PTI354" s="519"/>
      <c r="PTJ354" s="514"/>
      <c r="PTK354" s="519"/>
      <c r="PTL354" s="514"/>
      <c r="PTM354" s="519"/>
      <c r="PTN354" s="514"/>
      <c r="PTO354" s="519"/>
      <c r="PTP354" s="514"/>
      <c r="PTQ354" s="519"/>
      <c r="PTR354" s="514"/>
      <c r="PTS354" s="519"/>
      <c r="PTT354" s="514"/>
      <c r="PTU354" s="519"/>
      <c r="PTV354" s="514"/>
      <c r="PTW354" s="519"/>
      <c r="PTX354" s="514"/>
      <c r="PTY354" s="519"/>
      <c r="PTZ354" s="514"/>
      <c r="PUA354" s="519"/>
      <c r="PUB354" s="514"/>
      <c r="PUC354" s="519"/>
      <c r="PUD354" s="514"/>
      <c r="PUE354" s="519"/>
      <c r="PUF354" s="514"/>
      <c r="PUG354" s="519"/>
      <c r="PUH354" s="514"/>
      <c r="PUI354" s="519"/>
      <c r="PUJ354" s="514"/>
      <c r="PUK354" s="519"/>
      <c r="PUL354" s="514"/>
      <c r="PUM354" s="519"/>
      <c r="PUN354" s="514"/>
      <c r="PUO354" s="519"/>
      <c r="PUP354" s="514"/>
      <c r="PUQ354" s="519"/>
      <c r="PUR354" s="514"/>
      <c r="PUS354" s="519"/>
      <c r="PUT354" s="514"/>
      <c r="PUU354" s="519"/>
      <c r="PUV354" s="514"/>
      <c r="PUW354" s="519"/>
      <c r="PUX354" s="514"/>
      <c r="PUY354" s="519"/>
      <c r="PUZ354" s="514"/>
      <c r="PVA354" s="519"/>
      <c r="PVB354" s="514"/>
      <c r="PVC354" s="519"/>
      <c r="PVD354" s="514"/>
      <c r="PVE354" s="519"/>
      <c r="PVF354" s="514"/>
      <c r="PVG354" s="519"/>
      <c r="PVH354" s="514"/>
      <c r="PVI354" s="519"/>
      <c r="PVJ354" s="514"/>
      <c r="PVK354" s="519"/>
      <c r="PVL354" s="514"/>
      <c r="PVM354" s="519"/>
      <c r="PVN354" s="514"/>
      <c r="PVO354" s="519"/>
      <c r="PVP354" s="514"/>
      <c r="PVQ354" s="519"/>
      <c r="PVR354" s="514"/>
      <c r="PVS354" s="519"/>
      <c r="PVT354" s="514"/>
      <c r="PVU354" s="519"/>
      <c r="PVV354" s="514"/>
      <c r="PVW354" s="519"/>
      <c r="PVX354" s="514"/>
      <c r="PVY354" s="519"/>
      <c r="PVZ354" s="514"/>
      <c r="PWA354" s="519"/>
      <c r="PWB354" s="514"/>
      <c r="PWC354" s="519"/>
      <c r="PWD354" s="514"/>
      <c r="PWE354" s="519"/>
      <c r="PWF354" s="514"/>
      <c r="PWG354" s="519"/>
      <c r="PWH354" s="514"/>
      <c r="PWI354" s="519"/>
      <c r="PWJ354" s="514"/>
      <c r="PWK354" s="519"/>
      <c r="PWL354" s="514"/>
      <c r="PWM354" s="519"/>
      <c r="PWN354" s="514"/>
      <c r="PWO354" s="519"/>
      <c r="PWP354" s="514"/>
      <c r="PWQ354" s="519"/>
      <c r="PWR354" s="514"/>
      <c r="PWS354" s="519"/>
      <c r="PWT354" s="514"/>
      <c r="PWU354" s="519"/>
      <c r="PWV354" s="514"/>
      <c r="PWW354" s="519"/>
      <c r="PWX354" s="514"/>
      <c r="PWY354" s="519"/>
      <c r="PWZ354" s="514"/>
      <c r="PXA354" s="519"/>
      <c r="PXB354" s="514"/>
      <c r="PXC354" s="519"/>
      <c r="PXD354" s="514"/>
      <c r="PXE354" s="519"/>
      <c r="PXF354" s="514"/>
      <c r="PXG354" s="519"/>
      <c r="PXH354" s="514"/>
      <c r="PXI354" s="519"/>
      <c r="PXJ354" s="514"/>
      <c r="PXK354" s="519"/>
      <c r="PXL354" s="514"/>
      <c r="PXM354" s="519"/>
      <c r="PXN354" s="514"/>
      <c r="PXO354" s="519"/>
      <c r="PXP354" s="514"/>
      <c r="PXQ354" s="519"/>
      <c r="PXR354" s="514"/>
      <c r="PXS354" s="519"/>
      <c r="PXT354" s="514"/>
      <c r="PXU354" s="519"/>
      <c r="PXV354" s="514"/>
      <c r="PXW354" s="519"/>
      <c r="PXX354" s="514"/>
      <c r="PXY354" s="519"/>
      <c r="PXZ354" s="514"/>
      <c r="PYA354" s="519"/>
      <c r="PYB354" s="514"/>
      <c r="PYC354" s="519"/>
      <c r="PYD354" s="514"/>
      <c r="PYE354" s="519"/>
      <c r="PYF354" s="514"/>
      <c r="PYG354" s="519"/>
      <c r="PYH354" s="514"/>
      <c r="PYI354" s="519"/>
      <c r="PYJ354" s="514"/>
      <c r="PYK354" s="519"/>
      <c r="PYL354" s="514"/>
      <c r="PYM354" s="519"/>
      <c r="PYN354" s="514"/>
      <c r="PYO354" s="519"/>
      <c r="PYP354" s="514"/>
      <c r="PYQ354" s="519"/>
      <c r="PYR354" s="514"/>
      <c r="PYS354" s="519"/>
      <c r="PYT354" s="514"/>
      <c r="PYU354" s="519"/>
      <c r="PYV354" s="514"/>
      <c r="PYW354" s="519"/>
      <c r="PYX354" s="514"/>
      <c r="PYY354" s="519"/>
      <c r="PYZ354" s="514"/>
      <c r="PZA354" s="519"/>
      <c r="PZB354" s="514"/>
      <c r="PZC354" s="519"/>
      <c r="PZD354" s="514"/>
      <c r="PZE354" s="519"/>
      <c r="PZF354" s="514"/>
      <c r="PZG354" s="519"/>
      <c r="PZH354" s="514"/>
      <c r="PZI354" s="519"/>
      <c r="PZJ354" s="514"/>
      <c r="PZK354" s="519"/>
      <c r="PZL354" s="514"/>
      <c r="PZM354" s="519"/>
      <c r="PZN354" s="514"/>
      <c r="PZO354" s="519"/>
      <c r="PZP354" s="514"/>
      <c r="PZQ354" s="519"/>
      <c r="PZR354" s="514"/>
      <c r="PZS354" s="519"/>
      <c r="PZT354" s="514"/>
      <c r="PZU354" s="519"/>
      <c r="PZV354" s="514"/>
      <c r="PZW354" s="519"/>
      <c r="PZX354" s="514"/>
      <c r="PZY354" s="519"/>
      <c r="PZZ354" s="514"/>
      <c r="QAA354" s="519"/>
      <c r="QAB354" s="514"/>
      <c r="QAC354" s="519"/>
      <c r="QAD354" s="514"/>
      <c r="QAE354" s="519"/>
      <c r="QAF354" s="514"/>
      <c r="QAG354" s="519"/>
      <c r="QAH354" s="514"/>
      <c r="QAI354" s="519"/>
      <c r="QAJ354" s="514"/>
      <c r="QAK354" s="519"/>
      <c r="QAL354" s="514"/>
      <c r="QAM354" s="519"/>
      <c r="QAN354" s="514"/>
      <c r="QAO354" s="519"/>
      <c r="QAP354" s="514"/>
      <c r="QAQ354" s="519"/>
      <c r="QAR354" s="514"/>
      <c r="QAS354" s="519"/>
      <c r="QAT354" s="514"/>
      <c r="QAU354" s="519"/>
      <c r="QAV354" s="514"/>
      <c r="QAW354" s="519"/>
      <c r="QAX354" s="514"/>
      <c r="QAY354" s="519"/>
      <c r="QAZ354" s="514"/>
      <c r="QBA354" s="519"/>
      <c r="QBB354" s="514"/>
      <c r="QBC354" s="519"/>
      <c r="QBD354" s="514"/>
      <c r="QBE354" s="519"/>
      <c r="QBF354" s="514"/>
      <c r="QBG354" s="519"/>
      <c r="QBH354" s="514"/>
      <c r="QBI354" s="519"/>
      <c r="QBJ354" s="514"/>
      <c r="QBK354" s="519"/>
      <c r="QBL354" s="514"/>
      <c r="QBM354" s="519"/>
      <c r="QBN354" s="514"/>
      <c r="QBO354" s="519"/>
      <c r="QBP354" s="514"/>
      <c r="QBQ354" s="519"/>
      <c r="QBR354" s="514"/>
      <c r="QBS354" s="519"/>
      <c r="QBT354" s="514"/>
      <c r="QBU354" s="519"/>
      <c r="QBV354" s="514"/>
      <c r="QBW354" s="519"/>
      <c r="QBX354" s="514"/>
      <c r="QBY354" s="519"/>
      <c r="QBZ354" s="514"/>
      <c r="QCA354" s="519"/>
      <c r="QCB354" s="514"/>
      <c r="QCC354" s="519"/>
      <c r="QCD354" s="514"/>
      <c r="QCE354" s="519"/>
      <c r="QCF354" s="514"/>
      <c r="QCG354" s="519"/>
      <c r="QCH354" s="514"/>
      <c r="QCI354" s="519"/>
      <c r="QCJ354" s="514"/>
      <c r="QCK354" s="519"/>
      <c r="QCL354" s="514"/>
      <c r="QCM354" s="519"/>
      <c r="QCN354" s="514"/>
      <c r="QCO354" s="519"/>
      <c r="QCP354" s="514"/>
      <c r="QCQ354" s="519"/>
      <c r="QCR354" s="514"/>
      <c r="QCS354" s="519"/>
      <c r="QCT354" s="514"/>
      <c r="QCU354" s="519"/>
      <c r="QCV354" s="514"/>
      <c r="QCW354" s="519"/>
      <c r="QCX354" s="514"/>
      <c r="QCY354" s="519"/>
      <c r="QCZ354" s="514"/>
      <c r="QDA354" s="519"/>
      <c r="QDB354" s="514"/>
      <c r="QDC354" s="519"/>
      <c r="QDD354" s="514"/>
      <c r="QDE354" s="519"/>
      <c r="QDF354" s="514"/>
      <c r="QDG354" s="519"/>
      <c r="QDH354" s="514"/>
      <c r="QDI354" s="519"/>
      <c r="QDJ354" s="514"/>
      <c r="QDK354" s="519"/>
      <c r="QDL354" s="514"/>
      <c r="QDM354" s="519"/>
      <c r="QDN354" s="514"/>
      <c r="QDO354" s="519"/>
      <c r="QDP354" s="514"/>
      <c r="QDQ354" s="519"/>
      <c r="QDR354" s="514"/>
      <c r="QDS354" s="519"/>
      <c r="QDT354" s="514"/>
      <c r="QDU354" s="519"/>
      <c r="QDV354" s="514"/>
      <c r="QDW354" s="519"/>
      <c r="QDX354" s="514"/>
      <c r="QDY354" s="519"/>
      <c r="QDZ354" s="514"/>
      <c r="QEA354" s="519"/>
      <c r="QEB354" s="514"/>
      <c r="QEC354" s="519"/>
      <c r="QED354" s="514"/>
      <c r="QEE354" s="519"/>
      <c r="QEF354" s="514"/>
      <c r="QEG354" s="519"/>
      <c r="QEH354" s="514"/>
      <c r="QEI354" s="519"/>
      <c r="QEJ354" s="514"/>
      <c r="QEK354" s="519"/>
      <c r="QEL354" s="514"/>
      <c r="QEM354" s="519"/>
      <c r="QEN354" s="514"/>
      <c r="QEO354" s="519"/>
      <c r="QEP354" s="514"/>
      <c r="QEQ354" s="519"/>
      <c r="QER354" s="514"/>
      <c r="QES354" s="519"/>
      <c r="QET354" s="514"/>
      <c r="QEU354" s="519"/>
      <c r="QEV354" s="514"/>
      <c r="QEW354" s="519"/>
      <c r="QEX354" s="514"/>
      <c r="QEY354" s="519"/>
      <c r="QEZ354" s="514"/>
      <c r="QFA354" s="519"/>
      <c r="QFB354" s="514"/>
      <c r="QFC354" s="519"/>
      <c r="QFD354" s="514"/>
      <c r="QFE354" s="519"/>
      <c r="QFF354" s="514"/>
      <c r="QFG354" s="519"/>
      <c r="QFH354" s="514"/>
      <c r="QFI354" s="519"/>
      <c r="QFJ354" s="514"/>
      <c r="QFK354" s="519"/>
      <c r="QFL354" s="514"/>
      <c r="QFM354" s="519"/>
      <c r="QFN354" s="514"/>
      <c r="QFO354" s="519"/>
      <c r="QFP354" s="514"/>
      <c r="QFQ354" s="519"/>
      <c r="QFR354" s="514"/>
      <c r="QFS354" s="519"/>
      <c r="QFT354" s="514"/>
      <c r="QFU354" s="519"/>
      <c r="QFV354" s="514"/>
      <c r="QFW354" s="519"/>
      <c r="QFX354" s="514"/>
      <c r="QFY354" s="519"/>
      <c r="QFZ354" s="514"/>
      <c r="QGA354" s="519"/>
      <c r="QGB354" s="514"/>
      <c r="QGC354" s="519"/>
      <c r="QGD354" s="514"/>
      <c r="QGE354" s="519"/>
      <c r="QGF354" s="514"/>
      <c r="QGG354" s="519"/>
      <c r="QGH354" s="514"/>
      <c r="QGI354" s="519"/>
      <c r="QGJ354" s="514"/>
      <c r="QGK354" s="519"/>
      <c r="QGL354" s="514"/>
      <c r="QGM354" s="519"/>
      <c r="QGN354" s="514"/>
      <c r="QGO354" s="519"/>
      <c r="QGP354" s="514"/>
      <c r="QGQ354" s="519"/>
      <c r="QGR354" s="514"/>
      <c r="QGS354" s="519"/>
      <c r="QGT354" s="514"/>
      <c r="QGU354" s="519"/>
      <c r="QGV354" s="514"/>
      <c r="QGW354" s="519"/>
      <c r="QGX354" s="514"/>
      <c r="QGY354" s="519"/>
      <c r="QGZ354" s="514"/>
      <c r="QHA354" s="519"/>
      <c r="QHB354" s="514"/>
      <c r="QHC354" s="519"/>
      <c r="QHD354" s="514"/>
      <c r="QHE354" s="519"/>
      <c r="QHF354" s="514"/>
      <c r="QHG354" s="519"/>
      <c r="QHH354" s="514"/>
      <c r="QHI354" s="519"/>
      <c r="QHJ354" s="514"/>
      <c r="QHK354" s="519"/>
      <c r="QHL354" s="514"/>
      <c r="QHM354" s="519"/>
      <c r="QHN354" s="514"/>
      <c r="QHO354" s="519"/>
      <c r="QHP354" s="514"/>
      <c r="QHQ354" s="519"/>
      <c r="QHR354" s="514"/>
      <c r="QHS354" s="519"/>
      <c r="QHT354" s="514"/>
      <c r="QHU354" s="519"/>
      <c r="QHV354" s="514"/>
      <c r="QHW354" s="519"/>
      <c r="QHX354" s="514"/>
      <c r="QHY354" s="519"/>
      <c r="QHZ354" s="514"/>
      <c r="QIA354" s="519"/>
      <c r="QIB354" s="514"/>
      <c r="QIC354" s="519"/>
      <c r="QID354" s="514"/>
      <c r="QIE354" s="519"/>
      <c r="QIF354" s="514"/>
      <c r="QIG354" s="519"/>
      <c r="QIH354" s="514"/>
      <c r="QII354" s="519"/>
      <c r="QIJ354" s="514"/>
      <c r="QIK354" s="519"/>
      <c r="QIL354" s="514"/>
      <c r="QIM354" s="519"/>
      <c r="QIN354" s="514"/>
      <c r="QIO354" s="519"/>
      <c r="QIP354" s="514"/>
      <c r="QIQ354" s="519"/>
      <c r="QIR354" s="514"/>
      <c r="QIS354" s="519"/>
      <c r="QIT354" s="514"/>
      <c r="QIU354" s="519"/>
      <c r="QIV354" s="514"/>
      <c r="QIW354" s="519"/>
      <c r="QIX354" s="514"/>
      <c r="QIY354" s="519"/>
      <c r="QIZ354" s="514"/>
      <c r="QJA354" s="519"/>
      <c r="QJB354" s="514"/>
      <c r="QJC354" s="519"/>
      <c r="QJD354" s="514"/>
      <c r="QJE354" s="519"/>
      <c r="QJF354" s="514"/>
      <c r="QJG354" s="519"/>
      <c r="QJH354" s="514"/>
      <c r="QJI354" s="519"/>
      <c r="QJJ354" s="514"/>
      <c r="QJK354" s="519"/>
      <c r="QJL354" s="514"/>
      <c r="QJM354" s="519"/>
      <c r="QJN354" s="514"/>
      <c r="QJO354" s="519"/>
      <c r="QJP354" s="514"/>
      <c r="QJQ354" s="519"/>
      <c r="QJR354" s="514"/>
      <c r="QJS354" s="519"/>
      <c r="QJT354" s="514"/>
      <c r="QJU354" s="519"/>
      <c r="QJV354" s="514"/>
      <c r="QJW354" s="519"/>
      <c r="QJX354" s="514"/>
      <c r="QJY354" s="519"/>
      <c r="QJZ354" s="514"/>
      <c r="QKA354" s="519"/>
      <c r="QKB354" s="514"/>
      <c r="QKC354" s="519"/>
      <c r="QKD354" s="514"/>
      <c r="QKE354" s="519"/>
      <c r="QKF354" s="514"/>
      <c r="QKG354" s="519"/>
      <c r="QKH354" s="514"/>
      <c r="QKI354" s="519"/>
      <c r="QKJ354" s="514"/>
      <c r="QKK354" s="519"/>
      <c r="QKL354" s="514"/>
      <c r="QKM354" s="519"/>
      <c r="QKN354" s="514"/>
      <c r="QKO354" s="519"/>
      <c r="QKP354" s="514"/>
      <c r="QKQ354" s="519"/>
      <c r="QKR354" s="514"/>
      <c r="QKS354" s="519"/>
      <c r="QKT354" s="514"/>
      <c r="QKU354" s="519"/>
      <c r="QKV354" s="514"/>
      <c r="QKW354" s="519"/>
      <c r="QKX354" s="514"/>
      <c r="QKY354" s="519"/>
      <c r="QKZ354" s="514"/>
      <c r="QLA354" s="519"/>
      <c r="QLB354" s="514"/>
      <c r="QLC354" s="519"/>
      <c r="QLD354" s="514"/>
      <c r="QLE354" s="519"/>
      <c r="QLF354" s="514"/>
      <c r="QLG354" s="519"/>
      <c r="QLH354" s="514"/>
      <c r="QLI354" s="519"/>
      <c r="QLJ354" s="514"/>
      <c r="QLK354" s="519"/>
      <c r="QLL354" s="514"/>
      <c r="QLM354" s="519"/>
      <c r="QLN354" s="514"/>
      <c r="QLO354" s="519"/>
      <c r="QLP354" s="514"/>
      <c r="QLQ354" s="519"/>
      <c r="QLR354" s="514"/>
      <c r="QLS354" s="519"/>
      <c r="QLT354" s="514"/>
      <c r="QLU354" s="519"/>
      <c r="QLV354" s="514"/>
      <c r="QLW354" s="519"/>
      <c r="QLX354" s="514"/>
      <c r="QLY354" s="519"/>
      <c r="QLZ354" s="514"/>
      <c r="QMA354" s="519"/>
      <c r="QMB354" s="514"/>
      <c r="QMC354" s="519"/>
      <c r="QMD354" s="514"/>
      <c r="QME354" s="519"/>
      <c r="QMF354" s="514"/>
      <c r="QMG354" s="519"/>
      <c r="QMH354" s="514"/>
      <c r="QMI354" s="519"/>
      <c r="QMJ354" s="514"/>
      <c r="QMK354" s="519"/>
      <c r="QML354" s="514"/>
      <c r="QMM354" s="519"/>
      <c r="QMN354" s="514"/>
      <c r="QMO354" s="519"/>
      <c r="QMP354" s="514"/>
      <c r="QMQ354" s="519"/>
      <c r="QMR354" s="514"/>
      <c r="QMS354" s="519"/>
      <c r="QMT354" s="514"/>
      <c r="QMU354" s="519"/>
      <c r="QMV354" s="514"/>
      <c r="QMW354" s="519"/>
      <c r="QMX354" s="514"/>
      <c r="QMY354" s="519"/>
      <c r="QMZ354" s="514"/>
      <c r="QNA354" s="519"/>
      <c r="QNB354" s="514"/>
      <c r="QNC354" s="519"/>
      <c r="QND354" s="514"/>
      <c r="QNE354" s="519"/>
      <c r="QNF354" s="514"/>
      <c r="QNG354" s="519"/>
      <c r="QNH354" s="514"/>
      <c r="QNI354" s="519"/>
      <c r="QNJ354" s="514"/>
      <c r="QNK354" s="519"/>
      <c r="QNL354" s="514"/>
      <c r="QNM354" s="519"/>
      <c r="QNN354" s="514"/>
      <c r="QNO354" s="519"/>
      <c r="QNP354" s="514"/>
      <c r="QNQ354" s="519"/>
      <c r="QNR354" s="514"/>
      <c r="QNS354" s="519"/>
      <c r="QNT354" s="514"/>
      <c r="QNU354" s="519"/>
      <c r="QNV354" s="514"/>
      <c r="QNW354" s="519"/>
      <c r="QNX354" s="514"/>
      <c r="QNY354" s="519"/>
      <c r="QNZ354" s="514"/>
      <c r="QOA354" s="519"/>
      <c r="QOB354" s="514"/>
      <c r="QOC354" s="519"/>
      <c r="QOD354" s="514"/>
      <c r="QOE354" s="519"/>
      <c r="QOF354" s="514"/>
      <c r="QOG354" s="519"/>
      <c r="QOH354" s="514"/>
      <c r="QOI354" s="519"/>
      <c r="QOJ354" s="514"/>
      <c r="QOK354" s="519"/>
      <c r="QOL354" s="514"/>
      <c r="QOM354" s="519"/>
      <c r="QON354" s="514"/>
      <c r="QOO354" s="519"/>
      <c r="QOP354" s="514"/>
      <c r="QOQ354" s="519"/>
      <c r="QOR354" s="514"/>
      <c r="QOS354" s="519"/>
      <c r="QOT354" s="514"/>
      <c r="QOU354" s="519"/>
      <c r="QOV354" s="514"/>
      <c r="QOW354" s="519"/>
      <c r="QOX354" s="514"/>
      <c r="QOY354" s="519"/>
      <c r="QOZ354" s="514"/>
      <c r="QPA354" s="519"/>
      <c r="QPB354" s="514"/>
      <c r="QPC354" s="519"/>
      <c r="QPD354" s="514"/>
      <c r="QPE354" s="519"/>
      <c r="QPF354" s="514"/>
      <c r="QPG354" s="519"/>
      <c r="QPH354" s="514"/>
      <c r="QPI354" s="519"/>
      <c r="QPJ354" s="514"/>
      <c r="QPK354" s="519"/>
      <c r="QPL354" s="514"/>
      <c r="QPM354" s="519"/>
      <c r="QPN354" s="514"/>
      <c r="QPO354" s="519"/>
      <c r="QPP354" s="514"/>
      <c r="QPQ354" s="519"/>
      <c r="QPR354" s="514"/>
      <c r="QPS354" s="519"/>
      <c r="QPT354" s="514"/>
      <c r="QPU354" s="519"/>
      <c r="QPV354" s="514"/>
      <c r="QPW354" s="519"/>
      <c r="QPX354" s="514"/>
      <c r="QPY354" s="519"/>
      <c r="QPZ354" s="514"/>
      <c r="QQA354" s="519"/>
      <c r="QQB354" s="514"/>
      <c r="QQC354" s="519"/>
      <c r="QQD354" s="514"/>
      <c r="QQE354" s="519"/>
      <c r="QQF354" s="514"/>
      <c r="QQG354" s="519"/>
      <c r="QQH354" s="514"/>
      <c r="QQI354" s="519"/>
      <c r="QQJ354" s="514"/>
      <c r="QQK354" s="519"/>
      <c r="QQL354" s="514"/>
      <c r="QQM354" s="519"/>
      <c r="QQN354" s="514"/>
      <c r="QQO354" s="519"/>
      <c r="QQP354" s="514"/>
      <c r="QQQ354" s="519"/>
      <c r="QQR354" s="514"/>
      <c r="QQS354" s="519"/>
      <c r="QQT354" s="514"/>
      <c r="QQU354" s="519"/>
      <c r="QQV354" s="514"/>
      <c r="QQW354" s="519"/>
      <c r="QQX354" s="514"/>
      <c r="QQY354" s="519"/>
      <c r="QQZ354" s="514"/>
      <c r="QRA354" s="519"/>
      <c r="QRB354" s="514"/>
      <c r="QRC354" s="519"/>
      <c r="QRD354" s="514"/>
      <c r="QRE354" s="519"/>
      <c r="QRF354" s="514"/>
      <c r="QRG354" s="519"/>
      <c r="QRH354" s="514"/>
      <c r="QRI354" s="519"/>
      <c r="QRJ354" s="514"/>
      <c r="QRK354" s="519"/>
      <c r="QRL354" s="514"/>
      <c r="QRM354" s="519"/>
      <c r="QRN354" s="514"/>
      <c r="QRO354" s="519"/>
      <c r="QRP354" s="514"/>
      <c r="QRQ354" s="519"/>
      <c r="QRR354" s="514"/>
      <c r="QRS354" s="519"/>
      <c r="QRT354" s="514"/>
      <c r="QRU354" s="519"/>
      <c r="QRV354" s="514"/>
      <c r="QRW354" s="519"/>
      <c r="QRX354" s="514"/>
      <c r="QRY354" s="519"/>
      <c r="QRZ354" s="514"/>
      <c r="QSA354" s="519"/>
      <c r="QSB354" s="514"/>
      <c r="QSC354" s="519"/>
      <c r="QSD354" s="514"/>
      <c r="QSE354" s="519"/>
      <c r="QSF354" s="514"/>
      <c r="QSG354" s="519"/>
      <c r="QSH354" s="514"/>
      <c r="QSI354" s="519"/>
      <c r="QSJ354" s="514"/>
      <c r="QSK354" s="519"/>
      <c r="QSL354" s="514"/>
      <c r="QSM354" s="519"/>
      <c r="QSN354" s="514"/>
      <c r="QSO354" s="519"/>
      <c r="QSP354" s="514"/>
      <c r="QSQ354" s="519"/>
      <c r="QSR354" s="514"/>
      <c r="QSS354" s="519"/>
      <c r="QST354" s="514"/>
      <c r="QSU354" s="519"/>
      <c r="QSV354" s="514"/>
      <c r="QSW354" s="519"/>
      <c r="QSX354" s="514"/>
      <c r="QSY354" s="519"/>
      <c r="QSZ354" s="514"/>
      <c r="QTA354" s="519"/>
      <c r="QTB354" s="514"/>
      <c r="QTC354" s="519"/>
      <c r="QTD354" s="514"/>
      <c r="QTE354" s="519"/>
      <c r="QTF354" s="514"/>
      <c r="QTG354" s="519"/>
      <c r="QTH354" s="514"/>
      <c r="QTI354" s="519"/>
      <c r="QTJ354" s="514"/>
      <c r="QTK354" s="519"/>
      <c r="QTL354" s="514"/>
      <c r="QTM354" s="519"/>
      <c r="QTN354" s="514"/>
      <c r="QTO354" s="519"/>
      <c r="QTP354" s="514"/>
      <c r="QTQ354" s="519"/>
      <c r="QTR354" s="514"/>
      <c r="QTS354" s="519"/>
      <c r="QTT354" s="514"/>
      <c r="QTU354" s="519"/>
      <c r="QTV354" s="514"/>
      <c r="QTW354" s="519"/>
      <c r="QTX354" s="514"/>
      <c r="QTY354" s="519"/>
      <c r="QTZ354" s="514"/>
      <c r="QUA354" s="519"/>
      <c r="QUB354" s="514"/>
      <c r="QUC354" s="519"/>
      <c r="QUD354" s="514"/>
      <c r="QUE354" s="519"/>
      <c r="QUF354" s="514"/>
      <c r="QUG354" s="519"/>
      <c r="QUH354" s="514"/>
      <c r="QUI354" s="519"/>
      <c r="QUJ354" s="514"/>
      <c r="QUK354" s="519"/>
      <c r="QUL354" s="514"/>
      <c r="QUM354" s="519"/>
      <c r="QUN354" s="514"/>
      <c r="QUO354" s="519"/>
      <c r="QUP354" s="514"/>
      <c r="QUQ354" s="519"/>
      <c r="QUR354" s="514"/>
      <c r="QUS354" s="519"/>
      <c r="QUT354" s="514"/>
      <c r="QUU354" s="519"/>
      <c r="QUV354" s="514"/>
      <c r="QUW354" s="519"/>
      <c r="QUX354" s="514"/>
      <c r="QUY354" s="519"/>
      <c r="QUZ354" s="514"/>
      <c r="QVA354" s="519"/>
      <c r="QVB354" s="514"/>
      <c r="QVC354" s="519"/>
      <c r="QVD354" s="514"/>
      <c r="QVE354" s="519"/>
      <c r="QVF354" s="514"/>
      <c r="QVG354" s="519"/>
      <c r="QVH354" s="514"/>
      <c r="QVI354" s="519"/>
      <c r="QVJ354" s="514"/>
      <c r="QVK354" s="519"/>
      <c r="QVL354" s="514"/>
      <c r="QVM354" s="519"/>
      <c r="QVN354" s="514"/>
      <c r="QVO354" s="519"/>
      <c r="QVP354" s="514"/>
      <c r="QVQ354" s="519"/>
      <c r="QVR354" s="514"/>
      <c r="QVS354" s="519"/>
      <c r="QVT354" s="514"/>
      <c r="QVU354" s="519"/>
      <c r="QVV354" s="514"/>
      <c r="QVW354" s="519"/>
      <c r="QVX354" s="514"/>
      <c r="QVY354" s="519"/>
      <c r="QVZ354" s="514"/>
      <c r="QWA354" s="519"/>
      <c r="QWB354" s="514"/>
      <c r="QWC354" s="519"/>
      <c r="QWD354" s="514"/>
      <c r="QWE354" s="519"/>
      <c r="QWF354" s="514"/>
      <c r="QWG354" s="519"/>
      <c r="QWH354" s="514"/>
      <c r="QWI354" s="519"/>
      <c r="QWJ354" s="514"/>
      <c r="QWK354" s="519"/>
      <c r="QWL354" s="514"/>
      <c r="QWM354" s="519"/>
      <c r="QWN354" s="514"/>
      <c r="QWO354" s="519"/>
      <c r="QWP354" s="514"/>
      <c r="QWQ354" s="519"/>
      <c r="QWR354" s="514"/>
      <c r="QWS354" s="519"/>
      <c r="QWT354" s="514"/>
      <c r="QWU354" s="519"/>
      <c r="QWV354" s="514"/>
      <c r="QWW354" s="519"/>
      <c r="QWX354" s="514"/>
      <c r="QWY354" s="519"/>
      <c r="QWZ354" s="514"/>
      <c r="QXA354" s="519"/>
      <c r="QXB354" s="514"/>
      <c r="QXC354" s="519"/>
      <c r="QXD354" s="514"/>
      <c r="QXE354" s="519"/>
      <c r="QXF354" s="514"/>
      <c r="QXG354" s="519"/>
      <c r="QXH354" s="514"/>
      <c r="QXI354" s="519"/>
      <c r="QXJ354" s="514"/>
      <c r="QXK354" s="519"/>
      <c r="QXL354" s="514"/>
      <c r="QXM354" s="519"/>
      <c r="QXN354" s="514"/>
      <c r="QXO354" s="519"/>
      <c r="QXP354" s="514"/>
      <c r="QXQ354" s="519"/>
      <c r="QXR354" s="514"/>
      <c r="QXS354" s="519"/>
      <c r="QXT354" s="514"/>
      <c r="QXU354" s="519"/>
      <c r="QXV354" s="514"/>
      <c r="QXW354" s="519"/>
      <c r="QXX354" s="514"/>
      <c r="QXY354" s="519"/>
      <c r="QXZ354" s="514"/>
      <c r="QYA354" s="519"/>
      <c r="QYB354" s="514"/>
      <c r="QYC354" s="519"/>
      <c r="QYD354" s="514"/>
      <c r="QYE354" s="519"/>
      <c r="QYF354" s="514"/>
      <c r="QYG354" s="519"/>
      <c r="QYH354" s="514"/>
      <c r="QYI354" s="519"/>
      <c r="QYJ354" s="514"/>
      <c r="QYK354" s="519"/>
      <c r="QYL354" s="514"/>
      <c r="QYM354" s="519"/>
      <c r="QYN354" s="514"/>
      <c r="QYO354" s="519"/>
      <c r="QYP354" s="514"/>
      <c r="QYQ354" s="519"/>
      <c r="QYR354" s="514"/>
      <c r="QYS354" s="519"/>
      <c r="QYT354" s="514"/>
      <c r="QYU354" s="519"/>
      <c r="QYV354" s="514"/>
      <c r="QYW354" s="519"/>
      <c r="QYX354" s="514"/>
      <c r="QYY354" s="519"/>
      <c r="QYZ354" s="514"/>
      <c r="QZA354" s="519"/>
      <c r="QZB354" s="514"/>
      <c r="QZC354" s="519"/>
      <c r="QZD354" s="514"/>
      <c r="QZE354" s="519"/>
      <c r="QZF354" s="514"/>
      <c r="QZG354" s="519"/>
      <c r="QZH354" s="514"/>
      <c r="QZI354" s="519"/>
      <c r="QZJ354" s="514"/>
      <c r="QZK354" s="519"/>
      <c r="QZL354" s="514"/>
      <c r="QZM354" s="519"/>
      <c r="QZN354" s="514"/>
      <c r="QZO354" s="519"/>
      <c r="QZP354" s="514"/>
      <c r="QZQ354" s="519"/>
      <c r="QZR354" s="514"/>
      <c r="QZS354" s="519"/>
      <c r="QZT354" s="514"/>
      <c r="QZU354" s="519"/>
      <c r="QZV354" s="514"/>
      <c r="QZW354" s="519"/>
      <c r="QZX354" s="514"/>
      <c r="QZY354" s="519"/>
      <c r="QZZ354" s="514"/>
      <c r="RAA354" s="519"/>
      <c r="RAB354" s="514"/>
      <c r="RAC354" s="519"/>
      <c r="RAD354" s="514"/>
      <c r="RAE354" s="519"/>
      <c r="RAF354" s="514"/>
      <c r="RAG354" s="519"/>
      <c r="RAH354" s="514"/>
      <c r="RAI354" s="519"/>
      <c r="RAJ354" s="514"/>
      <c r="RAK354" s="519"/>
      <c r="RAL354" s="514"/>
      <c r="RAM354" s="519"/>
      <c r="RAN354" s="514"/>
      <c r="RAO354" s="519"/>
      <c r="RAP354" s="514"/>
      <c r="RAQ354" s="519"/>
      <c r="RAR354" s="514"/>
      <c r="RAS354" s="519"/>
      <c r="RAT354" s="514"/>
      <c r="RAU354" s="519"/>
      <c r="RAV354" s="514"/>
      <c r="RAW354" s="519"/>
      <c r="RAX354" s="514"/>
      <c r="RAY354" s="519"/>
      <c r="RAZ354" s="514"/>
      <c r="RBA354" s="519"/>
      <c r="RBB354" s="514"/>
      <c r="RBC354" s="519"/>
      <c r="RBD354" s="514"/>
      <c r="RBE354" s="519"/>
      <c r="RBF354" s="514"/>
      <c r="RBG354" s="519"/>
      <c r="RBH354" s="514"/>
      <c r="RBI354" s="519"/>
      <c r="RBJ354" s="514"/>
      <c r="RBK354" s="519"/>
      <c r="RBL354" s="514"/>
      <c r="RBM354" s="519"/>
      <c r="RBN354" s="514"/>
      <c r="RBO354" s="519"/>
      <c r="RBP354" s="514"/>
      <c r="RBQ354" s="519"/>
      <c r="RBR354" s="514"/>
      <c r="RBS354" s="519"/>
      <c r="RBT354" s="514"/>
      <c r="RBU354" s="519"/>
      <c r="RBV354" s="514"/>
      <c r="RBW354" s="519"/>
      <c r="RBX354" s="514"/>
      <c r="RBY354" s="519"/>
      <c r="RBZ354" s="514"/>
      <c r="RCA354" s="519"/>
      <c r="RCB354" s="514"/>
      <c r="RCC354" s="519"/>
      <c r="RCD354" s="514"/>
      <c r="RCE354" s="519"/>
      <c r="RCF354" s="514"/>
      <c r="RCG354" s="519"/>
      <c r="RCH354" s="514"/>
      <c r="RCI354" s="519"/>
      <c r="RCJ354" s="514"/>
      <c r="RCK354" s="519"/>
      <c r="RCL354" s="514"/>
      <c r="RCM354" s="519"/>
      <c r="RCN354" s="514"/>
      <c r="RCO354" s="519"/>
      <c r="RCP354" s="514"/>
      <c r="RCQ354" s="519"/>
      <c r="RCR354" s="514"/>
      <c r="RCS354" s="519"/>
      <c r="RCT354" s="514"/>
      <c r="RCU354" s="519"/>
      <c r="RCV354" s="514"/>
      <c r="RCW354" s="519"/>
      <c r="RCX354" s="514"/>
      <c r="RCY354" s="519"/>
      <c r="RCZ354" s="514"/>
      <c r="RDA354" s="519"/>
      <c r="RDB354" s="514"/>
      <c r="RDC354" s="519"/>
      <c r="RDD354" s="514"/>
      <c r="RDE354" s="519"/>
      <c r="RDF354" s="514"/>
      <c r="RDG354" s="519"/>
      <c r="RDH354" s="514"/>
      <c r="RDI354" s="519"/>
      <c r="RDJ354" s="514"/>
      <c r="RDK354" s="519"/>
      <c r="RDL354" s="514"/>
      <c r="RDM354" s="519"/>
      <c r="RDN354" s="514"/>
      <c r="RDO354" s="519"/>
      <c r="RDP354" s="514"/>
      <c r="RDQ354" s="519"/>
      <c r="RDR354" s="514"/>
      <c r="RDS354" s="519"/>
      <c r="RDT354" s="514"/>
      <c r="RDU354" s="519"/>
      <c r="RDV354" s="514"/>
      <c r="RDW354" s="519"/>
      <c r="RDX354" s="514"/>
      <c r="RDY354" s="519"/>
      <c r="RDZ354" s="514"/>
      <c r="REA354" s="519"/>
      <c r="REB354" s="514"/>
      <c r="REC354" s="519"/>
      <c r="RED354" s="514"/>
      <c r="REE354" s="519"/>
      <c r="REF354" s="514"/>
      <c r="REG354" s="519"/>
      <c r="REH354" s="514"/>
      <c r="REI354" s="519"/>
      <c r="REJ354" s="514"/>
      <c r="REK354" s="519"/>
      <c r="REL354" s="514"/>
      <c r="REM354" s="519"/>
      <c r="REN354" s="514"/>
      <c r="REO354" s="519"/>
      <c r="REP354" s="514"/>
      <c r="REQ354" s="519"/>
      <c r="RER354" s="514"/>
      <c r="RES354" s="519"/>
      <c r="RET354" s="514"/>
      <c r="REU354" s="519"/>
      <c r="REV354" s="514"/>
      <c r="REW354" s="519"/>
      <c r="REX354" s="514"/>
      <c r="REY354" s="519"/>
      <c r="REZ354" s="514"/>
      <c r="RFA354" s="519"/>
      <c r="RFB354" s="514"/>
      <c r="RFC354" s="519"/>
      <c r="RFD354" s="514"/>
      <c r="RFE354" s="519"/>
      <c r="RFF354" s="514"/>
      <c r="RFG354" s="519"/>
      <c r="RFH354" s="514"/>
      <c r="RFI354" s="519"/>
      <c r="RFJ354" s="514"/>
      <c r="RFK354" s="519"/>
      <c r="RFL354" s="514"/>
      <c r="RFM354" s="519"/>
      <c r="RFN354" s="514"/>
      <c r="RFO354" s="519"/>
      <c r="RFP354" s="514"/>
      <c r="RFQ354" s="519"/>
      <c r="RFR354" s="514"/>
      <c r="RFS354" s="519"/>
      <c r="RFT354" s="514"/>
      <c r="RFU354" s="519"/>
      <c r="RFV354" s="514"/>
      <c r="RFW354" s="519"/>
      <c r="RFX354" s="514"/>
      <c r="RFY354" s="519"/>
      <c r="RFZ354" s="514"/>
      <c r="RGA354" s="519"/>
      <c r="RGB354" s="514"/>
      <c r="RGC354" s="519"/>
      <c r="RGD354" s="514"/>
      <c r="RGE354" s="519"/>
      <c r="RGF354" s="514"/>
      <c r="RGG354" s="519"/>
      <c r="RGH354" s="514"/>
      <c r="RGI354" s="519"/>
      <c r="RGJ354" s="514"/>
      <c r="RGK354" s="519"/>
      <c r="RGL354" s="514"/>
      <c r="RGM354" s="519"/>
      <c r="RGN354" s="514"/>
      <c r="RGO354" s="519"/>
      <c r="RGP354" s="514"/>
      <c r="RGQ354" s="519"/>
      <c r="RGR354" s="514"/>
      <c r="RGS354" s="519"/>
      <c r="RGT354" s="514"/>
      <c r="RGU354" s="519"/>
      <c r="RGV354" s="514"/>
      <c r="RGW354" s="519"/>
      <c r="RGX354" s="514"/>
      <c r="RGY354" s="519"/>
      <c r="RGZ354" s="514"/>
      <c r="RHA354" s="519"/>
      <c r="RHB354" s="514"/>
      <c r="RHC354" s="519"/>
      <c r="RHD354" s="514"/>
      <c r="RHE354" s="519"/>
      <c r="RHF354" s="514"/>
      <c r="RHG354" s="519"/>
      <c r="RHH354" s="514"/>
      <c r="RHI354" s="519"/>
      <c r="RHJ354" s="514"/>
      <c r="RHK354" s="519"/>
      <c r="RHL354" s="514"/>
      <c r="RHM354" s="519"/>
      <c r="RHN354" s="514"/>
      <c r="RHO354" s="519"/>
      <c r="RHP354" s="514"/>
      <c r="RHQ354" s="519"/>
      <c r="RHR354" s="514"/>
      <c r="RHS354" s="519"/>
      <c r="RHT354" s="514"/>
      <c r="RHU354" s="519"/>
      <c r="RHV354" s="514"/>
      <c r="RHW354" s="519"/>
      <c r="RHX354" s="514"/>
      <c r="RHY354" s="519"/>
      <c r="RHZ354" s="514"/>
      <c r="RIA354" s="519"/>
      <c r="RIB354" s="514"/>
      <c r="RIC354" s="519"/>
      <c r="RID354" s="514"/>
      <c r="RIE354" s="519"/>
      <c r="RIF354" s="514"/>
      <c r="RIG354" s="519"/>
      <c r="RIH354" s="514"/>
      <c r="RII354" s="519"/>
      <c r="RIJ354" s="514"/>
      <c r="RIK354" s="519"/>
      <c r="RIL354" s="514"/>
      <c r="RIM354" s="519"/>
      <c r="RIN354" s="514"/>
      <c r="RIO354" s="519"/>
      <c r="RIP354" s="514"/>
      <c r="RIQ354" s="519"/>
      <c r="RIR354" s="514"/>
      <c r="RIS354" s="519"/>
      <c r="RIT354" s="514"/>
      <c r="RIU354" s="519"/>
      <c r="RIV354" s="514"/>
      <c r="RIW354" s="519"/>
      <c r="RIX354" s="514"/>
      <c r="RIY354" s="519"/>
      <c r="RIZ354" s="514"/>
      <c r="RJA354" s="519"/>
      <c r="RJB354" s="514"/>
      <c r="RJC354" s="519"/>
      <c r="RJD354" s="514"/>
      <c r="RJE354" s="519"/>
      <c r="RJF354" s="514"/>
      <c r="RJG354" s="519"/>
      <c r="RJH354" s="514"/>
      <c r="RJI354" s="519"/>
      <c r="RJJ354" s="514"/>
      <c r="RJK354" s="519"/>
      <c r="RJL354" s="514"/>
      <c r="RJM354" s="519"/>
      <c r="RJN354" s="514"/>
      <c r="RJO354" s="519"/>
      <c r="RJP354" s="514"/>
      <c r="RJQ354" s="519"/>
      <c r="RJR354" s="514"/>
      <c r="RJS354" s="519"/>
      <c r="RJT354" s="514"/>
      <c r="RJU354" s="519"/>
      <c r="RJV354" s="514"/>
      <c r="RJW354" s="519"/>
      <c r="RJX354" s="514"/>
      <c r="RJY354" s="519"/>
      <c r="RJZ354" s="514"/>
      <c r="RKA354" s="519"/>
      <c r="RKB354" s="514"/>
      <c r="RKC354" s="519"/>
      <c r="RKD354" s="514"/>
      <c r="RKE354" s="519"/>
      <c r="RKF354" s="514"/>
      <c r="RKG354" s="519"/>
      <c r="RKH354" s="514"/>
      <c r="RKI354" s="519"/>
      <c r="RKJ354" s="514"/>
      <c r="RKK354" s="519"/>
      <c r="RKL354" s="514"/>
      <c r="RKM354" s="519"/>
      <c r="RKN354" s="514"/>
      <c r="RKO354" s="519"/>
      <c r="RKP354" s="514"/>
      <c r="RKQ354" s="519"/>
      <c r="RKR354" s="514"/>
      <c r="RKS354" s="519"/>
      <c r="RKT354" s="514"/>
      <c r="RKU354" s="519"/>
      <c r="RKV354" s="514"/>
      <c r="RKW354" s="519"/>
      <c r="RKX354" s="514"/>
      <c r="RKY354" s="519"/>
      <c r="RKZ354" s="514"/>
      <c r="RLA354" s="519"/>
      <c r="RLB354" s="514"/>
      <c r="RLC354" s="519"/>
      <c r="RLD354" s="514"/>
      <c r="RLE354" s="519"/>
      <c r="RLF354" s="514"/>
      <c r="RLG354" s="519"/>
      <c r="RLH354" s="514"/>
      <c r="RLI354" s="519"/>
      <c r="RLJ354" s="514"/>
      <c r="RLK354" s="519"/>
      <c r="RLL354" s="514"/>
      <c r="RLM354" s="519"/>
      <c r="RLN354" s="514"/>
      <c r="RLO354" s="519"/>
      <c r="RLP354" s="514"/>
      <c r="RLQ354" s="519"/>
      <c r="RLR354" s="514"/>
      <c r="RLS354" s="519"/>
      <c r="RLT354" s="514"/>
      <c r="RLU354" s="519"/>
      <c r="RLV354" s="514"/>
      <c r="RLW354" s="519"/>
      <c r="RLX354" s="514"/>
      <c r="RLY354" s="519"/>
      <c r="RLZ354" s="514"/>
      <c r="RMA354" s="519"/>
      <c r="RMB354" s="514"/>
      <c r="RMC354" s="519"/>
      <c r="RMD354" s="514"/>
      <c r="RME354" s="519"/>
      <c r="RMF354" s="514"/>
      <c r="RMG354" s="519"/>
      <c r="RMH354" s="514"/>
      <c r="RMI354" s="519"/>
      <c r="RMJ354" s="514"/>
      <c r="RMK354" s="519"/>
      <c r="RML354" s="514"/>
      <c r="RMM354" s="519"/>
      <c r="RMN354" s="514"/>
      <c r="RMO354" s="519"/>
      <c r="RMP354" s="514"/>
      <c r="RMQ354" s="519"/>
      <c r="RMR354" s="514"/>
      <c r="RMS354" s="519"/>
      <c r="RMT354" s="514"/>
      <c r="RMU354" s="519"/>
      <c r="RMV354" s="514"/>
      <c r="RMW354" s="519"/>
      <c r="RMX354" s="514"/>
      <c r="RMY354" s="519"/>
      <c r="RMZ354" s="514"/>
      <c r="RNA354" s="519"/>
      <c r="RNB354" s="514"/>
      <c r="RNC354" s="519"/>
      <c r="RND354" s="514"/>
      <c r="RNE354" s="519"/>
      <c r="RNF354" s="514"/>
      <c r="RNG354" s="519"/>
      <c r="RNH354" s="514"/>
      <c r="RNI354" s="519"/>
      <c r="RNJ354" s="514"/>
      <c r="RNK354" s="519"/>
      <c r="RNL354" s="514"/>
      <c r="RNM354" s="519"/>
      <c r="RNN354" s="514"/>
      <c r="RNO354" s="519"/>
      <c r="RNP354" s="514"/>
      <c r="RNQ354" s="519"/>
      <c r="RNR354" s="514"/>
      <c r="RNS354" s="519"/>
      <c r="RNT354" s="514"/>
      <c r="RNU354" s="519"/>
      <c r="RNV354" s="514"/>
      <c r="RNW354" s="519"/>
      <c r="RNX354" s="514"/>
      <c r="RNY354" s="519"/>
      <c r="RNZ354" s="514"/>
      <c r="ROA354" s="519"/>
      <c r="ROB354" s="514"/>
      <c r="ROC354" s="519"/>
      <c r="ROD354" s="514"/>
      <c r="ROE354" s="519"/>
      <c r="ROF354" s="514"/>
      <c r="ROG354" s="519"/>
      <c r="ROH354" s="514"/>
      <c r="ROI354" s="519"/>
      <c r="ROJ354" s="514"/>
      <c r="ROK354" s="519"/>
      <c r="ROL354" s="514"/>
      <c r="ROM354" s="519"/>
      <c r="RON354" s="514"/>
      <c r="ROO354" s="519"/>
      <c r="ROP354" s="514"/>
      <c r="ROQ354" s="519"/>
      <c r="ROR354" s="514"/>
      <c r="ROS354" s="519"/>
      <c r="ROT354" s="514"/>
      <c r="ROU354" s="519"/>
      <c r="ROV354" s="514"/>
      <c r="ROW354" s="519"/>
      <c r="ROX354" s="514"/>
      <c r="ROY354" s="519"/>
      <c r="ROZ354" s="514"/>
      <c r="RPA354" s="519"/>
      <c r="RPB354" s="514"/>
      <c r="RPC354" s="519"/>
      <c r="RPD354" s="514"/>
      <c r="RPE354" s="519"/>
      <c r="RPF354" s="514"/>
      <c r="RPG354" s="519"/>
      <c r="RPH354" s="514"/>
      <c r="RPI354" s="519"/>
      <c r="RPJ354" s="514"/>
      <c r="RPK354" s="519"/>
      <c r="RPL354" s="514"/>
      <c r="RPM354" s="519"/>
      <c r="RPN354" s="514"/>
      <c r="RPO354" s="519"/>
      <c r="RPP354" s="514"/>
      <c r="RPQ354" s="519"/>
      <c r="RPR354" s="514"/>
      <c r="RPS354" s="519"/>
      <c r="RPT354" s="514"/>
      <c r="RPU354" s="519"/>
      <c r="RPV354" s="514"/>
      <c r="RPW354" s="519"/>
      <c r="RPX354" s="514"/>
      <c r="RPY354" s="519"/>
      <c r="RPZ354" s="514"/>
      <c r="RQA354" s="519"/>
      <c r="RQB354" s="514"/>
      <c r="RQC354" s="519"/>
      <c r="RQD354" s="514"/>
      <c r="RQE354" s="519"/>
      <c r="RQF354" s="514"/>
      <c r="RQG354" s="519"/>
      <c r="RQH354" s="514"/>
      <c r="RQI354" s="519"/>
      <c r="RQJ354" s="514"/>
      <c r="RQK354" s="519"/>
      <c r="RQL354" s="514"/>
      <c r="RQM354" s="519"/>
      <c r="RQN354" s="514"/>
      <c r="RQO354" s="519"/>
      <c r="RQP354" s="514"/>
      <c r="RQQ354" s="519"/>
      <c r="RQR354" s="514"/>
      <c r="RQS354" s="519"/>
      <c r="RQT354" s="514"/>
      <c r="RQU354" s="519"/>
      <c r="RQV354" s="514"/>
      <c r="RQW354" s="519"/>
      <c r="RQX354" s="514"/>
      <c r="RQY354" s="519"/>
      <c r="RQZ354" s="514"/>
      <c r="RRA354" s="519"/>
      <c r="RRB354" s="514"/>
      <c r="RRC354" s="519"/>
      <c r="RRD354" s="514"/>
      <c r="RRE354" s="519"/>
      <c r="RRF354" s="514"/>
      <c r="RRG354" s="519"/>
      <c r="RRH354" s="514"/>
      <c r="RRI354" s="519"/>
      <c r="RRJ354" s="514"/>
      <c r="RRK354" s="519"/>
      <c r="RRL354" s="514"/>
      <c r="RRM354" s="519"/>
      <c r="RRN354" s="514"/>
      <c r="RRO354" s="519"/>
      <c r="RRP354" s="514"/>
      <c r="RRQ354" s="519"/>
      <c r="RRR354" s="514"/>
      <c r="RRS354" s="519"/>
      <c r="RRT354" s="514"/>
      <c r="RRU354" s="519"/>
      <c r="RRV354" s="514"/>
      <c r="RRW354" s="519"/>
      <c r="RRX354" s="514"/>
      <c r="RRY354" s="519"/>
      <c r="RRZ354" s="514"/>
      <c r="RSA354" s="519"/>
      <c r="RSB354" s="514"/>
      <c r="RSC354" s="519"/>
      <c r="RSD354" s="514"/>
      <c r="RSE354" s="519"/>
      <c r="RSF354" s="514"/>
      <c r="RSG354" s="519"/>
      <c r="RSH354" s="514"/>
      <c r="RSI354" s="519"/>
      <c r="RSJ354" s="514"/>
      <c r="RSK354" s="519"/>
      <c r="RSL354" s="514"/>
      <c r="RSM354" s="519"/>
      <c r="RSN354" s="514"/>
      <c r="RSO354" s="519"/>
      <c r="RSP354" s="514"/>
      <c r="RSQ354" s="519"/>
      <c r="RSR354" s="514"/>
      <c r="RSS354" s="519"/>
      <c r="RST354" s="514"/>
      <c r="RSU354" s="519"/>
      <c r="RSV354" s="514"/>
      <c r="RSW354" s="519"/>
      <c r="RSX354" s="514"/>
      <c r="RSY354" s="519"/>
      <c r="RSZ354" s="514"/>
      <c r="RTA354" s="519"/>
      <c r="RTB354" s="514"/>
      <c r="RTC354" s="519"/>
      <c r="RTD354" s="514"/>
      <c r="RTE354" s="519"/>
      <c r="RTF354" s="514"/>
      <c r="RTG354" s="519"/>
      <c r="RTH354" s="514"/>
      <c r="RTI354" s="519"/>
      <c r="RTJ354" s="514"/>
      <c r="RTK354" s="519"/>
      <c r="RTL354" s="514"/>
      <c r="RTM354" s="519"/>
      <c r="RTN354" s="514"/>
      <c r="RTO354" s="519"/>
      <c r="RTP354" s="514"/>
      <c r="RTQ354" s="519"/>
      <c r="RTR354" s="514"/>
      <c r="RTS354" s="519"/>
      <c r="RTT354" s="514"/>
      <c r="RTU354" s="519"/>
      <c r="RTV354" s="514"/>
      <c r="RTW354" s="519"/>
      <c r="RTX354" s="514"/>
      <c r="RTY354" s="519"/>
      <c r="RTZ354" s="514"/>
      <c r="RUA354" s="519"/>
      <c r="RUB354" s="514"/>
      <c r="RUC354" s="519"/>
      <c r="RUD354" s="514"/>
      <c r="RUE354" s="519"/>
      <c r="RUF354" s="514"/>
      <c r="RUG354" s="519"/>
      <c r="RUH354" s="514"/>
      <c r="RUI354" s="519"/>
      <c r="RUJ354" s="514"/>
      <c r="RUK354" s="519"/>
      <c r="RUL354" s="514"/>
      <c r="RUM354" s="519"/>
      <c r="RUN354" s="514"/>
      <c r="RUO354" s="519"/>
      <c r="RUP354" s="514"/>
      <c r="RUQ354" s="519"/>
      <c r="RUR354" s="514"/>
      <c r="RUS354" s="519"/>
      <c r="RUT354" s="514"/>
      <c r="RUU354" s="519"/>
      <c r="RUV354" s="514"/>
      <c r="RUW354" s="519"/>
      <c r="RUX354" s="514"/>
      <c r="RUY354" s="519"/>
      <c r="RUZ354" s="514"/>
      <c r="RVA354" s="519"/>
      <c r="RVB354" s="514"/>
      <c r="RVC354" s="519"/>
      <c r="RVD354" s="514"/>
      <c r="RVE354" s="519"/>
      <c r="RVF354" s="514"/>
      <c r="RVG354" s="519"/>
      <c r="RVH354" s="514"/>
      <c r="RVI354" s="519"/>
      <c r="RVJ354" s="514"/>
      <c r="RVK354" s="519"/>
      <c r="RVL354" s="514"/>
      <c r="RVM354" s="519"/>
      <c r="RVN354" s="514"/>
      <c r="RVO354" s="519"/>
      <c r="RVP354" s="514"/>
      <c r="RVQ354" s="519"/>
      <c r="RVR354" s="514"/>
      <c r="RVS354" s="519"/>
      <c r="RVT354" s="514"/>
      <c r="RVU354" s="519"/>
      <c r="RVV354" s="514"/>
      <c r="RVW354" s="519"/>
      <c r="RVX354" s="514"/>
      <c r="RVY354" s="519"/>
      <c r="RVZ354" s="514"/>
      <c r="RWA354" s="519"/>
      <c r="RWB354" s="514"/>
      <c r="RWC354" s="519"/>
      <c r="RWD354" s="514"/>
      <c r="RWE354" s="519"/>
      <c r="RWF354" s="514"/>
      <c r="RWG354" s="519"/>
      <c r="RWH354" s="514"/>
      <c r="RWI354" s="519"/>
      <c r="RWJ354" s="514"/>
      <c r="RWK354" s="519"/>
      <c r="RWL354" s="514"/>
      <c r="RWM354" s="519"/>
      <c r="RWN354" s="514"/>
      <c r="RWO354" s="519"/>
      <c r="RWP354" s="514"/>
      <c r="RWQ354" s="519"/>
      <c r="RWR354" s="514"/>
      <c r="RWS354" s="519"/>
      <c r="RWT354" s="514"/>
      <c r="RWU354" s="519"/>
      <c r="RWV354" s="514"/>
      <c r="RWW354" s="519"/>
      <c r="RWX354" s="514"/>
      <c r="RWY354" s="519"/>
      <c r="RWZ354" s="514"/>
      <c r="RXA354" s="519"/>
      <c r="RXB354" s="514"/>
      <c r="RXC354" s="519"/>
      <c r="RXD354" s="514"/>
      <c r="RXE354" s="519"/>
      <c r="RXF354" s="514"/>
      <c r="RXG354" s="519"/>
      <c r="RXH354" s="514"/>
      <c r="RXI354" s="519"/>
      <c r="RXJ354" s="514"/>
      <c r="RXK354" s="519"/>
      <c r="RXL354" s="514"/>
      <c r="RXM354" s="519"/>
      <c r="RXN354" s="514"/>
      <c r="RXO354" s="519"/>
      <c r="RXP354" s="514"/>
      <c r="RXQ354" s="519"/>
      <c r="RXR354" s="514"/>
      <c r="RXS354" s="519"/>
      <c r="RXT354" s="514"/>
      <c r="RXU354" s="519"/>
      <c r="RXV354" s="514"/>
      <c r="RXW354" s="519"/>
      <c r="RXX354" s="514"/>
      <c r="RXY354" s="519"/>
      <c r="RXZ354" s="514"/>
      <c r="RYA354" s="519"/>
      <c r="RYB354" s="514"/>
      <c r="RYC354" s="519"/>
      <c r="RYD354" s="514"/>
      <c r="RYE354" s="519"/>
      <c r="RYF354" s="514"/>
      <c r="RYG354" s="519"/>
      <c r="RYH354" s="514"/>
      <c r="RYI354" s="519"/>
      <c r="RYJ354" s="514"/>
      <c r="RYK354" s="519"/>
      <c r="RYL354" s="514"/>
      <c r="RYM354" s="519"/>
      <c r="RYN354" s="514"/>
      <c r="RYO354" s="519"/>
      <c r="RYP354" s="514"/>
      <c r="RYQ354" s="519"/>
      <c r="RYR354" s="514"/>
      <c r="RYS354" s="519"/>
      <c r="RYT354" s="514"/>
      <c r="RYU354" s="519"/>
      <c r="RYV354" s="514"/>
      <c r="RYW354" s="519"/>
      <c r="RYX354" s="514"/>
      <c r="RYY354" s="519"/>
      <c r="RYZ354" s="514"/>
      <c r="RZA354" s="519"/>
      <c r="RZB354" s="514"/>
      <c r="RZC354" s="519"/>
      <c r="RZD354" s="514"/>
      <c r="RZE354" s="519"/>
      <c r="RZF354" s="514"/>
      <c r="RZG354" s="519"/>
      <c r="RZH354" s="514"/>
      <c r="RZI354" s="519"/>
      <c r="RZJ354" s="514"/>
      <c r="RZK354" s="519"/>
      <c r="RZL354" s="514"/>
      <c r="RZM354" s="519"/>
      <c r="RZN354" s="514"/>
      <c r="RZO354" s="519"/>
      <c r="RZP354" s="514"/>
      <c r="RZQ354" s="519"/>
      <c r="RZR354" s="514"/>
      <c r="RZS354" s="519"/>
      <c r="RZT354" s="514"/>
      <c r="RZU354" s="519"/>
      <c r="RZV354" s="514"/>
      <c r="RZW354" s="519"/>
      <c r="RZX354" s="514"/>
      <c r="RZY354" s="519"/>
      <c r="RZZ354" s="514"/>
      <c r="SAA354" s="519"/>
      <c r="SAB354" s="514"/>
      <c r="SAC354" s="519"/>
      <c r="SAD354" s="514"/>
      <c r="SAE354" s="519"/>
      <c r="SAF354" s="514"/>
      <c r="SAG354" s="519"/>
      <c r="SAH354" s="514"/>
      <c r="SAI354" s="519"/>
      <c r="SAJ354" s="514"/>
      <c r="SAK354" s="519"/>
      <c r="SAL354" s="514"/>
      <c r="SAM354" s="519"/>
      <c r="SAN354" s="514"/>
      <c r="SAO354" s="519"/>
      <c r="SAP354" s="514"/>
      <c r="SAQ354" s="519"/>
      <c r="SAR354" s="514"/>
      <c r="SAS354" s="519"/>
      <c r="SAT354" s="514"/>
      <c r="SAU354" s="519"/>
      <c r="SAV354" s="514"/>
      <c r="SAW354" s="519"/>
      <c r="SAX354" s="514"/>
      <c r="SAY354" s="519"/>
      <c r="SAZ354" s="514"/>
      <c r="SBA354" s="519"/>
      <c r="SBB354" s="514"/>
      <c r="SBC354" s="519"/>
      <c r="SBD354" s="514"/>
      <c r="SBE354" s="519"/>
      <c r="SBF354" s="514"/>
      <c r="SBG354" s="519"/>
      <c r="SBH354" s="514"/>
      <c r="SBI354" s="519"/>
      <c r="SBJ354" s="514"/>
      <c r="SBK354" s="519"/>
      <c r="SBL354" s="514"/>
      <c r="SBM354" s="519"/>
      <c r="SBN354" s="514"/>
      <c r="SBO354" s="519"/>
      <c r="SBP354" s="514"/>
      <c r="SBQ354" s="519"/>
      <c r="SBR354" s="514"/>
      <c r="SBS354" s="519"/>
      <c r="SBT354" s="514"/>
      <c r="SBU354" s="519"/>
      <c r="SBV354" s="514"/>
      <c r="SBW354" s="519"/>
      <c r="SBX354" s="514"/>
      <c r="SBY354" s="519"/>
      <c r="SBZ354" s="514"/>
      <c r="SCA354" s="519"/>
      <c r="SCB354" s="514"/>
      <c r="SCC354" s="519"/>
      <c r="SCD354" s="514"/>
      <c r="SCE354" s="519"/>
      <c r="SCF354" s="514"/>
      <c r="SCG354" s="519"/>
      <c r="SCH354" s="514"/>
      <c r="SCI354" s="519"/>
      <c r="SCJ354" s="514"/>
      <c r="SCK354" s="519"/>
      <c r="SCL354" s="514"/>
      <c r="SCM354" s="519"/>
      <c r="SCN354" s="514"/>
      <c r="SCO354" s="519"/>
      <c r="SCP354" s="514"/>
      <c r="SCQ354" s="519"/>
      <c r="SCR354" s="514"/>
      <c r="SCS354" s="519"/>
      <c r="SCT354" s="514"/>
      <c r="SCU354" s="519"/>
      <c r="SCV354" s="514"/>
      <c r="SCW354" s="519"/>
      <c r="SCX354" s="514"/>
      <c r="SCY354" s="519"/>
      <c r="SCZ354" s="514"/>
      <c r="SDA354" s="519"/>
      <c r="SDB354" s="514"/>
      <c r="SDC354" s="519"/>
      <c r="SDD354" s="514"/>
      <c r="SDE354" s="519"/>
      <c r="SDF354" s="514"/>
      <c r="SDG354" s="519"/>
      <c r="SDH354" s="514"/>
      <c r="SDI354" s="519"/>
      <c r="SDJ354" s="514"/>
      <c r="SDK354" s="519"/>
      <c r="SDL354" s="514"/>
      <c r="SDM354" s="519"/>
      <c r="SDN354" s="514"/>
      <c r="SDO354" s="519"/>
      <c r="SDP354" s="514"/>
      <c r="SDQ354" s="519"/>
      <c r="SDR354" s="514"/>
      <c r="SDS354" s="519"/>
      <c r="SDT354" s="514"/>
      <c r="SDU354" s="519"/>
      <c r="SDV354" s="514"/>
      <c r="SDW354" s="519"/>
      <c r="SDX354" s="514"/>
      <c r="SDY354" s="519"/>
      <c r="SDZ354" s="514"/>
      <c r="SEA354" s="519"/>
      <c r="SEB354" s="514"/>
      <c r="SEC354" s="519"/>
      <c r="SED354" s="514"/>
      <c r="SEE354" s="519"/>
      <c r="SEF354" s="514"/>
      <c r="SEG354" s="519"/>
      <c r="SEH354" s="514"/>
      <c r="SEI354" s="519"/>
      <c r="SEJ354" s="514"/>
      <c r="SEK354" s="519"/>
      <c r="SEL354" s="514"/>
      <c r="SEM354" s="519"/>
      <c r="SEN354" s="514"/>
      <c r="SEO354" s="519"/>
      <c r="SEP354" s="514"/>
      <c r="SEQ354" s="519"/>
      <c r="SER354" s="514"/>
      <c r="SES354" s="519"/>
      <c r="SET354" s="514"/>
      <c r="SEU354" s="519"/>
      <c r="SEV354" s="514"/>
      <c r="SEW354" s="519"/>
      <c r="SEX354" s="514"/>
      <c r="SEY354" s="519"/>
      <c r="SEZ354" s="514"/>
      <c r="SFA354" s="519"/>
      <c r="SFB354" s="514"/>
      <c r="SFC354" s="519"/>
      <c r="SFD354" s="514"/>
      <c r="SFE354" s="519"/>
      <c r="SFF354" s="514"/>
      <c r="SFG354" s="519"/>
      <c r="SFH354" s="514"/>
      <c r="SFI354" s="519"/>
      <c r="SFJ354" s="514"/>
      <c r="SFK354" s="519"/>
      <c r="SFL354" s="514"/>
      <c r="SFM354" s="519"/>
      <c r="SFN354" s="514"/>
      <c r="SFO354" s="519"/>
      <c r="SFP354" s="514"/>
      <c r="SFQ354" s="519"/>
      <c r="SFR354" s="514"/>
      <c r="SFS354" s="519"/>
      <c r="SFT354" s="514"/>
      <c r="SFU354" s="519"/>
      <c r="SFV354" s="514"/>
      <c r="SFW354" s="519"/>
      <c r="SFX354" s="514"/>
      <c r="SFY354" s="519"/>
      <c r="SFZ354" s="514"/>
      <c r="SGA354" s="519"/>
      <c r="SGB354" s="514"/>
      <c r="SGC354" s="519"/>
      <c r="SGD354" s="514"/>
      <c r="SGE354" s="519"/>
      <c r="SGF354" s="514"/>
      <c r="SGG354" s="519"/>
      <c r="SGH354" s="514"/>
      <c r="SGI354" s="519"/>
      <c r="SGJ354" s="514"/>
      <c r="SGK354" s="519"/>
      <c r="SGL354" s="514"/>
      <c r="SGM354" s="519"/>
      <c r="SGN354" s="514"/>
      <c r="SGO354" s="519"/>
      <c r="SGP354" s="514"/>
      <c r="SGQ354" s="519"/>
      <c r="SGR354" s="514"/>
      <c r="SGS354" s="519"/>
      <c r="SGT354" s="514"/>
      <c r="SGU354" s="519"/>
      <c r="SGV354" s="514"/>
      <c r="SGW354" s="519"/>
      <c r="SGX354" s="514"/>
      <c r="SGY354" s="519"/>
      <c r="SGZ354" s="514"/>
      <c r="SHA354" s="519"/>
      <c r="SHB354" s="514"/>
      <c r="SHC354" s="519"/>
      <c r="SHD354" s="514"/>
      <c r="SHE354" s="519"/>
      <c r="SHF354" s="514"/>
      <c r="SHG354" s="519"/>
      <c r="SHH354" s="514"/>
      <c r="SHI354" s="519"/>
      <c r="SHJ354" s="514"/>
      <c r="SHK354" s="519"/>
      <c r="SHL354" s="514"/>
      <c r="SHM354" s="519"/>
      <c r="SHN354" s="514"/>
      <c r="SHO354" s="519"/>
      <c r="SHP354" s="514"/>
      <c r="SHQ354" s="519"/>
      <c r="SHR354" s="514"/>
      <c r="SHS354" s="519"/>
      <c r="SHT354" s="514"/>
      <c r="SHU354" s="519"/>
      <c r="SHV354" s="514"/>
      <c r="SHW354" s="519"/>
      <c r="SHX354" s="514"/>
      <c r="SHY354" s="519"/>
      <c r="SHZ354" s="514"/>
      <c r="SIA354" s="519"/>
      <c r="SIB354" s="514"/>
      <c r="SIC354" s="519"/>
      <c r="SID354" s="514"/>
      <c r="SIE354" s="519"/>
      <c r="SIF354" s="514"/>
      <c r="SIG354" s="519"/>
      <c r="SIH354" s="514"/>
      <c r="SII354" s="519"/>
      <c r="SIJ354" s="514"/>
      <c r="SIK354" s="519"/>
      <c r="SIL354" s="514"/>
      <c r="SIM354" s="519"/>
      <c r="SIN354" s="514"/>
      <c r="SIO354" s="519"/>
      <c r="SIP354" s="514"/>
      <c r="SIQ354" s="519"/>
      <c r="SIR354" s="514"/>
      <c r="SIS354" s="519"/>
      <c r="SIT354" s="514"/>
      <c r="SIU354" s="519"/>
      <c r="SIV354" s="514"/>
      <c r="SIW354" s="519"/>
      <c r="SIX354" s="514"/>
      <c r="SIY354" s="519"/>
      <c r="SIZ354" s="514"/>
      <c r="SJA354" s="519"/>
      <c r="SJB354" s="514"/>
      <c r="SJC354" s="519"/>
      <c r="SJD354" s="514"/>
      <c r="SJE354" s="519"/>
      <c r="SJF354" s="514"/>
      <c r="SJG354" s="519"/>
      <c r="SJH354" s="514"/>
      <c r="SJI354" s="519"/>
      <c r="SJJ354" s="514"/>
      <c r="SJK354" s="519"/>
      <c r="SJL354" s="514"/>
      <c r="SJM354" s="519"/>
      <c r="SJN354" s="514"/>
      <c r="SJO354" s="519"/>
      <c r="SJP354" s="514"/>
      <c r="SJQ354" s="519"/>
      <c r="SJR354" s="514"/>
      <c r="SJS354" s="519"/>
      <c r="SJT354" s="514"/>
      <c r="SJU354" s="519"/>
      <c r="SJV354" s="514"/>
      <c r="SJW354" s="519"/>
      <c r="SJX354" s="514"/>
      <c r="SJY354" s="519"/>
      <c r="SJZ354" s="514"/>
      <c r="SKA354" s="519"/>
      <c r="SKB354" s="514"/>
      <c r="SKC354" s="519"/>
      <c r="SKD354" s="514"/>
      <c r="SKE354" s="519"/>
      <c r="SKF354" s="514"/>
      <c r="SKG354" s="519"/>
      <c r="SKH354" s="514"/>
      <c r="SKI354" s="519"/>
      <c r="SKJ354" s="514"/>
      <c r="SKK354" s="519"/>
      <c r="SKL354" s="514"/>
      <c r="SKM354" s="519"/>
      <c r="SKN354" s="514"/>
      <c r="SKO354" s="519"/>
      <c r="SKP354" s="514"/>
      <c r="SKQ354" s="519"/>
      <c r="SKR354" s="514"/>
      <c r="SKS354" s="519"/>
      <c r="SKT354" s="514"/>
      <c r="SKU354" s="519"/>
      <c r="SKV354" s="514"/>
      <c r="SKW354" s="519"/>
      <c r="SKX354" s="514"/>
      <c r="SKY354" s="519"/>
      <c r="SKZ354" s="514"/>
      <c r="SLA354" s="519"/>
      <c r="SLB354" s="514"/>
      <c r="SLC354" s="519"/>
      <c r="SLD354" s="514"/>
      <c r="SLE354" s="519"/>
      <c r="SLF354" s="514"/>
      <c r="SLG354" s="519"/>
      <c r="SLH354" s="514"/>
      <c r="SLI354" s="519"/>
      <c r="SLJ354" s="514"/>
      <c r="SLK354" s="519"/>
      <c r="SLL354" s="514"/>
      <c r="SLM354" s="519"/>
      <c r="SLN354" s="514"/>
      <c r="SLO354" s="519"/>
      <c r="SLP354" s="514"/>
      <c r="SLQ354" s="519"/>
      <c r="SLR354" s="514"/>
      <c r="SLS354" s="519"/>
      <c r="SLT354" s="514"/>
      <c r="SLU354" s="519"/>
      <c r="SLV354" s="514"/>
      <c r="SLW354" s="519"/>
      <c r="SLX354" s="514"/>
      <c r="SLY354" s="519"/>
      <c r="SLZ354" s="514"/>
      <c r="SMA354" s="519"/>
      <c r="SMB354" s="514"/>
      <c r="SMC354" s="519"/>
      <c r="SMD354" s="514"/>
      <c r="SME354" s="519"/>
      <c r="SMF354" s="514"/>
      <c r="SMG354" s="519"/>
      <c r="SMH354" s="514"/>
      <c r="SMI354" s="519"/>
      <c r="SMJ354" s="514"/>
      <c r="SMK354" s="519"/>
      <c r="SML354" s="514"/>
      <c r="SMM354" s="519"/>
      <c r="SMN354" s="514"/>
      <c r="SMO354" s="519"/>
      <c r="SMP354" s="514"/>
      <c r="SMQ354" s="519"/>
      <c r="SMR354" s="514"/>
      <c r="SMS354" s="519"/>
      <c r="SMT354" s="514"/>
      <c r="SMU354" s="519"/>
      <c r="SMV354" s="514"/>
      <c r="SMW354" s="519"/>
      <c r="SMX354" s="514"/>
      <c r="SMY354" s="519"/>
      <c r="SMZ354" s="514"/>
      <c r="SNA354" s="519"/>
      <c r="SNB354" s="514"/>
      <c r="SNC354" s="519"/>
      <c r="SND354" s="514"/>
      <c r="SNE354" s="519"/>
      <c r="SNF354" s="514"/>
      <c r="SNG354" s="519"/>
      <c r="SNH354" s="514"/>
      <c r="SNI354" s="519"/>
      <c r="SNJ354" s="514"/>
      <c r="SNK354" s="519"/>
      <c r="SNL354" s="514"/>
      <c r="SNM354" s="519"/>
      <c r="SNN354" s="514"/>
      <c r="SNO354" s="519"/>
      <c r="SNP354" s="514"/>
      <c r="SNQ354" s="519"/>
      <c r="SNR354" s="514"/>
      <c r="SNS354" s="519"/>
      <c r="SNT354" s="514"/>
      <c r="SNU354" s="519"/>
      <c r="SNV354" s="514"/>
      <c r="SNW354" s="519"/>
      <c r="SNX354" s="514"/>
      <c r="SNY354" s="519"/>
      <c r="SNZ354" s="514"/>
      <c r="SOA354" s="519"/>
      <c r="SOB354" s="514"/>
      <c r="SOC354" s="519"/>
      <c r="SOD354" s="514"/>
      <c r="SOE354" s="519"/>
      <c r="SOF354" s="514"/>
      <c r="SOG354" s="519"/>
      <c r="SOH354" s="514"/>
      <c r="SOI354" s="519"/>
      <c r="SOJ354" s="514"/>
      <c r="SOK354" s="519"/>
      <c r="SOL354" s="514"/>
      <c r="SOM354" s="519"/>
      <c r="SON354" s="514"/>
      <c r="SOO354" s="519"/>
      <c r="SOP354" s="514"/>
      <c r="SOQ354" s="519"/>
      <c r="SOR354" s="514"/>
      <c r="SOS354" s="519"/>
      <c r="SOT354" s="514"/>
      <c r="SOU354" s="519"/>
      <c r="SOV354" s="514"/>
      <c r="SOW354" s="519"/>
      <c r="SOX354" s="514"/>
      <c r="SOY354" s="519"/>
      <c r="SOZ354" s="514"/>
      <c r="SPA354" s="519"/>
      <c r="SPB354" s="514"/>
      <c r="SPC354" s="519"/>
      <c r="SPD354" s="514"/>
      <c r="SPE354" s="519"/>
      <c r="SPF354" s="514"/>
      <c r="SPG354" s="519"/>
      <c r="SPH354" s="514"/>
      <c r="SPI354" s="519"/>
      <c r="SPJ354" s="514"/>
      <c r="SPK354" s="519"/>
      <c r="SPL354" s="514"/>
      <c r="SPM354" s="519"/>
      <c r="SPN354" s="514"/>
      <c r="SPO354" s="519"/>
      <c r="SPP354" s="514"/>
      <c r="SPQ354" s="519"/>
      <c r="SPR354" s="514"/>
      <c r="SPS354" s="519"/>
      <c r="SPT354" s="514"/>
      <c r="SPU354" s="519"/>
      <c r="SPV354" s="514"/>
      <c r="SPW354" s="519"/>
      <c r="SPX354" s="514"/>
      <c r="SPY354" s="519"/>
      <c r="SPZ354" s="514"/>
      <c r="SQA354" s="519"/>
      <c r="SQB354" s="514"/>
      <c r="SQC354" s="519"/>
      <c r="SQD354" s="514"/>
      <c r="SQE354" s="519"/>
      <c r="SQF354" s="514"/>
      <c r="SQG354" s="519"/>
      <c r="SQH354" s="514"/>
      <c r="SQI354" s="519"/>
      <c r="SQJ354" s="514"/>
      <c r="SQK354" s="519"/>
      <c r="SQL354" s="514"/>
      <c r="SQM354" s="519"/>
      <c r="SQN354" s="514"/>
      <c r="SQO354" s="519"/>
      <c r="SQP354" s="514"/>
      <c r="SQQ354" s="519"/>
      <c r="SQR354" s="514"/>
      <c r="SQS354" s="519"/>
      <c r="SQT354" s="514"/>
      <c r="SQU354" s="519"/>
      <c r="SQV354" s="514"/>
      <c r="SQW354" s="519"/>
      <c r="SQX354" s="514"/>
      <c r="SQY354" s="519"/>
      <c r="SQZ354" s="514"/>
      <c r="SRA354" s="519"/>
      <c r="SRB354" s="514"/>
      <c r="SRC354" s="519"/>
      <c r="SRD354" s="514"/>
      <c r="SRE354" s="519"/>
      <c r="SRF354" s="514"/>
      <c r="SRG354" s="519"/>
      <c r="SRH354" s="514"/>
      <c r="SRI354" s="519"/>
      <c r="SRJ354" s="514"/>
      <c r="SRK354" s="519"/>
      <c r="SRL354" s="514"/>
      <c r="SRM354" s="519"/>
      <c r="SRN354" s="514"/>
      <c r="SRO354" s="519"/>
      <c r="SRP354" s="514"/>
      <c r="SRQ354" s="519"/>
      <c r="SRR354" s="514"/>
      <c r="SRS354" s="519"/>
      <c r="SRT354" s="514"/>
      <c r="SRU354" s="519"/>
      <c r="SRV354" s="514"/>
      <c r="SRW354" s="519"/>
      <c r="SRX354" s="514"/>
      <c r="SRY354" s="519"/>
      <c r="SRZ354" s="514"/>
      <c r="SSA354" s="519"/>
      <c r="SSB354" s="514"/>
      <c r="SSC354" s="519"/>
      <c r="SSD354" s="514"/>
      <c r="SSE354" s="519"/>
      <c r="SSF354" s="514"/>
      <c r="SSG354" s="519"/>
      <c r="SSH354" s="514"/>
      <c r="SSI354" s="519"/>
      <c r="SSJ354" s="514"/>
      <c r="SSK354" s="519"/>
      <c r="SSL354" s="514"/>
      <c r="SSM354" s="519"/>
      <c r="SSN354" s="514"/>
      <c r="SSO354" s="519"/>
      <c r="SSP354" s="514"/>
      <c r="SSQ354" s="519"/>
      <c r="SSR354" s="514"/>
      <c r="SSS354" s="519"/>
      <c r="SST354" s="514"/>
      <c r="SSU354" s="519"/>
      <c r="SSV354" s="514"/>
      <c r="SSW354" s="519"/>
      <c r="SSX354" s="514"/>
      <c r="SSY354" s="519"/>
      <c r="SSZ354" s="514"/>
      <c r="STA354" s="519"/>
      <c r="STB354" s="514"/>
      <c r="STC354" s="519"/>
      <c r="STD354" s="514"/>
      <c r="STE354" s="519"/>
      <c r="STF354" s="514"/>
      <c r="STG354" s="519"/>
      <c r="STH354" s="514"/>
      <c r="STI354" s="519"/>
      <c r="STJ354" s="514"/>
      <c r="STK354" s="519"/>
      <c r="STL354" s="514"/>
      <c r="STM354" s="519"/>
      <c r="STN354" s="514"/>
      <c r="STO354" s="519"/>
      <c r="STP354" s="514"/>
      <c r="STQ354" s="519"/>
      <c r="STR354" s="514"/>
      <c r="STS354" s="519"/>
      <c r="STT354" s="514"/>
      <c r="STU354" s="519"/>
      <c r="STV354" s="514"/>
      <c r="STW354" s="519"/>
      <c r="STX354" s="514"/>
      <c r="STY354" s="519"/>
      <c r="STZ354" s="514"/>
      <c r="SUA354" s="519"/>
      <c r="SUB354" s="514"/>
      <c r="SUC354" s="519"/>
      <c r="SUD354" s="514"/>
      <c r="SUE354" s="519"/>
      <c r="SUF354" s="514"/>
      <c r="SUG354" s="519"/>
      <c r="SUH354" s="514"/>
      <c r="SUI354" s="519"/>
      <c r="SUJ354" s="514"/>
      <c r="SUK354" s="519"/>
      <c r="SUL354" s="514"/>
      <c r="SUM354" s="519"/>
      <c r="SUN354" s="514"/>
      <c r="SUO354" s="519"/>
      <c r="SUP354" s="514"/>
      <c r="SUQ354" s="519"/>
      <c r="SUR354" s="514"/>
      <c r="SUS354" s="519"/>
      <c r="SUT354" s="514"/>
      <c r="SUU354" s="519"/>
      <c r="SUV354" s="514"/>
      <c r="SUW354" s="519"/>
      <c r="SUX354" s="514"/>
      <c r="SUY354" s="519"/>
      <c r="SUZ354" s="514"/>
      <c r="SVA354" s="519"/>
      <c r="SVB354" s="514"/>
      <c r="SVC354" s="519"/>
      <c r="SVD354" s="514"/>
      <c r="SVE354" s="519"/>
      <c r="SVF354" s="514"/>
      <c r="SVG354" s="519"/>
      <c r="SVH354" s="514"/>
      <c r="SVI354" s="519"/>
      <c r="SVJ354" s="514"/>
      <c r="SVK354" s="519"/>
      <c r="SVL354" s="514"/>
      <c r="SVM354" s="519"/>
      <c r="SVN354" s="514"/>
      <c r="SVO354" s="519"/>
      <c r="SVP354" s="514"/>
      <c r="SVQ354" s="519"/>
      <c r="SVR354" s="514"/>
      <c r="SVS354" s="519"/>
      <c r="SVT354" s="514"/>
      <c r="SVU354" s="519"/>
      <c r="SVV354" s="514"/>
      <c r="SVW354" s="519"/>
      <c r="SVX354" s="514"/>
      <c r="SVY354" s="519"/>
      <c r="SVZ354" s="514"/>
      <c r="SWA354" s="519"/>
      <c r="SWB354" s="514"/>
      <c r="SWC354" s="519"/>
      <c r="SWD354" s="514"/>
      <c r="SWE354" s="519"/>
      <c r="SWF354" s="514"/>
      <c r="SWG354" s="519"/>
      <c r="SWH354" s="514"/>
      <c r="SWI354" s="519"/>
      <c r="SWJ354" s="514"/>
      <c r="SWK354" s="519"/>
      <c r="SWL354" s="514"/>
      <c r="SWM354" s="519"/>
      <c r="SWN354" s="514"/>
      <c r="SWO354" s="519"/>
      <c r="SWP354" s="514"/>
      <c r="SWQ354" s="519"/>
      <c r="SWR354" s="514"/>
      <c r="SWS354" s="519"/>
      <c r="SWT354" s="514"/>
      <c r="SWU354" s="519"/>
      <c r="SWV354" s="514"/>
      <c r="SWW354" s="519"/>
      <c r="SWX354" s="514"/>
      <c r="SWY354" s="519"/>
      <c r="SWZ354" s="514"/>
      <c r="SXA354" s="519"/>
      <c r="SXB354" s="514"/>
      <c r="SXC354" s="519"/>
      <c r="SXD354" s="514"/>
      <c r="SXE354" s="519"/>
      <c r="SXF354" s="514"/>
      <c r="SXG354" s="519"/>
      <c r="SXH354" s="514"/>
      <c r="SXI354" s="519"/>
      <c r="SXJ354" s="514"/>
      <c r="SXK354" s="519"/>
      <c r="SXL354" s="514"/>
      <c r="SXM354" s="519"/>
      <c r="SXN354" s="514"/>
      <c r="SXO354" s="519"/>
      <c r="SXP354" s="514"/>
      <c r="SXQ354" s="519"/>
      <c r="SXR354" s="514"/>
      <c r="SXS354" s="519"/>
      <c r="SXT354" s="514"/>
      <c r="SXU354" s="519"/>
      <c r="SXV354" s="514"/>
      <c r="SXW354" s="519"/>
      <c r="SXX354" s="514"/>
      <c r="SXY354" s="519"/>
      <c r="SXZ354" s="514"/>
      <c r="SYA354" s="519"/>
      <c r="SYB354" s="514"/>
      <c r="SYC354" s="519"/>
      <c r="SYD354" s="514"/>
      <c r="SYE354" s="519"/>
      <c r="SYF354" s="514"/>
      <c r="SYG354" s="519"/>
      <c r="SYH354" s="514"/>
      <c r="SYI354" s="519"/>
      <c r="SYJ354" s="514"/>
      <c r="SYK354" s="519"/>
      <c r="SYL354" s="514"/>
      <c r="SYM354" s="519"/>
      <c r="SYN354" s="514"/>
      <c r="SYO354" s="519"/>
      <c r="SYP354" s="514"/>
      <c r="SYQ354" s="519"/>
      <c r="SYR354" s="514"/>
      <c r="SYS354" s="519"/>
      <c r="SYT354" s="514"/>
      <c r="SYU354" s="519"/>
      <c r="SYV354" s="514"/>
      <c r="SYW354" s="519"/>
      <c r="SYX354" s="514"/>
      <c r="SYY354" s="519"/>
      <c r="SYZ354" s="514"/>
      <c r="SZA354" s="519"/>
      <c r="SZB354" s="514"/>
      <c r="SZC354" s="519"/>
      <c r="SZD354" s="514"/>
      <c r="SZE354" s="519"/>
      <c r="SZF354" s="514"/>
      <c r="SZG354" s="519"/>
      <c r="SZH354" s="514"/>
      <c r="SZI354" s="519"/>
      <c r="SZJ354" s="514"/>
      <c r="SZK354" s="519"/>
      <c r="SZL354" s="514"/>
      <c r="SZM354" s="519"/>
      <c r="SZN354" s="514"/>
      <c r="SZO354" s="519"/>
      <c r="SZP354" s="514"/>
      <c r="SZQ354" s="519"/>
      <c r="SZR354" s="514"/>
      <c r="SZS354" s="519"/>
      <c r="SZT354" s="514"/>
      <c r="SZU354" s="519"/>
      <c r="SZV354" s="514"/>
      <c r="SZW354" s="519"/>
      <c r="SZX354" s="514"/>
      <c r="SZY354" s="519"/>
      <c r="SZZ354" s="514"/>
      <c r="TAA354" s="519"/>
      <c r="TAB354" s="514"/>
      <c r="TAC354" s="519"/>
      <c r="TAD354" s="514"/>
      <c r="TAE354" s="519"/>
      <c r="TAF354" s="514"/>
      <c r="TAG354" s="519"/>
      <c r="TAH354" s="514"/>
      <c r="TAI354" s="519"/>
      <c r="TAJ354" s="514"/>
      <c r="TAK354" s="519"/>
      <c r="TAL354" s="514"/>
      <c r="TAM354" s="519"/>
      <c r="TAN354" s="514"/>
      <c r="TAO354" s="519"/>
      <c r="TAP354" s="514"/>
      <c r="TAQ354" s="519"/>
      <c r="TAR354" s="514"/>
      <c r="TAS354" s="519"/>
      <c r="TAT354" s="514"/>
      <c r="TAU354" s="519"/>
      <c r="TAV354" s="514"/>
      <c r="TAW354" s="519"/>
      <c r="TAX354" s="514"/>
      <c r="TAY354" s="519"/>
      <c r="TAZ354" s="514"/>
      <c r="TBA354" s="519"/>
      <c r="TBB354" s="514"/>
      <c r="TBC354" s="519"/>
      <c r="TBD354" s="514"/>
      <c r="TBE354" s="519"/>
      <c r="TBF354" s="514"/>
      <c r="TBG354" s="519"/>
      <c r="TBH354" s="514"/>
      <c r="TBI354" s="519"/>
      <c r="TBJ354" s="514"/>
      <c r="TBK354" s="519"/>
      <c r="TBL354" s="514"/>
      <c r="TBM354" s="519"/>
      <c r="TBN354" s="514"/>
      <c r="TBO354" s="519"/>
      <c r="TBP354" s="514"/>
      <c r="TBQ354" s="519"/>
      <c r="TBR354" s="514"/>
      <c r="TBS354" s="519"/>
      <c r="TBT354" s="514"/>
      <c r="TBU354" s="519"/>
      <c r="TBV354" s="514"/>
      <c r="TBW354" s="519"/>
      <c r="TBX354" s="514"/>
      <c r="TBY354" s="519"/>
      <c r="TBZ354" s="514"/>
      <c r="TCA354" s="519"/>
      <c r="TCB354" s="514"/>
      <c r="TCC354" s="519"/>
      <c r="TCD354" s="514"/>
      <c r="TCE354" s="519"/>
      <c r="TCF354" s="514"/>
      <c r="TCG354" s="519"/>
      <c r="TCH354" s="514"/>
      <c r="TCI354" s="519"/>
      <c r="TCJ354" s="514"/>
      <c r="TCK354" s="519"/>
      <c r="TCL354" s="514"/>
      <c r="TCM354" s="519"/>
      <c r="TCN354" s="514"/>
      <c r="TCO354" s="519"/>
      <c r="TCP354" s="514"/>
      <c r="TCQ354" s="519"/>
      <c r="TCR354" s="514"/>
      <c r="TCS354" s="519"/>
      <c r="TCT354" s="514"/>
      <c r="TCU354" s="519"/>
      <c r="TCV354" s="514"/>
      <c r="TCW354" s="519"/>
      <c r="TCX354" s="514"/>
      <c r="TCY354" s="519"/>
      <c r="TCZ354" s="514"/>
      <c r="TDA354" s="519"/>
      <c r="TDB354" s="514"/>
      <c r="TDC354" s="519"/>
      <c r="TDD354" s="514"/>
      <c r="TDE354" s="519"/>
      <c r="TDF354" s="514"/>
      <c r="TDG354" s="519"/>
      <c r="TDH354" s="514"/>
      <c r="TDI354" s="519"/>
      <c r="TDJ354" s="514"/>
      <c r="TDK354" s="519"/>
      <c r="TDL354" s="514"/>
      <c r="TDM354" s="519"/>
      <c r="TDN354" s="514"/>
      <c r="TDO354" s="519"/>
      <c r="TDP354" s="514"/>
      <c r="TDQ354" s="519"/>
      <c r="TDR354" s="514"/>
      <c r="TDS354" s="519"/>
      <c r="TDT354" s="514"/>
      <c r="TDU354" s="519"/>
      <c r="TDV354" s="514"/>
      <c r="TDW354" s="519"/>
      <c r="TDX354" s="514"/>
      <c r="TDY354" s="519"/>
      <c r="TDZ354" s="514"/>
      <c r="TEA354" s="519"/>
      <c r="TEB354" s="514"/>
      <c r="TEC354" s="519"/>
      <c r="TED354" s="514"/>
      <c r="TEE354" s="519"/>
      <c r="TEF354" s="514"/>
      <c r="TEG354" s="519"/>
      <c r="TEH354" s="514"/>
      <c r="TEI354" s="519"/>
      <c r="TEJ354" s="514"/>
      <c r="TEK354" s="519"/>
      <c r="TEL354" s="514"/>
      <c r="TEM354" s="519"/>
      <c r="TEN354" s="514"/>
      <c r="TEO354" s="519"/>
      <c r="TEP354" s="514"/>
      <c r="TEQ354" s="519"/>
      <c r="TER354" s="514"/>
      <c r="TES354" s="519"/>
      <c r="TET354" s="514"/>
      <c r="TEU354" s="519"/>
      <c r="TEV354" s="514"/>
      <c r="TEW354" s="519"/>
      <c r="TEX354" s="514"/>
      <c r="TEY354" s="519"/>
      <c r="TEZ354" s="514"/>
      <c r="TFA354" s="519"/>
      <c r="TFB354" s="514"/>
      <c r="TFC354" s="519"/>
      <c r="TFD354" s="514"/>
      <c r="TFE354" s="519"/>
      <c r="TFF354" s="514"/>
      <c r="TFG354" s="519"/>
      <c r="TFH354" s="514"/>
      <c r="TFI354" s="519"/>
      <c r="TFJ354" s="514"/>
      <c r="TFK354" s="519"/>
      <c r="TFL354" s="514"/>
      <c r="TFM354" s="519"/>
      <c r="TFN354" s="514"/>
      <c r="TFO354" s="519"/>
      <c r="TFP354" s="514"/>
      <c r="TFQ354" s="519"/>
      <c r="TFR354" s="514"/>
      <c r="TFS354" s="519"/>
      <c r="TFT354" s="514"/>
      <c r="TFU354" s="519"/>
      <c r="TFV354" s="514"/>
      <c r="TFW354" s="519"/>
      <c r="TFX354" s="514"/>
      <c r="TFY354" s="519"/>
      <c r="TFZ354" s="514"/>
      <c r="TGA354" s="519"/>
      <c r="TGB354" s="514"/>
      <c r="TGC354" s="519"/>
      <c r="TGD354" s="514"/>
      <c r="TGE354" s="519"/>
      <c r="TGF354" s="514"/>
      <c r="TGG354" s="519"/>
      <c r="TGH354" s="514"/>
      <c r="TGI354" s="519"/>
      <c r="TGJ354" s="514"/>
      <c r="TGK354" s="519"/>
      <c r="TGL354" s="514"/>
      <c r="TGM354" s="519"/>
      <c r="TGN354" s="514"/>
      <c r="TGO354" s="519"/>
      <c r="TGP354" s="514"/>
      <c r="TGQ354" s="519"/>
      <c r="TGR354" s="514"/>
      <c r="TGS354" s="519"/>
      <c r="TGT354" s="514"/>
      <c r="TGU354" s="519"/>
      <c r="TGV354" s="514"/>
      <c r="TGW354" s="519"/>
      <c r="TGX354" s="514"/>
      <c r="TGY354" s="519"/>
      <c r="TGZ354" s="514"/>
      <c r="THA354" s="519"/>
      <c r="THB354" s="514"/>
      <c r="THC354" s="519"/>
      <c r="THD354" s="514"/>
      <c r="THE354" s="519"/>
      <c r="THF354" s="514"/>
      <c r="THG354" s="519"/>
      <c r="THH354" s="514"/>
      <c r="THI354" s="519"/>
      <c r="THJ354" s="514"/>
      <c r="THK354" s="519"/>
      <c r="THL354" s="514"/>
      <c r="THM354" s="519"/>
      <c r="THN354" s="514"/>
      <c r="THO354" s="519"/>
      <c r="THP354" s="514"/>
      <c r="THQ354" s="519"/>
      <c r="THR354" s="514"/>
      <c r="THS354" s="519"/>
      <c r="THT354" s="514"/>
      <c r="THU354" s="519"/>
      <c r="THV354" s="514"/>
      <c r="THW354" s="519"/>
      <c r="THX354" s="514"/>
      <c r="THY354" s="519"/>
      <c r="THZ354" s="514"/>
      <c r="TIA354" s="519"/>
      <c r="TIB354" s="514"/>
      <c r="TIC354" s="519"/>
      <c r="TID354" s="514"/>
      <c r="TIE354" s="519"/>
      <c r="TIF354" s="514"/>
      <c r="TIG354" s="519"/>
      <c r="TIH354" s="514"/>
      <c r="TII354" s="519"/>
      <c r="TIJ354" s="514"/>
      <c r="TIK354" s="519"/>
      <c r="TIL354" s="514"/>
      <c r="TIM354" s="519"/>
      <c r="TIN354" s="514"/>
      <c r="TIO354" s="519"/>
      <c r="TIP354" s="514"/>
      <c r="TIQ354" s="519"/>
      <c r="TIR354" s="514"/>
      <c r="TIS354" s="519"/>
      <c r="TIT354" s="514"/>
      <c r="TIU354" s="519"/>
      <c r="TIV354" s="514"/>
      <c r="TIW354" s="519"/>
      <c r="TIX354" s="514"/>
      <c r="TIY354" s="519"/>
      <c r="TIZ354" s="514"/>
      <c r="TJA354" s="519"/>
      <c r="TJB354" s="514"/>
      <c r="TJC354" s="519"/>
      <c r="TJD354" s="514"/>
      <c r="TJE354" s="519"/>
      <c r="TJF354" s="514"/>
      <c r="TJG354" s="519"/>
      <c r="TJH354" s="514"/>
      <c r="TJI354" s="519"/>
      <c r="TJJ354" s="514"/>
      <c r="TJK354" s="519"/>
      <c r="TJL354" s="514"/>
      <c r="TJM354" s="519"/>
      <c r="TJN354" s="514"/>
      <c r="TJO354" s="519"/>
      <c r="TJP354" s="514"/>
      <c r="TJQ354" s="519"/>
      <c r="TJR354" s="514"/>
      <c r="TJS354" s="519"/>
      <c r="TJT354" s="514"/>
      <c r="TJU354" s="519"/>
      <c r="TJV354" s="514"/>
      <c r="TJW354" s="519"/>
      <c r="TJX354" s="514"/>
      <c r="TJY354" s="519"/>
      <c r="TJZ354" s="514"/>
      <c r="TKA354" s="519"/>
      <c r="TKB354" s="514"/>
      <c r="TKC354" s="519"/>
      <c r="TKD354" s="514"/>
      <c r="TKE354" s="519"/>
      <c r="TKF354" s="514"/>
      <c r="TKG354" s="519"/>
      <c r="TKH354" s="514"/>
      <c r="TKI354" s="519"/>
      <c r="TKJ354" s="514"/>
      <c r="TKK354" s="519"/>
      <c r="TKL354" s="514"/>
      <c r="TKM354" s="519"/>
      <c r="TKN354" s="514"/>
      <c r="TKO354" s="519"/>
      <c r="TKP354" s="514"/>
      <c r="TKQ354" s="519"/>
      <c r="TKR354" s="514"/>
      <c r="TKS354" s="519"/>
      <c r="TKT354" s="514"/>
      <c r="TKU354" s="519"/>
      <c r="TKV354" s="514"/>
      <c r="TKW354" s="519"/>
      <c r="TKX354" s="514"/>
      <c r="TKY354" s="519"/>
      <c r="TKZ354" s="514"/>
      <c r="TLA354" s="519"/>
      <c r="TLB354" s="514"/>
      <c r="TLC354" s="519"/>
      <c r="TLD354" s="514"/>
      <c r="TLE354" s="519"/>
      <c r="TLF354" s="514"/>
      <c r="TLG354" s="519"/>
      <c r="TLH354" s="514"/>
      <c r="TLI354" s="519"/>
      <c r="TLJ354" s="514"/>
      <c r="TLK354" s="519"/>
      <c r="TLL354" s="514"/>
      <c r="TLM354" s="519"/>
      <c r="TLN354" s="514"/>
      <c r="TLO354" s="519"/>
      <c r="TLP354" s="514"/>
      <c r="TLQ354" s="519"/>
      <c r="TLR354" s="514"/>
      <c r="TLS354" s="519"/>
      <c r="TLT354" s="514"/>
      <c r="TLU354" s="519"/>
      <c r="TLV354" s="514"/>
      <c r="TLW354" s="519"/>
      <c r="TLX354" s="514"/>
      <c r="TLY354" s="519"/>
      <c r="TLZ354" s="514"/>
      <c r="TMA354" s="519"/>
      <c r="TMB354" s="514"/>
      <c r="TMC354" s="519"/>
      <c r="TMD354" s="514"/>
      <c r="TME354" s="519"/>
      <c r="TMF354" s="514"/>
      <c r="TMG354" s="519"/>
      <c r="TMH354" s="514"/>
      <c r="TMI354" s="519"/>
      <c r="TMJ354" s="514"/>
      <c r="TMK354" s="519"/>
      <c r="TML354" s="514"/>
      <c r="TMM354" s="519"/>
      <c r="TMN354" s="514"/>
      <c r="TMO354" s="519"/>
      <c r="TMP354" s="514"/>
      <c r="TMQ354" s="519"/>
      <c r="TMR354" s="514"/>
      <c r="TMS354" s="519"/>
      <c r="TMT354" s="514"/>
      <c r="TMU354" s="519"/>
      <c r="TMV354" s="514"/>
      <c r="TMW354" s="519"/>
      <c r="TMX354" s="514"/>
      <c r="TMY354" s="519"/>
      <c r="TMZ354" s="514"/>
      <c r="TNA354" s="519"/>
      <c r="TNB354" s="514"/>
      <c r="TNC354" s="519"/>
      <c r="TND354" s="514"/>
      <c r="TNE354" s="519"/>
      <c r="TNF354" s="514"/>
      <c r="TNG354" s="519"/>
      <c r="TNH354" s="514"/>
      <c r="TNI354" s="519"/>
      <c r="TNJ354" s="514"/>
      <c r="TNK354" s="519"/>
      <c r="TNL354" s="514"/>
      <c r="TNM354" s="519"/>
      <c r="TNN354" s="514"/>
      <c r="TNO354" s="519"/>
      <c r="TNP354" s="514"/>
      <c r="TNQ354" s="519"/>
      <c r="TNR354" s="514"/>
      <c r="TNS354" s="519"/>
      <c r="TNT354" s="514"/>
      <c r="TNU354" s="519"/>
      <c r="TNV354" s="514"/>
      <c r="TNW354" s="519"/>
      <c r="TNX354" s="514"/>
      <c r="TNY354" s="519"/>
      <c r="TNZ354" s="514"/>
      <c r="TOA354" s="519"/>
      <c r="TOB354" s="514"/>
      <c r="TOC354" s="519"/>
      <c r="TOD354" s="514"/>
      <c r="TOE354" s="519"/>
      <c r="TOF354" s="514"/>
      <c r="TOG354" s="519"/>
      <c r="TOH354" s="514"/>
      <c r="TOI354" s="519"/>
      <c r="TOJ354" s="514"/>
      <c r="TOK354" s="519"/>
      <c r="TOL354" s="514"/>
      <c r="TOM354" s="519"/>
      <c r="TON354" s="514"/>
      <c r="TOO354" s="519"/>
      <c r="TOP354" s="514"/>
      <c r="TOQ354" s="519"/>
      <c r="TOR354" s="514"/>
      <c r="TOS354" s="519"/>
      <c r="TOT354" s="514"/>
      <c r="TOU354" s="519"/>
      <c r="TOV354" s="514"/>
      <c r="TOW354" s="519"/>
      <c r="TOX354" s="514"/>
      <c r="TOY354" s="519"/>
      <c r="TOZ354" s="514"/>
      <c r="TPA354" s="519"/>
      <c r="TPB354" s="514"/>
      <c r="TPC354" s="519"/>
      <c r="TPD354" s="514"/>
      <c r="TPE354" s="519"/>
      <c r="TPF354" s="514"/>
      <c r="TPG354" s="519"/>
      <c r="TPH354" s="514"/>
      <c r="TPI354" s="519"/>
      <c r="TPJ354" s="514"/>
      <c r="TPK354" s="519"/>
      <c r="TPL354" s="514"/>
      <c r="TPM354" s="519"/>
      <c r="TPN354" s="514"/>
      <c r="TPO354" s="519"/>
      <c r="TPP354" s="514"/>
      <c r="TPQ354" s="519"/>
      <c r="TPR354" s="514"/>
      <c r="TPS354" s="519"/>
      <c r="TPT354" s="514"/>
      <c r="TPU354" s="519"/>
      <c r="TPV354" s="514"/>
      <c r="TPW354" s="519"/>
      <c r="TPX354" s="514"/>
      <c r="TPY354" s="519"/>
      <c r="TPZ354" s="514"/>
      <c r="TQA354" s="519"/>
      <c r="TQB354" s="514"/>
      <c r="TQC354" s="519"/>
      <c r="TQD354" s="514"/>
      <c r="TQE354" s="519"/>
      <c r="TQF354" s="514"/>
      <c r="TQG354" s="519"/>
      <c r="TQH354" s="514"/>
      <c r="TQI354" s="519"/>
      <c r="TQJ354" s="514"/>
      <c r="TQK354" s="519"/>
      <c r="TQL354" s="514"/>
      <c r="TQM354" s="519"/>
      <c r="TQN354" s="514"/>
      <c r="TQO354" s="519"/>
      <c r="TQP354" s="514"/>
      <c r="TQQ354" s="519"/>
      <c r="TQR354" s="514"/>
      <c r="TQS354" s="519"/>
      <c r="TQT354" s="514"/>
      <c r="TQU354" s="519"/>
      <c r="TQV354" s="514"/>
      <c r="TQW354" s="519"/>
      <c r="TQX354" s="514"/>
      <c r="TQY354" s="519"/>
      <c r="TQZ354" s="514"/>
      <c r="TRA354" s="519"/>
      <c r="TRB354" s="514"/>
      <c r="TRC354" s="519"/>
      <c r="TRD354" s="514"/>
      <c r="TRE354" s="519"/>
      <c r="TRF354" s="514"/>
      <c r="TRG354" s="519"/>
      <c r="TRH354" s="514"/>
      <c r="TRI354" s="519"/>
      <c r="TRJ354" s="514"/>
      <c r="TRK354" s="519"/>
      <c r="TRL354" s="514"/>
      <c r="TRM354" s="519"/>
      <c r="TRN354" s="514"/>
      <c r="TRO354" s="519"/>
      <c r="TRP354" s="514"/>
      <c r="TRQ354" s="519"/>
      <c r="TRR354" s="514"/>
      <c r="TRS354" s="519"/>
      <c r="TRT354" s="514"/>
      <c r="TRU354" s="519"/>
      <c r="TRV354" s="514"/>
      <c r="TRW354" s="519"/>
      <c r="TRX354" s="514"/>
      <c r="TRY354" s="519"/>
      <c r="TRZ354" s="514"/>
      <c r="TSA354" s="519"/>
      <c r="TSB354" s="514"/>
      <c r="TSC354" s="519"/>
      <c r="TSD354" s="514"/>
      <c r="TSE354" s="519"/>
      <c r="TSF354" s="514"/>
      <c r="TSG354" s="519"/>
      <c r="TSH354" s="514"/>
      <c r="TSI354" s="519"/>
      <c r="TSJ354" s="514"/>
      <c r="TSK354" s="519"/>
      <c r="TSL354" s="514"/>
      <c r="TSM354" s="519"/>
      <c r="TSN354" s="514"/>
      <c r="TSO354" s="519"/>
      <c r="TSP354" s="514"/>
      <c r="TSQ354" s="519"/>
      <c r="TSR354" s="514"/>
      <c r="TSS354" s="519"/>
      <c r="TST354" s="514"/>
      <c r="TSU354" s="519"/>
      <c r="TSV354" s="514"/>
      <c r="TSW354" s="519"/>
      <c r="TSX354" s="514"/>
      <c r="TSY354" s="519"/>
      <c r="TSZ354" s="514"/>
      <c r="TTA354" s="519"/>
      <c r="TTB354" s="514"/>
      <c r="TTC354" s="519"/>
      <c r="TTD354" s="514"/>
      <c r="TTE354" s="519"/>
      <c r="TTF354" s="514"/>
      <c r="TTG354" s="519"/>
      <c r="TTH354" s="514"/>
      <c r="TTI354" s="519"/>
      <c r="TTJ354" s="514"/>
      <c r="TTK354" s="519"/>
      <c r="TTL354" s="514"/>
      <c r="TTM354" s="519"/>
      <c r="TTN354" s="514"/>
      <c r="TTO354" s="519"/>
      <c r="TTP354" s="514"/>
      <c r="TTQ354" s="519"/>
      <c r="TTR354" s="514"/>
      <c r="TTS354" s="519"/>
      <c r="TTT354" s="514"/>
      <c r="TTU354" s="519"/>
      <c r="TTV354" s="514"/>
      <c r="TTW354" s="519"/>
      <c r="TTX354" s="514"/>
      <c r="TTY354" s="519"/>
      <c r="TTZ354" s="514"/>
      <c r="TUA354" s="519"/>
      <c r="TUB354" s="514"/>
      <c r="TUC354" s="519"/>
      <c r="TUD354" s="514"/>
      <c r="TUE354" s="519"/>
      <c r="TUF354" s="514"/>
      <c r="TUG354" s="519"/>
      <c r="TUH354" s="514"/>
      <c r="TUI354" s="519"/>
      <c r="TUJ354" s="514"/>
      <c r="TUK354" s="519"/>
      <c r="TUL354" s="514"/>
      <c r="TUM354" s="519"/>
      <c r="TUN354" s="514"/>
      <c r="TUO354" s="519"/>
      <c r="TUP354" s="514"/>
      <c r="TUQ354" s="519"/>
      <c r="TUR354" s="514"/>
      <c r="TUS354" s="519"/>
      <c r="TUT354" s="514"/>
      <c r="TUU354" s="519"/>
      <c r="TUV354" s="514"/>
      <c r="TUW354" s="519"/>
      <c r="TUX354" s="514"/>
      <c r="TUY354" s="519"/>
      <c r="TUZ354" s="514"/>
      <c r="TVA354" s="519"/>
      <c r="TVB354" s="514"/>
      <c r="TVC354" s="519"/>
      <c r="TVD354" s="514"/>
      <c r="TVE354" s="519"/>
      <c r="TVF354" s="514"/>
      <c r="TVG354" s="519"/>
      <c r="TVH354" s="514"/>
      <c r="TVI354" s="519"/>
      <c r="TVJ354" s="514"/>
      <c r="TVK354" s="519"/>
      <c r="TVL354" s="514"/>
      <c r="TVM354" s="519"/>
      <c r="TVN354" s="514"/>
      <c r="TVO354" s="519"/>
      <c r="TVP354" s="514"/>
      <c r="TVQ354" s="519"/>
      <c r="TVR354" s="514"/>
      <c r="TVS354" s="519"/>
      <c r="TVT354" s="514"/>
      <c r="TVU354" s="519"/>
      <c r="TVV354" s="514"/>
      <c r="TVW354" s="519"/>
      <c r="TVX354" s="514"/>
      <c r="TVY354" s="519"/>
      <c r="TVZ354" s="514"/>
      <c r="TWA354" s="519"/>
      <c r="TWB354" s="514"/>
      <c r="TWC354" s="519"/>
      <c r="TWD354" s="514"/>
      <c r="TWE354" s="519"/>
      <c r="TWF354" s="514"/>
      <c r="TWG354" s="519"/>
      <c r="TWH354" s="514"/>
      <c r="TWI354" s="519"/>
      <c r="TWJ354" s="514"/>
      <c r="TWK354" s="519"/>
      <c r="TWL354" s="514"/>
      <c r="TWM354" s="519"/>
      <c r="TWN354" s="514"/>
      <c r="TWO354" s="519"/>
      <c r="TWP354" s="514"/>
      <c r="TWQ354" s="519"/>
      <c r="TWR354" s="514"/>
      <c r="TWS354" s="519"/>
      <c r="TWT354" s="514"/>
      <c r="TWU354" s="519"/>
      <c r="TWV354" s="514"/>
      <c r="TWW354" s="519"/>
      <c r="TWX354" s="514"/>
      <c r="TWY354" s="519"/>
      <c r="TWZ354" s="514"/>
      <c r="TXA354" s="519"/>
      <c r="TXB354" s="514"/>
      <c r="TXC354" s="519"/>
      <c r="TXD354" s="514"/>
      <c r="TXE354" s="519"/>
      <c r="TXF354" s="514"/>
      <c r="TXG354" s="519"/>
      <c r="TXH354" s="514"/>
      <c r="TXI354" s="519"/>
      <c r="TXJ354" s="514"/>
      <c r="TXK354" s="519"/>
      <c r="TXL354" s="514"/>
      <c r="TXM354" s="519"/>
      <c r="TXN354" s="514"/>
      <c r="TXO354" s="519"/>
      <c r="TXP354" s="514"/>
      <c r="TXQ354" s="519"/>
      <c r="TXR354" s="514"/>
      <c r="TXS354" s="519"/>
      <c r="TXT354" s="514"/>
      <c r="TXU354" s="519"/>
      <c r="TXV354" s="514"/>
      <c r="TXW354" s="519"/>
      <c r="TXX354" s="514"/>
      <c r="TXY354" s="519"/>
      <c r="TXZ354" s="514"/>
      <c r="TYA354" s="519"/>
      <c r="TYB354" s="514"/>
      <c r="TYC354" s="519"/>
      <c r="TYD354" s="514"/>
      <c r="TYE354" s="519"/>
      <c r="TYF354" s="514"/>
      <c r="TYG354" s="519"/>
      <c r="TYH354" s="514"/>
      <c r="TYI354" s="519"/>
      <c r="TYJ354" s="514"/>
      <c r="TYK354" s="519"/>
      <c r="TYL354" s="514"/>
      <c r="TYM354" s="519"/>
      <c r="TYN354" s="514"/>
      <c r="TYO354" s="519"/>
      <c r="TYP354" s="514"/>
      <c r="TYQ354" s="519"/>
      <c r="TYR354" s="514"/>
      <c r="TYS354" s="519"/>
      <c r="TYT354" s="514"/>
      <c r="TYU354" s="519"/>
      <c r="TYV354" s="514"/>
      <c r="TYW354" s="519"/>
      <c r="TYX354" s="514"/>
      <c r="TYY354" s="519"/>
      <c r="TYZ354" s="514"/>
      <c r="TZA354" s="519"/>
      <c r="TZB354" s="514"/>
      <c r="TZC354" s="519"/>
      <c r="TZD354" s="514"/>
      <c r="TZE354" s="519"/>
      <c r="TZF354" s="514"/>
      <c r="TZG354" s="519"/>
      <c r="TZH354" s="514"/>
      <c r="TZI354" s="519"/>
      <c r="TZJ354" s="514"/>
      <c r="TZK354" s="519"/>
      <c r="TZL354" s="514"/>
      <c r="TZM354" s="519"/>
      <c r="TZN354" s="514"/>
      <c r="TZO354" s="519"/>
      <c r="TZP354" s="514"/>
      <c r="TZQ354" s="519"/>
      <c r="TZR354" s="514"/>
      <c r="TZS354" s="519"/>
      <c r="TZT354" s="514"/>
      <c r="TZU354" s="519"/>
      <c r="TZV354" s="514"/>
      <c r="TZW354" s="519"/>
      <c r="TZX354" s="514"/>
      <c r="TZY354" s="519"/>
      <c r="TZZ354" s="514"/>
      <c r="UAA354" s="519"/>
      <c r="UAB354" s="514"/>
      <c r="UAC354" s="519"/>
      <c r="UAD354" s="514"/>
      <c r="UAE354" s="519"/>
      <c r="UAF354" s="514"/>
      <c r="UAG354" s="519"/>
      <c r="UAH354" s="514"/>
      <c r="UAI354" s="519"/>
      <c r="UAJ354" s="514"/>
      <c r="UAK354" s="519"/>
      <c r="UAL354" s="514"/>
      <c r="UAM354" s="519"/>
      <c r="UAN354" s="514"/>
      <c r="UAO354" s="519"/>
      <c r="UAP354" s="514"/>
      <c r="UAQ354" s="519"/>
      <c r="UAR354" s="514"/>
      <c r="UAS354" s="519"/>
      <c r="UAT354" s="514"/>
      <c r="UAU354" s="519"/>
      <c r="UAV354" s="514"/>
      <c r="UAW354" s="519"/>
      <c r="UAX354" s="514"/>
      <c r="UAY354" s="519"/>
      <c r="UAZ354" s="514"/>
      <c r="UBA354" s="519"/>
      <c r="UBB354" s="514"/>
      <c r="UBC354" s="519"/>
      <c r="UBD354" s="514"/>
      <c r="UBE354" s="519"/>
      <c r="UBF354" s="514"/>
      <c r="UBG354" s="519"/>
      <c r="UBH354" s="514"/>
      <c r="UBI354" s="519"/>
      <c r="UBJ354" s="514"/>
      <c r="UBK354" s="519"/>
      <c r="UBL354" s="514"/>
      <c r="UBM354" s="519"/>
      <c r="UBN354" s="514"/>
      <c r="UBO354" s="519"/>
      <c r="UBP354" s="514"/>
      <c r="UBQ354" s="519"/>
      <c r="UBR354" s="514"/>
      <c r="UBS354" s="519"/>
      <c r="UBT354" s="514"/>
      <c r="UBU354" s="519"/>
      <c r="UBV354" s="514"/>
      <c r="UBW354" s="519"/>
      <c r="UBX354" s="514"/>
      <c r="UBY354" s="519"/>
      <c r="UBZ354" s="514"/>
      <c r="UCA354" s="519"/>
      <c r="UCB354" s="514"/>
      <c r="UCC354" s="519"/>
      <c r="UCD354" s="514"/>
      <c r="UCE354" s="519"/>
      <c r="UCF354" s="514"/>
      <c r="UCG354" s="519"/>
      <c r="UCH354" s="514"/>
      <c r="UCI354" s="519"/>
      <c r="UCJ354" s="514"/>
      <c r="UCK354" s="519"/>
      <c r="UCL354" s="514"/>
      <c r="UCM354" s="519"/>
      <c r="UCN354" s="514"/>
      <c r="UCO354" s="519"/>
      <c r="UCP354" s="514"/>
      <c r="UCQ354" s="519"/>
      <c r="UCR354" s="514"/>
      <c r="UCS354" s="519"/>
      <c r="UCT354" s="514"/>
      <c r="UCU354" s="519"/>
      <c r="UCV354" s="514"/>
      <c r="UCW354" s="519"/>
      <c r="UCX354" s="514"/>
      <c r="UCY354" s="519"/>
      <c r="UCZ354" s="514"/>
      <c r="UDA354" s="519"/>
      <c r="UDB354" s="514"/>
      <c r="UDC354" s="519"/>
      <c r="UDD354" s="514"/>
      <c r="UDE354" s="519"/>
      <c r="UDF354" s="514"/>
      <c r="UDG354" s="519"/>
      <c r="UDH354" s="514"/>
      <c r="UDI354" s="519"/>
      <c r="UDJ354" s="514"/>
      <c r="UDK354" s="519"/>
      <c r="UDL354" s="514"/>
      <c r="UDM354" s="519"/>
      <c r="UDN354" s="514"/>
      <c r="UDO354" s="519"/>
      <c r="UDP354" s="514"/>
      <c r="UDQ354" s="519"/>
      <c r="UDR354" s="514"/>
      <c r="UDS354" s="519"/>
      <c r="UDT354" s="514"/>
      <c r="UDU354" s="519"/>
      <c r="UDV354" s="514"/>
      <c r="UDW354" s="519"/>
      <c r="UDX354" s="514"/>
      <c r="UDY354" s="519"/>
      <c r="UDZ354" s="514"/>
      <c r="UEA354" s="519"/>
      <c r="UEB354" s="514"/>
      <c r="UEC354" s="519"/>
      <c r="UED354" s="514"/>
      <c r="UEE354" s="519"/>
      <c r="UEF354" s="514"/>
      <c r="UEG354" s="519"/>
      <c r="UEH354" s="514"/>
      <c r="UEI354" s="519"/>
      <c r="UEJ354" s="514"/>
      <c r="UEK354" s="519"/>
      <c r="UEL354" s="514"/>
      <c r="UEM354" s="519"/>
      <c r="UEN354" s="514"/>
      <c r="UEO354" s="519"/>
      <c r="UEP354" s="514"/>
      <c r="UEQ354" s="519"/>
      <c r="UER354" s="514"/>
      <c r="UES354" s="519"/>
      <c r="UET354" s="514"/>
      <c r="UEU354" s="519"/>
      <c r="UEV354" s="514"/>
      <c r="UEW354" s="519"/>
      <c r="UEX354" s="514"/>
      <c r="UEY354" s="519"/>
      <c r="UEZ354" s="514"/>
      <c r="UFA354" s="519"/>
      <c r="UFB354" s="514"/>
      <c r="UFC354" s="519"/>
      <c r="UFD354" s="514"/>
      <c r="UFE354" s="519"/>
      <c r="UFF354" s="514"/>
      <c r="UFG354" s="519"/>
      <c r="UFH354" s="514"/>
      <c r="UFI354" s="519"/>
      <c r="UFJ354" s="514"/>
      <c r="UFK354" s="519"/>
      <c r="UFL354" s="514"/>
      <c r="UFM354" s="519"/>
      <c r="UFN354" s="514"/>
      <c r="UFO354" s="519"/>
      <c r="UFP354" s="514"/>
      <c r="UFQ354" s="519"/>
      <c r="UFR354" s="514"/>
      <c r="UFS354" s="519"/>
      <c r="UFT354" s="514"/>
      <c r="UFU354" s="519"/>
      <c r="UFV354" s="514"/>
      <c r="UFW354" s="519"/>
      <c r="UFX354" s="514"/>
      <c r="UFY354" s="519"/>
      <c r="UFZ354" s="514"/>
      <c r="UGA354" s="519"/>
      <c r="UGB354" s="514"/>
      <c r="UGC354" s="519"/>
      <c r="UGD354" s="514"/>
      <c r="UGE354" s="519"/>
      <c r="UGF354" s="514"/>
      <c r="UGG354" s="519"/>
      <c r="UGH354" s="514"/>
      <c r="UGI354" s="519"/>
      <c r="UGJ354" s="514"/>
      <c r="UGK354" s="519"/>
      <c r="UGL354" s="514"/>
      <c r="UGM354" s="519"/>
      <c r="UGN354" s="514"/>
      <c r="UGO354" s="519"/>
      <c r="UGP354" s="514"/>
      <c r="UGQ354" s="519"/>
      <c r="UGR354" s="514"/>
      <c r="UGS354" s="519"/>
      <c r="UGT354" s="514"/>
      <c r="UGU354" s="519"/>
      <c r="UGV354" s="514"/>
      <c r="UGW354" s="519"/>
      <c r="UGX354" s="514"/>
      <c r="UGY354" s="519"/>
      <c r="UGZ354" s="514"/>
      <c r="UHA354" s="519"/>
      <c r="UHB354" s="514"/>
      <c r="UHC354" s="519"/>
      <c r="UHD354" s="514"/>
      <c r="UHE354" s="519"/>
      <c r="UHF354" s="514"/>
      <c r="UHG354" s="519"/>
      <c r="UHH354" s="514"/>
      <c r="UHI354" s="519"/>
      <c r="UHJ354" s="514"/>
      <c r="UHK354" s="519"/>
      <c r="UHL354" s="514"/>
      <c r="UHM354" s="519"/>
      <c r="UHN354" s="514"/>
      <c r="UHO354" s="519"/>
      <c r="UHP354" s="514"/>
      <c r="UHQ354" s="519"/>
      <c r="UHR354" s="514"/>
      <c r="UHS354" s="519"/>
      <c r="UHT354" s="514"/>
      <c r="UHU354" s="519"/>
      <c r="UHV354" s="514"/>
      <c r="UHW354" s="519"/>
      <c r="UHX354" s="514"/>
      <c r="UHY354" s="519"/>
      <c r="UHZ354" s="514"/>
      <c r="UIA354" s="519"/>
      <c r="UIB354" s="514"/>
      <c r="UIC354" s="519"/>
      <c r="UID354" s="514"/>
      <c r="UIE354" s="519"/>
      <c r="UIF354" s="514"/>
      <c r="UIG354" s="519"/>
      <c r="UIH354" s="514"/>
      <c r="UII354" s="519"/>
      <c r="UIJ354" s="514"/>
      <c r="UIK354" s="519"/>
      <c r="UIL354" s="514"/>
      <c r="UIM354" s="519"/>
      <c r="UIN354" s="514"/>
      <c r="UIO354" s="519"/>
      <c r="UIP354" s="514"/>
      <c r="UIQ354" s="519"/>
      <c r="UIR354" s="514"/>
      <c r="UIS354" s="519"/>
      <c r="UIT354" s="514"/>
      <c r="UIU354" s="519"/>
      <c r="UIV354" s="514"/>
      <c r="UIW354" s="519"/>
      <c r="UIX354" s="514"/>
      <c r="UIY354" s="519"/>
      <c r="UIZ354" s="514"/>
      <c r="UJA354" s="519"/>
      <c r="UJB354" s="514"/>
      <c r="UJC354" s="519"/>
      <c r="UJD354" s="514"/>
      <c r="UJE354" s="519"/>
      <c r="UJF354" s="514"/>
      <c r="UJG354" s="519"/>
      <c r="UJH354" s="514"/>
      <c r="UJI354" s="519"/>
      <c r="UJJ354" s="514"/>
      <c r="UJK354" s="519"/>
      <c r="UJL354" s="514"/>
      <c r="UJM354" s="519"/>
      <c r="UJN354" s="514"/>
      <c r="UJO354" s="519"/>
      <c r="UJP354" s="514"/>
      <c r="UJQ354" s="519"/>
      <c r="UJR354" s="514"/>
      <c r="UJS354" s="519"/>
      <c r="UJT354" s="514"/>
      <c r="UJU354" s="519"/>
      <c r="UJV354" s="514"/>
      <c r="UJW354" s="519"/>
      <c r="UJX354" s="514"/>
      <c r="UJY354" s="519"/>
      <c r="UJZ354" s="514"/>
      <c r="UKA354" s="519"/>
      <c r="UKB354" s="514"/>
      <c r="UKC354" s="519"/>
      <c r="UKD354" s="514"/>
      <c r="UKE354" s="519"/>
      <c r="UKF354" s="514"/>
      <c r="UKG354" s="519"/>
      <c r="UKH354" s="514"/>
      <c r="UKI354" s="519"/>
      <c r="UKJ354" s="514"/>
      <c r="UKK354" s="519"/>
      <c r="UKL354" s="514"/>
      <c r="UKM354" s="519"/>
      <c r="UKN354" s="514"/>
      <c r="UKO354" s="519"/>
      <c r="UKP354" s="514"/>
      <c r="UKQ354" s="519"/>
      <c r="UKR354" s="514"/>
      <c r="UKS354" s="519"/>
      <c r="UKT354" s="514"/>
      <c r="UKU354" s="519"/>
      <c r="UKV354" s="514"/>
      <c r="UKW354" s="519"/>
      <c r="UKX354" s="514"/>
      <c r="UKY354" s="519"/>
      <c r="UKZ354" s="514"/>
      <c r="ULA354" s="519"/>
      <c r="ULB354" s="514"/>
      <c r="ULC354" s="519"/>
      <c r="ULD354" s="514"/>
      <c r="ULE354" s="519"/>
      <c r="ULF354" s="514"/>
      <c r="ULG354" s="519"/>
      <c r="ULH354" s="514"/>
      <c r="ULI354" s="519"/>
      <c r="ULJ354" s="514"/>
      <c r="ULK354" s="519"/>
      <c r="ULL354" s="514"/>
      <c r="ULM354" s="519"/>
      <c r="ULN354" s="514"/>
      <c r="ULO354" s="519"/>
      <c r="ULP354" s="514"/>
      <c r="ULQ354" s="519"/>
      <c r="ULR354" s="514"/>
      <c r="ULS354" s="519"/>
      <c r="ULT354" s="514"/>
      <c r="ULU354" s="519"/>
      <c r="ULV354" s="514"/>
      <c r="ULW354" s="519"/>
      <c r="ULX354" s="514"/>
      <c r="ULY354" s="519"/>
      <c r="ULZ354" s="514"/>
      <c r="UMA354" s="519"/>
      <c r="UMB354" s="514"/>
      <c r="UMC354" s="519"/>
      <c r="UMD354" s="514"/>
      <c r="UME354" s="519"/>
      <c r="UMF354" s="514"/>
      <c r="UMG354" s="519"/>
      <c r="UMH354" s="514"/>
      <c r="UMI354" s="519"/>
      <c r="UMJ354" s="514"/>
      <c r="UMK354" s="519"/>
      <c r="UML354" s="514"/>
      <c r="UMM354" s="519"/>
      <c r="UMN354" s="514"/>
      <c r="UMO354" s="519"/>
      <c r="UMP354" s="514"/>
      <c r="UMQ354" s="519"/>
      <c r="UMR354" s="514"/>
      <c r="UMS354" s="519"/>
      <c r="UMT354" s="514"/>
      <c r="UMU354" s="519"/>
      <c r="UMV354" s="514"/>
      <c r="UMW354" s="519"/>
      <c r="UMX354" s="514"/>
      <c r="UMY354" s="519"/>
      <c r="UMZ354" s="514"/>
      <c r="UNA354" s="519"/>
      <c r="UNB354" s="514"/>
      <c r="UNC354" s="519"/>
      <c r="UND354" s="514"/>
      <c r="UNE354" s="519"/>
      <c r="UNF354" s="514"/>
      <c r="UNG354" s="519"/>
      <c r="UNH354" s="514"/>
      <c r="UNI354" s="519"/>
      <c r="UNJ354" s="514"/>
      <c r="UNK354" s="519"/>
      <c r="UNL354" s="514"/>
      <c r="UNM354" s="519"/>
      <c r="UNN354" s="514"/>
      <c r="UNO354" s="519"/>
      <c r="UNP354" s="514"/>
      <c r="UNQ354" s="519"/>
      <c r="UNR354" s="514"/>
      <c r="UNS354" s="519"/>
      <c r="UNT354" s="514"/>
      <c r="UNU354" s="519"/>
      <c r="UNV354" s="514"/>
      <c r="UNW354" s="519"/>
      <c r="UNX354" s="514"/>
      <c r="UNY354" s="519"/>
      <c r="UNZ354" s="514"/>
      <c r="UOA354" s="519"/>
      <c r="UOB354" s="514"/>
      <c r="UOC354" s="519"/>
      <c r="UOD354" s="514"/>
      <c r="UOE354" s="519"/>
      <c r="UOF354" s="514"/>
      <c r="UOG354" s="519"/>
      <c r="UOH354" s="514"/>
      <c r="UOI354" s="519"/>
      <c r="UOJ354" s="514"/>
      <c r="UOK354" s="519"/>
      <c r="UOL354" s="514"/>
      <c r="UOM354" s="519"/>
      <c r="UON354" s="514"/>
      <c r="UOO354" s="519"/>
      <c r="UOP354" s="514"/>
      <c r="UOQ354" s="519"/>
      <c r="UOR354" s="514"/>
      <c r="UOS354" s="519"/>
      <c r="UOT354" s="514"/>
      <c r="UOU354" s="519"/>
      <c r="UOV354" s="514"/>
      <c r="UOW354" s="519"/>
      <c r="UOX354" s="514"/>
      <c r="UOY354" s="519"/>
      <c r="UOZ354" s="514"/>
      <c r="UPA354" s="519"/>
      <c r="UPB354" s="514"/>
      <c r="UPC354" s="519"/>
      <c r="UPD354" s="514"/>
      <c r="UPE354" s="519"/>
      <c r="UPF354" s="514"/>
      <c r="UPG354" s="519"/>
      <c r="UPH354" s="514"/>
      <c r="UPI354" s="519"/>
      <c r="UPJ354" s="514"/>
      <c r="UPK354" s="519"/>
      <c r="UPL354" s="514"/>
      <c r="UPM354" s="519"/>
      <c r="UPN354" s="514"/>
      <c r="UPO354" s="519"/>
      <c r="UPP354" s="514"/>
      <c r="UPQ354" s="519"/>
      <c r="UPR354" s="514"/>
      <c r="UPS354" s="519"/>
      <c r="UPT354" s="514"/>
      <c r="UPU354" s="519"/>
      <c r="UPV354" s="514"/>
      <c r="UPW354" s="519"/>
      <c r="UPX354" s="514"/>
      <c r="UPY354" s="519"/>
      <c r="UPZ354" s="514"/>
      <c r="UQA354" s="519"/>
      <c r="UQB354" s="514"/>
      <c r="UQC354" s="519"/>
      <c r="UQD354" s="514"/>
      <c r="UQE354" s="519"/>
      <c r="UQF354" s="514"/>
      <c r="UQG354" s="519"/>
      <c r="UQH354" s="514"/>
      <c r="UQI354" s="519"/>
      <c r="UQJ354" s="514"/>
      <c r="UQK354" s="519"/>
      <c r="UQL354" s="514"/>
      <c r="UQM354" s="519"/>
      <c r="UQN354" s="514"/>
      <c r="UQO354" s="519"/>
      <c r="UQP354" s="514"/>
      <c r="UQQ354" s="519"/>
      <c r="UQR354" s="514"/>
      <c r="UQS354" s="519"/>
      <c r="UQT354" s="514"/>
      <c r="UQU354" s="519"/>
      <c r="UQV354" s="514"/>
      <c r="UQW354" s="519"/>
      <c r="UQX354" s="514"/>
      <c r="UQY354" s="519"/>
      <c r="UQZ354" s="514"/>
      <c r="URA354" s="519"/>
      <c r="URB354" s="514"/>
      <c r="URC354" s="519"/>
      <c r="URD354" s="514"/>
      <c r="URE354" s="519"/>
      <c r="URF354" s="514"/>
      <c r="URG354" s="519"/>
      <c r="URH354" s="514"/>
      <c r="URI354" s="519"/>
      <c r="URJ354" s="514"/>
      <c r="URK354" s="519"/>
      <c r="URL354" s="514"/>
      <c r="URM354" s="519"/>
      <c r="URN354" s="514"/>
      <c r="URO354" s="519"/>
      <c r="URP354" s="514"/>
      <c r="URQ354" s="519"/>
      <c r="URR354" s="514"/>
      <c r="URS354" s="519"/>
      <c r="URT354" s="514"/>
      <c r="URU354" s="519"/>
      <c r="URV354" s="514"/>
      <c r="URW354" s="519"/>
      <c r="URX354" s="514"/>
      <c r="URY354" s="519"/>
      <c r="URZ354" s="514"/>
      <c r="USA354" s="519"/>
      <c r="USB354" s="514"/>
      <c r="USC354" s="519"/>
      <c r="USD354" s="514"/>
      <c r="USE354" s="519"/>
      <c r="USF354" s="514"/>
      <c r="USG354" s="519"/>
      <c r="USH354" s="514"/>
      <c r="USI354" s="519"/>
      <c r="USJ354" s="514"/>
      <c r="USK354" s="519"/>
      <c r="USL354" s="514"/>
      <c r="USM354" s="519"/>
      <c r="USN354" s="514"/>
      <c r="USO354" s="519"/>
      <c r="USP354" s="514"/>
      <c r="USQ354" s="519"/>
      <c r="USR354" s="514"/>
      <c r="USS354" s="519"/>
      <c r="UST354" s="514"/>
      <c r="USU354" s="519"/>
      <c r="USV354" s="514"/>
      <c r="USW354" s="519"/>
      <c r="USX354" s="514"/>
      <c r="USY354" s="519"/>
      <c r="USZ354" s="514"/>
      <c r="UTA354" s="519"/>
      <c r="UTB354" s="514"/>
      <c r="UTC354" s="519"/>
      <c r="UTD354" s="514"/>
      <c r="UTE354" s="519"/>
      <c r="UTF354" s="514"/>
      <c r="UTG354" s="519"/>
      <c r="UTH354" s="514"/>
      <c r="UTI354" s="519"/>
      <c r="UTJ354" s="514"/>
      <c r="UTK354" s="519"/>
      <c r="UTL354" s="514"/>
      <c r="UTM354" s="519"/>
      <c r="UTN354" s="514"/>
      <c r="UTO354" s="519"/>
      <c r="UTP354" s="514"/>
      <c r="UTQ354" s="519"/>
      <c r="UTR354" s="514"/>
      <c r="UTS354" s="519"/>
      <c r="UTT354" s="514"/>
      <c r="UTU354" s="519"/>
      <c r="UTV354" s="514"/>
      <c r="UTW354" s="519"/>
      <c r="UTX354" s="514"/>
      <c r="UTY354" s="519"/>
      <c r="UTZ354" s="514"/>
      <c r="UUA354" s="519"/>
      <c r="UUB354" s="514"/>
      <c r="UUC354" s="519"/>
      <c r="UUD354" s="514"/>
      <c r="UUE354" s="519"/>
      <c r="UUF354" s="514"/>
      <c r="UUG354" s="519"/>
      <c r="UUH354" s="514"/>
      <c r="UUI354" s="519"/>
      <c r="UUJ354" s="514"/>
      <c r="UUK354" s="519"/>
      <c r="UUL354" s="514"/>
      <c r="UUM354" s="519"/>
      <c r="UUN354" s="514"/>
      <c r="UUO354" s="519"/>
      <c r="UUP354" s="514"/>
      <c r="UUQ354" s="519"/>
      <c r="UUR354" s="514"/>
      <c r="UUS354" s="519"/>
      <c r="UUT354" s="514"/>
      <c r="UUU354" s="519"/>
      <c r="UUV354" s="514"/>
      <c r="UUW354" s="519"/>
      <c r="UUX354" s="514"/>
      <c r="UUY354" s="519"/>
      <c r="UUZ354" s="514"/>
      <c r="UVA354" s="519"/>
      <c r="UVB354" s="514"/>
      <c r="UVC354" s="519"/>
      <c r="UVD354" s="514"/>
      <c r="UVE354" s="519"/>
      <c r="UVF354" s="514"/>
      <c r="UVG354" s="519"/>
      <c r="UVH354" s="514"/>
      <c r="UVI354" s="519"/>
      <c r="UVJ354" s="514"/>
      <c r="UVK354" s="519"/>
      <c r="UVL354" s="514"/>
      <c r="UVM354" s="519"/>
      <c r="UVN354" s="514"/>
      <c r="UVO354" s="519"/>
      <c r="UVP354" s="514"/>
      <c r="UVQ354" s="519"/>
      <c r="UVR354" s="514"/>
      <c r="UVS354" s="519"/>
      <c r="UVT354" s="514"/>
      <c r="UVU354" s="519"/>
      <c r="UVV354" s="514"/>
      <c r="UVW354" s="519"/>
      <c r="UVX354" s="514"/>
      <c r="UVY354" s="519"/>
      <c r="UVZ354" s="514"/>
      <c r="UWA354" s="519"/>
      <c r="UWB354" s="514"/>
      <c r="UWC354" s="519"/>
      <c r="UWD354" s="514"/>
      <c r="UWE354" s="519"/>
      <c r="UWF354" s="514"/>
      <c r="UWG354" s="519"/>
      <c r="UWH354" s="514"/>
      <c r="UWI354" s="519"/>
      <c r="UWJ354" s="514"/>
      <c r="UWK354" s="519"/>
      <c r="UWL354" s="514"/>
      <c r="UWM354" s="519"/>
      <c r="UWN354" s="514"/>
      <c r="UWO354" s="519"/>
      <c r="UWP354" s="514"/>
      <c r="UWQ354" s="519"/>
      <c r="UWR354" s="514"/>
      <c r="UWS354" s="519"/>
      <c r="UWT354" s="514"/>
      <c r="UWU354" s="519"/>
      <c r="UWV354" s="514"/>
      <c r="UWW354" s="519"/>
      <c r="UWX354" s="514"/>
      <c r="UWY354" s="519"/>
      <c r="UWZ354" s="514"/>
      <c r="UXA354" s="519"/>
      <c r="UXB354" s="514"/>
      <c r="UXC354" s="519"/>
      <c r="UXD354" s="514"/>
      <c r="UXE354" s="519"/>
      <c r="UXF354" s="514"/>
      <c r="UXG354" s="519"/>
      <c r="UXH354" s="514"/>
      <c r="UXI354" s="519"/>
      <c r="UXJ354" s="514"/>
      <c r="UXK354" s="519"/>
      <c r="UXL354" s="514"/>
      <c r="UXM354" s="519"/>
      <c r="UXN354" s="514"/>
      <c r="UXO354" s="519"/>
      <c r="UXP354" s="514"/>
      <c r="UXQ354" s="519"/>
      <c r="UXR354" s="514"/>
      <c r="UXS354" s="519"/>
      <c r="UXT354" s="514"/>
      <c r="UXU354" s="519"/>
      <c r="UXV354" s="514"/>
      <c r="UXW354" s="519"/>
      <c r="UXX354" s="514"/>
      <c r="UXY354" s="519"/>
      <c r="UXZ354" s="514"/>
      <c r="UYA354" s="519"/>
      <c r="UYB354" s="514"/>
      <c r="UYC354" s="519"/>
      <c r="UYD354" s="514"/>
      <c r="UYE354" s="519"/>
      <c r="UYF354" s="514"/>
      <c r="UYG354" s="519"/>
      <c r="UYH354" s="514"/>
      <c r="UYI354" s="519"/>
      <c r="UYJ354" s="514"/>
      <c r="UYK354" s="519"/>
      <c r="UYL354" s="514"/>
      <c r="UYM354" s="519"/>
      <c r="UYN354" s="514"/>
      <c r="UYO354" s="519"/>
      <c r="UYP354" s="514"/>
      <c r="UYQ354" s="519"/>
      <c r="UYR354" s="514"/>
      <c r="UYS354" s="519"/>
      <c r="UYT354" s="514"/>
      <c r="UYU354" s="519"/>
      <c r="UYV354" s="514"/>
      <c r="UYW354" s="519"/>
      <c r="UYX354" s="514"/>
      <c r="UYY354" s="519"/>
      <c r="UYZ354" s="514"/>
      <c r="UZA354" s="519"/>
      <c r="UZB354" s="514"/>
      <c r="UZC354" s="519"/>
      <c r="UZD354" s="514"/>
      <c r="UZE354" s="519"/>
      <c r="UZF354" s="514"/>
      <c r="UZG354" s="519"/>
      <c r="UZH354" s="514"/>
      <c r="UZI354" s="519"/>
      <c r="UZJ354" s="514"/>
      <c r="UZK354" s="519"/>
      <c r="UZL354" s="514"/>
      <c r="UZM354" s="519"/>
      <c r="UZN354" s="514"/>
      <c r="UZO354" s="519"/>
      <c r="UZP354" s="514"/>
      <c r="UZQ354" s="519"/>
      <c r="UZR354" s="514"/>
      <c r="UZS354" s="519"/>
      <c r="UZT354" s="514"/>
      <c r="UZU354" s="519"/>
      <c r="UZV354" s="514"/>
      <c r="UZW354" s="519"/>
      <c r="UZX354" s="514"/>
      <c r="UZY354" s="519"/>
      <c r="UZZ354" s="514"/>
      <c r="VAA354" s="519"/>
      <c r="VAB354" s="514"/>
      <c r="VAC354" s="519"/>
      <c r="VAD354" s="514"/>
      <c r="VAE354" s="519"/>
      <c r="VAF354" s="514"/>
      <c r="VAG354" s="519"/>
      <c r="VAH354" s="514"/>
      <c r="VAI354" s="519"/>
      <c r="VAJ354" s="514"/>
      <c r="VAK354" s="519"/>
      <c r="VAL354" s="514"/>
      <c r="VAM354" s="519"/>
      <c r="VAN354" s="514"/>
      <c r="VAO354" s="519"/>
      <c r="VAP354" s="514"/>
      <c r="VAQ354" s="519"/>
      <c r="VAR354" s="514"/>
      <c r="VAS354" s="519"/>
      <c r="VAT354" s="514"/>
      <c r="VAU354" s="519"/>
      <c r="VAV354" s="514"/>
      <c r="VAW354" s="519"/>
      <c r="VAX354" s="514"/>
      <c r="VAY354" s="519"/>
      <c r="VAZ354" s="514"/>
      <c r="VBA354" s="519"/>
      <c r="VBB354" s="514"/>
      <c r="VBC354" s="519"/>
      <c r="VBD354" s="514"/>
      <c r="VBE354" s="519"/>
      <c r="VBF354" s="514"/>
      <c r="VBG354" s="519"/>
      <c r="VBH354" s="514"/>
      <c r="VBI354" s="519"/>
      <c r="VBJ354" s="514"/>
      <c r="VBK354" s="519"/>
      <c r="VBL354" s="514"/>
      <c r="VBM354" s="519"/>
      <c r="VBN354" s="514"/>
      <c r="VBO354" s="519"/>
      <c r="VBP354" s="514"/>
      <c r="VBQ354" s="519"/>
      <c r="VBR354" s="514"/>
      <c r="VBS354" s="519"/>
      <c r="VBT354" s="514"/>
      <c r="VBU354" s="519"/>
      <c r="VBV354" s="514"/>
      <c r="VBW354" s="519"/>
      <c r="VBX354" s="514"/>
      <c r="VBY354" s="519"/>
      <c r="VBZ354" s="514"/>
      <c r="VCA354" s="519"/>
      <c r="VCB354" s="514"/>
      <c r="VCC354" s="519"/>
      <c r="VCD354" s="514"/>
      <c r="VCE354" s="519"/>
      <c r="VCF354" s="514"/>
      <c r="VCG354" s="519"/>
      <c r="VCH354" s="514"/>
      <c r="VCI354" s="519"/>
      <c r="VCJ354" s="514"/>
      <c r="VCK354" s="519"/>
      <c r="VCL354" s="514"/>
      <c r="VCM354" s="519"/>
      <c r="VCN354" s="514"/>
      <c r="VCO354" s="519"/>
      <c r="VCP354" s="514"/>
      <c r="VCQ354" s="519"/>
      <c r="VCR354" s="514"/>
      <c r="VCS354" s="519"/>
      <c r="VCT354" s="514"/>
      <c r="VCU354" s="519"/>
      <c r="VCV354" s="514"/>
      <c r="VCW354" s="519"/>
      <c r="VCX354" s="514"/>
      <c r="VCY354" s="519"/>
      <c r="VCZ354" s="514"/>
      <c r="VDA354" s="519"/>
      <c r="VDB354" s="514"/>
      <c r="VDC354" s="519"/>
      <c r="VDD354" s="514"/>
      <c r="VDE354" s="519"/>
      <c r="VDF354" s="514"/>
      <c r="VDG354" s="519"/>
      <c r="VDH354" s="514"/>
      <c r="VDI354" s="519"/>
      <c r="VDJ354" s="514"/>
      <c r="VDK354" s="519"/>
      <c r="VDL354" s="514"/>
      <c r="VDM354" s="519"/>
      <c r="VDN354" s="514"/>
      <c r="VDO354" s="519"/>
      <c r="VDP354" s="514"/>
      <c r="VDQ354" s="519"/>
      <c r="VDR354" s="514"/>
      <c r="VDS354" s="519"/>
      <c r="VDT354" s="514"/>
      <c r="VDU354" s="519"/>
      <c r="VDV354" s="514"/>
      <c r="VDW354" s="519"/>
      <c r="VDX354" s="514"/>
      <c r="VDY354" s="519"/>
      <c r="VDZ354" s="514"/>
      <c r="VEA354" s="519"/>
      <c r="VEB354" s="514"/>
      <c r="VEC354" s="519"/>
      <c r="VED354" s="514"/>
      <c r="VEE354" s="519"/>
      <c r="VEF354" s="514"/>
      <c r="VEG354" s="519"/>
      <c r="VEH354" s="514"/>
      <c r="VEI354" s="519"/>
      <c r="VEJ354" s="514"/>
      <c r="VEK354" s="519"/>
      <c r="VEL354" s="514"/>
      <c r="VEM354" s="519"/>
      <c r="VEN354" s="514"/>
      <c r="VEO354" s="519"/>
      <c r="VEP354" s="514"/>
      <c r="VEQ354" s="519"/>
      <c r="VER354" s="514"/>
      <c r="VES354" s="519"/>
      <c r="VET354" s="514"/>
      <c r="VEU354" s="519"/>
      <c r="VEV354" s="514"/>
      <c r="VEW354" s="519"/>
      <c r="VEX354" s="514"/>
      <c r="VEY354" s="519"/>
      <c r="VEZ354" s="514"/>
      <c r="VFA354" s="519"/>
      <c r="VFB354" s="514"/>
      <c r="VFC354" s="519"/>
      <c r="VFD354" s="514"/>
      <c r="VFE354" s="519"/>
      <c r="VFF354" s="514"/>
      <c r="VFG354" s="519"/>
      <c r="VFH354" s="514"/>
      <c r="VFI354" s="519"/>
      <c r="VFJ354" s="514"/>
      <c r="VFK354" s="519"/>
      <c r="VFL354" s="514"/>
      <c r="VFM354" s="519"/>
      <c r="VFN354" s="514"/>
      <c r="VFO354" s="519"/>
      <c r="VFP354" s="514"/>
      <c r="VFQ354" s="519"/>
      <c r="VFR354" s="514"/>
      <c r="VFS354" s="519"/>
      <c r="VFT354" s="514"/>
      <c r="VFU354" s="519"/>
      <c r="VFV354" s="514"/>
      <c r="VFW354" s="519"/>
      <c r="VFX354" s="514"/>
      <c r="VFY354" s="519"/>
      <c r="VFZ354" s="514"/>
      <c r="VGA354" s="519"/>
      <c r="VGB354" s="514"/>
      <c r="VGC354" s="519"/>
      <c r="VGD354" s="514"/>
      <c r="VGE354" s="519"/>
      <c r="VGF354" s="514"/>
      <c r="VGG354" s="519"/>
      <c r="VGH354" s="514"/>
      <c r="VGI354" s="519"/>
      <c r="VGJ354" s="514"/>
      <c r="VGK354" s="519"/>
      <c r="VGL354" s="514"/>
      <c r="VGM354" s="519"/>
      <c r="VGN354" s="514"/>
      <c r="VGO354" s="519"/>
      <c r="VGP354" s="514"/>
      <c r="VGQ354" s="519"/>
      <c r="VGR354" s="514"/>
      <c r="VGS354" s="519"/>
      <c r="VGT354" s="514"/>
      <c r="VGU354" s="519"/>
      <c r="VGV354" s="514"/>
      <c r="VGW354" s="519"/>
      <c r="VGX354" s="514"/>
      <c r="VGY354" s="519"/>
      <c r="VGZ354" s="514"/>
      <c r="VHA354" s="519"/>
      <c r="VHB354" s="514"/>
      <c r="VHC354" s="519"/>
      <c r="VHD354" s="514"/>
      <c r="VHE354" s="519"/>
      <c r="VHF354" s="514"/>
      <c r="VHG354" s="519"/>
      <c r="VHH354" s="514"/>
      <c r="VHI354" s="519"/>
      <c r="VHJ354" s="514"/>
      <c r="VHK354" s="519"/>
      <c r="VHL354" s="514"/>
      <c r="VHM354" s="519"/>
      <c r="VHN354" s="514"/>
      <c r="VHO354" s="519"/>
      <c r="VHP354" s="514"/>
      <c r="VHQ354" s="519"/>
      <c r="VHR354" s="514"/>
      <c r="VHS354" s="519"/>
      <c r="VHT354" s="514"/>
      <c r="VHU354" s="519"/>
      <c r="VHV354" s="514"/>
      <c r="VHW354" s="519"/>
      <c r="VHX354" s="514"/>
      <c r="VHY354" s="519"/>
      <c r="VHZ354" s="514"/>
      <c r="VIA354" s="519"/>
      <c r="VIB354" s="514"/>
      <c r="VIC354" s="519"/>
      <c r="VID354" s="514"/>
      <c r="VIE354" s="519"/>
      <c r="VIF354" s="514"/>
      <c r="VIG354" s="519"/>
      <c r="VIH354" s="514"/>
      <c r="VII354" s="519"/>
      <c r="VIJ354" s="514"/>
      <c r="VIK354" s="519"/>
      <c r="VIL354" s="514"/>
      <c r="VIM354" s="519"/>
      <c r="VIN354" s="514"/>
      <c r="VIO354" s="519"/>
      <c r="VIP354" s="514"/>
      <c r="VIQ354" s="519"/>
      <c r="VIR354" s="514"/>
      <c r="VIS354" s="519"/>
      <c r="VIT354" s="514"/>
      <c r="VIU354" s="519"/>
      <c r="VIV354" s="514"/>
      <c r="VIW354" s="519"/>
      <c r="VIX354" s="514"/>
      <c r="VIY354" s="519"/>
      <c r="VIZ354" s="514"/>
      <c r="VJA354" s="519"/>
      <c r="VJB354" s="514"/>
      <c r="VJC354" s="519"/>
      <c r="VJD354" s="514"/>
      <c r="VJE354" s="519"/>
      <c r="VJF354" s="514"/>
      <c r="VJG354" s="519"/>
      <c r="VJH354" s="514"/>
      <c r="VJI354" s="519"/>
      <c r="VJJ354" s="514"/>
      <c r="VJK354" s="519"/>
      <c r="VJL354" s="514"/>
      <c r="VJM354" s="519"/>
      <c r="VJN354" s="514"/>
      <c r="VJO354" s="519"/>
      <c r="VJP354" s="514"/>
      <c r="VJQ354" s="519"/>
      <c r="VJR354" s="514"/>
      <c r="VJS354" s="519"/>
      <c r="VJT354" s="514"/>
      <c r="VJU354" s="519"/>
      <c r="VJV354" s="514"/>
      <c r="VJW354" s="519"/>
      <c r="VJX354" s="514"/>
      <c r="VJY354" s="519"/>
      <c r="VJZ354" s="514"/>
      <c r="VKA354" s="519"/>
      <c r="VKB354" s="514"/>
      <c r="VKC354" s="519"/>
      <c r="VKD354" s="514"/>
      <c r="VKE354" s="519"/>
      <c r="VKF354" s="514"/>
      <c r="VKG354" s="519"/>
      <c r="VKH354" s="514"/>
      <c r="VKI354" s="519"/>
      <c r="VKJ354" s="514"/>
      <c r="VKK354" s="519"/>
      <c r="VKL354" s="514"/>
      <c r="VKM354" s="519"/>
      <c r="VKN354" s="514"/>
      <c r="VKO354" s="519"/>
      <c r="VKP354" s="514"/>
      <c r="VKQ354" s="519"/>
      <c r="VKR354" s="514"/>
      <c r="VKS354" s="519"/>
      <c r="VKT354" s="514"/>
      <c r="VKU354" s="519"/>
      <c r="VKV354" s="514"/>
      <c r="VKW354" s="519"/>
      <c r="VKX354" s="514"/>
      <c r="VKY354" s="519"/>
      <c r="VKZ354" s="514"/>
      <c r="VLA354" s="519"/>
      <c r="VLB354" s="514"/>
      <c r="VLC354" s="519"/>
      <c r="VLD354" s="514"/>
      <c r="VLE354" s="519"/>
      <c r="VLF354" s="514"/>
      <c r="VLG354" s="519"/>
      <c r="VLH354" s="514"/>
      <c r="VLI354" s="519"/>
      <c r="VLJ354" s="514"/>
      <c r="VLK354" s="519"/>
      <c r="VLL354" s="514"/>
      <c r="VLM354" s="519"/>
      <c r="VLN354" s="514"/>
      <c r="VLO354" s="519"/>
      <c r="VLP354" s="514"/>
      <c r="VLQ354" s="519"/>
      <c r="VLR354" s="514"/>
      <c r="VLS354" s="519"/>
      <c r="VLT354" s="514"/>
      <c r="VLU354" s="519"/>
      <c r="VLV354" s="514"/>
      <c r="VLW354" s="519"/>
      <c r="VLX354" s="514"/>
      <c r="VLY354" s="519"/>
      <c r="VLZ354" s="514"/>
      <c r="VMA354" s="519"/>
      <c r="VMB354" s="514"/>
      <c r="VMC354" s="519"/>
      <c r="VMD354" s="514"/>
      <c r="VME354" s="519"/>
      <c r="VMF354" s="514"/>
      <c r="VMG354" s="519"/>
      <c r="VMH354" s="514"/>
      <c r="VMI354" s="519"/>
      <c r="VMJ354" s="514"/>
      <c r="VMK354" s="519"/>
      <c r="VML354" s="514"/>
      <c r="VMM354" s="519"/>
      <c r="VMN354" s="514"/>
      <c r="VMO354" s="519"/>
      <c r="VMP354" s="514"/>
      <c r="VMQ354" s="519"/>
      <c r="VMR354" s="514"/>
      <c r="VMS354" s="519"/>
      <c r="VMT354" s="514"/>
      <c r="VMU354" s="519"/>
      <c r="VMV354" s="514"/>
      <c r="VMW354" s="519"/>
      <c r="VMX354" s="514"/>
      <c r="VMY354" s="519"/>
      <c r="VMZ354" s="514"/>
      <c r="VNA354" s="519"/>
      <c r="VNB354" s="514"/>
      <c r="VNC354" s="519"/>
      <c r="VND354" s="514"/>
      <c r="VNE354" s="519"/>
      <c r="VNF354" s="514"/>
      <c r="VNG354" s="519"/>
      <c r="VNH354" s="514"/>
      <c r="VNI354" s="519"/>
      <c r="VNJ354" s="514"/>
      <c r="VNK354" s="519"/>
      <c r="VNL354" s="514"/>
      <c r="VNM354" s="519"/>
      <c r="VNN354" s="514"/>
      <c r="VNO354" s="519"/>
      <c r="VNP354" s="514"/>
      <c r="VNQ354" s="519"/>
      <c r="VNR354" s="514"/>
      <c r="VNS354" s="519"/>
      <c r="VNT354" s="514"/>
      <c r="VNU354" s="519"/>
      <c r="VNV354" s="514"/>
      <c r="VNW354" s="519"/>
      <c r="VNX354" s="514"/>
      <c r="VNY354" s="519"/>
      <c r="VNZ354" s="514"/>
      <c r="VOA354" s="519"/>
      <c r="VOB354" s="514"/>
      <c r="VOC354" s="519"/>
      <c r="VOD354" s="514"/>
      <c r="VOE354" s="519"/>
      <c r="VOF354" s="514"/>
      <c r="VOG354" s="519"/>
      <c r="VOH354" s="514"/>
      <c r="VOI354" s="519"/>
      <c r="VOJ354" s="514"/>
      <c r="VOK354" s="519"/>
      <c r="VOL354" s="514"/>
      <c r="VOM354" s="519"/>
      <c r="VON354" s="514"/>
      <c r="VOO354" s="519"/>
      <c r="VOP354" s="514"/>
      <c r="VOQ354" s="519"/>
      <c r="VOR354" s="514"/>
      <c r="VOS354" s="519"/>
      <c r="VOT354" s="514"/>
      <c r="VOU354" s="519"/>
      <c r="VOV354" s="514"/>
      <c r="VOW354" s="519"/>
      <c r="VOX354" s="514"/>
      <c r="VOY354" s="519"/>
      <c r="VOZ354" s="514"/>
      <c r="VPA354" s="519"/>
      <c r="VPB354" s="514"/>
      <c r="VPC354" s="519"/>
      <c r="VPD354" s="514"/>
      <c r="VPE354" s="519"/>
      <c r="VPF354" s="514"/>
      <c r="VPG354" s="519"/>
      <c r="VPH354" s="514"/>
      <c r="VPI354" s="519"/>
      <c r="VPJ354" s="514"/>
      <c r="VPK354" s="519"/>
      <c r="VPL354" s="514"/>
      <c r="VPM354" s="519"/>
      <c r="VPN354" s="514"/>
      <c r="VPO354" s="519"/>
      <c r="VPP354" s="514"/>
      <c r="VPQ354" s="519"/>
      <c r="VPR354" s="514"/>
      <c r="VPS354" s="519"/>
      <c r="VPT354" s="514"/>
      <c r="VPU354" s="519"/>
      <c r="VPV354" s="514"/>
      <c r="VPW354" s="519"/>
      <c r="VPX354" s="514"/>
      <c r="VPY354" s="519"/>
      <c r="VPZ354" s="514"/>
      <c r="VQA354" s="519"/>
      <c r="VQB354" s="514"/>
      <c r="VQC354" s="519"/>
      <c r="VQD354" s="514"/>
      <c r="VQE354" s="519"/>
      <c r="VQF354" s="514"/>
      <c r="VQG354" s="519"/>
      <c r="VQH354" s="514"/>
      <c r="VQI354" s="519"/>
      <c r="VQJ354" s="514"/>
      <c r="VQK354" s="519"/>
      <c r="VQL354" s="514"/>
      <c r="VQM354" s="519"/>
      <c r="VQN354" s="514"/>
      <c r="VQO354" s="519"/>
      <c r="VQP354" s="514"/>
      <c r="VQQ354" s="519"/>
      <c r="VQR354" s="514"/>
      <c r="VQS354" s="519"/>
      <c r="VQT354" s="514"/>
      <c r="VQU354" s="519"/>
      <c r="VQV354" s="514"/>
      <c r="VQW354" s="519"/>
      <c r="VQX354" s="514"/>
      <c r="VQY354" s="519"/>
      <c r="VQZ354" s="514"/>
      <c r="VRA354" s="519"/>
      <c r="VRB354" s="514"/>
      <c r="VRC354" s="519"/>
      <c r="VRD354" s="514"/>
      <c r="VRE354" s="519"/>
      <c r="VRF354" s="514"/>
      <c r="VRG354" s="519"/>
      <c r="VRH354" s="514"/>
      <c r="VRI354" s="519"/>
      <c r="VRJ354" s="514"/>
      <c r="VRK354" s="519"/>
      <c r="VRL354" s="514"/>
      <c r="VRM354" s="519"/>
      <c r="VRN354" s="514"/>
      <c r="VRO354" s="519"/>
      <c r="VRP354" s="514"/>
      <c r="VRQ354" s="519"/>
      <c r="VRR354" s="514"/>
      <c r="VRS354" s="519"/>
      <c r="VRT354" s="514"/>
      <c r="VRU354" s="519"/>
      <c r="VRV354" s="514"/>
      <c r="VRW354" s="519"/>
      <c r="VRX354" s="514"/>
      <c r="VRY354" s="519"/>
      <c r="VRZ354" s="514"/>
      <c r="VSA354" s="519"/>
      <c r="VSB354" s="514"/>
      <c r="VSC354" s="519"/>
      <c r="VSD354" s="514"/>
      <c r="VSE354" s="519"/>
      <c r="VSF354" s="514"/>
      <c r="VSG354" s="519"/>
      <c r="VSH354" s="514"/>
      <c r="VSI354" s="519"/>
      <c r="VSJ354" s="514"/>
      <c r="VSK354" s="519"/>
      <c r="VSL354" s="514"/>
      <c r="VSM354" s="519"/>
      <c r="VSN354" s="514"/>
      <c r="VSO354" s="519"/>
      <c r="VSP354" s="514"/>
      <c r="VSQ354" s="519"/>
      <c r="VSR354" s="514"/>
      <c r="VSS354" s="519"/>
      <c r="VST354" s="514"/>
      <c r="VSU354" s="519"/>
      <c r="VSV354" s="514"/>
      <c r="VSW354" s="519"/>
      <c r="VSX354" s="514"/>
      <c r="VSY354" s="519"/>
      <c r="VSZ354" s="514"/>
      <c r="VTA354" s="519"/>
      <c r="VTB354" s="514"/>
      <c r="VTC354" s="519"/>
      <c r="VTD354" s="514"/>
      <c r="VTE354" s="519"/>
      <c r="VTF354" s="514"/>
      <c r="VTG354" s="519"/>
      <c r="VTH354" s="514"/>
      <c r="VTI354" s="519"/>
      <c r="VTJ354" s="514"/>
      <c r="VTK354" s="519"/>
      <c r="VTL354" s="514"/>
      <c r="VTM354" s="519"/>
      <c r="VTN354" s="514"/>
      <c r="VTO354" s="519"/>
      <c r="VTP354" s="514"/>
      <c r="VTQ354" s="519"/>
      <c r="VTR354" s="514"/>
      <c r="VTS354" s="519"/>
      <c r="VTT354" s="514"/>
      <c r="VTU354" s="519"/>
      <c r="VTV354" s="514"/>
      <c r="VTW354" s="519"/>
      <c r="VTX354" s="514"/>
      <c r="VTY354" s="519"/>
      <c r="VTZ354" s="514"/>
      <c r="VUA354" s="519"/>
      <c r="VUB354" s="514"/>
      <c r="VUC354" s="519"/>
      <c r="VUD354" s="514"/>
      <c r="VUE354" s="519"/>
      <c r="VUF354" s="514"/>
      <c r="VUG354" s="519"/>
      <c r="VUH354" s="514"/>
      <c r="VUI354" s="519"/>
      <c r="VUJ354" s="514"/>
      <c r="VUK354" s="519"/>
      <c r="VUL354" s="514"/>
      <c r="VUM354" s="519"/>
      <c r="VUN354" s="514"/>
      <c r="VUO354" s="519"/>
      <c r="VUP354" s="514"/>
      <c r="VUQ354" s="519"/>
      <c r="VUR354" s="514"/>
      <c r="VUS354" s="519"/>
      <c r="VUT354" s="514"/>
      <c r="VUU354" s="519"/>
      <c r="VUV354" s="514"/>
      <c r="VUW354" s="519"/>
      <c r="VUX354" s="514"/>
      <c r="VUY354" s="519"/>
      <c r="VUZ354" s="514"/>
      <c r="VVA354" s="519"/>
      <c r="VVB354" s="514"/>
      <c r="VVC354" s="519"/>
      <c r="VVD354" s="514"/>
      <c r="VVE354" s="519"/>
      <c r="VVF354" s="514"/>
      <c r="VVG354" s="519"/>
      <c r="VVH354" s="514"/>
      <c r="VVI354" s="519"/>
      <c r="VVJ354" s="514"/>
      <c r="VVK354" s="519"/>
      <c r="VVL354" s="514"/>
      <c r="VVM354" s="519"/>
      <c r="VVN354" s="514"/>
      <c r="VVO354" s="519"/>
      <c r="VVP354" s="514"/>
      <c r="VVQ354" s="519"/>
      <c r="VVR354" s="514"/>
      <c r="VVS354" s="519"/>
      <c r="VVT354" s="514"/>
      <c r="VVU354" s="519"/>
      <c r="VVV354" s="514"/>
      <c r="VVW354" s="519"/>
      <c r="VVX354" s="514"/>
      <c r="VVY354" s="519"/>
      <c r="VVZ354" s="514"/>
      <c r="VWA354" s="519"/>
      <c r="VWB354" s="514"/>
      <c r="VWC354" s="519"/>
      <c r="VWD354" s="514"/>
      <c r="VWE354" s="519"/>
      <c r="VWF354" s="514"/>
      <c r="VWG354" s="519"/>
      <c r="VWH354" s="514"/>
      <c r="VWI354" s="519"/>
      <c r="VWJ354" s="514"/>
      <c r="VWK354" s="519"/>
      <c r="VWL354" s="514"/>
      <c r="VWM354" s="519"/>
      <c r="VWN354" s="514"/>
      <c r="VWO354" s="519"/>
      <c r="VWP354" s="514"/>
      <c r="VWQ354" s="519"/>
      <c r="VWR354" s="514"/>
      <c r="VWS354" s="519"/>
      <c r="VWT354" s="514"/>
      <c r="VWU354" s="519"/>
      <c r="VWV354" s="514"/>
      <c r="VWW354" s="519"/>
      <c r="VWX354" s="514"/>
      <c r="VWY354" s="519"/>
      <c r="VWZ354" s="514"/>
      <c r="VXA354" s="519"/>
      <c r="VXB354" s="514"/>
      <c r="VXC354" s="519"/>
      <c r="VXD354" s="514"/>
      <c r="VXE354" s="519"/>
      <c r="VXF354" s="514"/>
      <c r="VXG354" s="519"/>
      <c r="VXH354" s="514"/>
      <c r="VXI354" s="519"/>
      <c r="VXJ354" s="514"/>
      <c r="VXK354" s="519"/>
      <c r="VXL354" s="514"/>
      <c r="VXM354" s="519"/>
      <c r="VXN354" s="514"/>
      <c r="VXO354" s="519"/>
      <c r="VXP354" s="514"/>
      <c r="VXQ354" s="519"/>
      <c r="VXR354" s="514"/>
      <c r="VXS354" s="519"/>
      <c r="VXT354" s="514"/>
      <c r="VXU354" s="519"/>
      <c r="VXV354" s="514"/>
      <c r="VXW354" s="519"/>
      <c r="VXX354" s="514"/>
      <c r="VXY354" s="519"/>
      <c r="VXZ354" s="514"/>
      <c r="VYA354" s="519"/>
      <c r="VYB354" s="514"/>
      <c r="VYC354" s="519"/>
      <c r="VYD354" s="514"/>
      <c r="VYE354" s="519"/>
      <c r="VYF354" s="514"/>
      <c r="VYG354" s="519"/>
      <c r="VYH354" s="514"/>
      <c r="VYI354" s="519"/>
      <c r="VYJ354" s="514"/>
      <c r="VYK354" s="519"/>
      <c r="VYL354" s="514"/>
      <c r="VYM354" s="519"/>
      <c r="VYN354" s="514"/>
      <c r="VYO354" s="519"/>
      <c r="VYP354" s="514"/>
      <c r="VYQ354" s="519"/>
      <c r="VYR354" s="514"/>
      <c r="VYS354" s="519"/>
      <c r="VYT354" s="514"/>
      <c r="VYU354" s="519"/>
      <c r="VYV354" s="514"/>
      <c r="VYW354" s="519"/>
      <c r="VYX354" s="514"/>
      <c r="VYY354" s="519"/>
      <c r="VYZ354" s="514"/>
      <c r="VZA354" s="519"/>
      <c r="VZB354" s="514"/>
      <c r="VZC354" s="519"/>
      <c r="VZD354" s="514"/>
      <c r="VZE354" s="519"/>
      <c r="VZF354" s="514"/>
      <c r="VZG354" s="519"/>
      <c r="VZH354" s="514"/>
      <c r="VZI354" s="519"/>
      <c r="VZJ354" s="514"/>
      <c r="VZK354" s="519"/>
      <c r="VZL354" s="514"/>
      <c r="VZM354" s="519"/>
      <c r="VZN354" s="514"/>
      <c r="VZO354" s="519"/>
      <c r="VZP354" s="514"/>
      <c r="VZQ354" s="519"/>
      <c r="VZR354" s="514"/>
      <c r="VZS354" s="519"/>
      <c r="VZT354" s="514"/>
      <c r="VZU354" s="519"/>
      <c r="VZV354" s="514"/>
      <c r="VZW354" s="519"/>
      <c r="VZX354" s="514"/>
      <c r="VZY354" s="519"/>
      <c r="VZZ354" s="514"/>
      <c r="WAA354" s="519"/>
      <c r="WAB354" s="514"/>
      <c r="WAC354" s="519"/>
      <c r="WAD354" s="514"/>
      <c r="WAE354" s="519"/>
      <c r="WAF354" s="514"/>
      <c r="WAG354" s="519"/>
      <c r="WAH354" s="514"/>
      <c r="WAI354" s="519"/>
      <c r="WAJ354" s="514"/>
      <c r="WAK354" s="519"/>
      <c r="WAL354" s="514"/>
      <c r="WAM354" s="519"/>
      <c r="WAN354" s="514"/>
      <c r="WAO354" s="519"/>
      <c r="WAP354" s="514"/>
      <c r="WAQ354" s="519"/>
      <c r="WAR354" s="514"/>
      <c r="WAS354" s="519"/>
      <c r="WAT354" s="514"/>
      <c r="WAU354" s="519"/>
      <c r="WAV354" s="514"/>
      <c r="WAW354" s="519"/>
      <c r="WAX354" s="514"/>
      <c r="WAY354" s="519"/>
      <c r="WAZ354" s="514"/>
      <c r="WBA354" s="519"/>
      <c r="WBB354" s="514"/>
      <c r="WBC354" s="519"/>
      <c r="WBD354" s="514"/>
      <c r="WBE354" s="519"/>
      <c r="WBF354" s="514"/>
      <c r="WBG354" s="519"/>
      <c r="WBH354" s="514"/>
      <c r="WBI354" s="519"/>
      <c r="WBJ354" s="514"/>
      <c r="WBK354" s="519"/>
      <c r="WBL354" s="514"/>
      <c r="WBM354" s="519"/>
      <c r="WBN354" s="514"/>
      <c r="WBO354" s="519"/>
      <c r="WBP354" s="514"/>
      <c r="WBQ354" s="519"/>
      <c r="WBR354" s="514"/>
      <c r="WBS354" s="519"/>
      <c r="WBT354" s="514"/>
      <c r="WBU354" s="519"/>
      <c r="WBV354" s="514"/>
      <c r="WBW354" s="519"/>
      <c r="WBX354" s="514"/>
      <c r="WBY354" s="519"/>
      <c r="WBZ354" s="514"/>
      <c r="WCA354" s="519"/>
      <c r="WCB354" s="514"/>
      <c r="WCC354" s="519"/>
      <c r="WCD354" s="514"/>
      <c r="WCE354" s="519"/>
      <c r="WCF354" s="514"/>
      <c r="WCG354" s="519"/>
      <c r="WCH354" s="514"/>
      <c r="WCI354" s="519"/>
      <c r="WCJ354" s="514"/>
      <c r="WCK354" s="519"/>
      <c r="WCL354" s="514"/>
      <c r="WCM354" s="519"/>
      <c r="WCN354" s="514"/>
      <c r="WCO354" s="519"/>
      <c r="WCP354" s="514"/>
      <c r="WCQ354" s="519"/>
      <c r="WCR354" s="514"/>
      <c r="WCS354" s="519"/>
      <c r="WCT354" s="514"/>
      <c r="WCU354" s="519"/>
      <c r="WCV354" s="514"/>
      <c r="WCW354" s="519"/>
      <c r="WCX354" s="514"/>
      <c r="WCY354" s="519"/>
      <c r="WCZ354" s="514"/>
      <c r="WDA354" s="519"/>
      <c r="WDB354" s="514"/>
      <c r="WDC354" s="519"/>
      <c r="WDD354" s="514"/>
      <c r="WDE354" s="519"/>
      <c r="WDF354" s="514"/>
      <c r="WDG354" s="519"/>
      <c r="WDH354" s="514"/>
      <c r="WDI354" s="519"/>
      <c r="WDJ354" s="514"/>
      <c r="WDK354" s="519"/>
      <c r="WDL354" s="514"/>
      <c r="WDM354" s="519"/>
      <c r="WDN354" s="514"/>
      <c r="WDO354" s="519"/>
      <c r="WDP354" s="514"/>
      <c r="WDQ354" s="519"/>
      <c r="WDR354" s="514"/>
      <c r="WDS354" s="519"/>
      <c r="WDT354" s="514"/>
      <c r="WDU354" s="519"/>
      <c r="WDV354" s="514"/>
      <c r="WDW354" s="519"/>
      <c r="WDX354" s="514"/>
      <c r="WDY354" s="519"/>
      <c r="WDZ354" s="514"/>
      <c r="WEA354" s="519"/>
      <c r="WEB354" s="514"/>
      <c r="WEC354" s="519"/>
      <c r="WED354" s="514"/>
      <c r="WEE354" s="519"/>
      <c r="WEF354" s="514"/>
      <c r="WEG354" s="519"/>
      <c r="WEH354" s="514"/>
      <c r="WEI354" s="519"/>
      <c r="WEJ354" s="514"/>
      <c r="WEK354" s="519"/>
      <c r="WEL354" s="514"/>
      <c r="WEM354" s="519"/>
      <c r="WEN354" s="514"/>
      <c r="WEO354" s="519"/>
      <c r="WEP354" s="514"/>
      <c r="WEQ354" s="519"/>
      <c r="WER354" s="514"/>
      <c r="WES354" s="519"/>
      <c r="WET354" s="514"/>
      <c r="WEU354" s="519"/>
      <c r="WEV354" s="514"/>
      <c r="WEW354" s="519"/>
      <c r="WEX354" s="514"/>
      <c r="WEY354" s="519"/>
      <c r="WEZ354" s="514"/>
      <c r="WFA354" s="519"/>
      <c r="WFB354" s="514"/>
      <c r="WFC354" s="519"/>
      <c r="WFD354" s="514"/>
      <c r="WFE354" s="519"/>
      <c r="WFF354" s="514"/>
      <c r="WFG354" s="519"/>
      <c r="WFH354" s="514"/>
      <c r="WFI354" s="519"/>
      <c r="WFJ354" s="514"/>
      <c r="WFK354" s="519"/>
      <c r="WFL354" s="514"/>
      <c r="WFM354" s="519"/>
      <c r="WFN354" s="514"/>
      <c r="WFO354" s="519"/>
      <c r="WFP354" s="514"/>
      <c r="WFQ354" s="519"/>
      <c r="WFR354" s="514"/>
      <c r="WFS354" s="519"/>
      <c r="WFT354" s="514"/>
      <c r="WFU354" s="519"/>
      <c r="WFV354" s="514"/>
      <c r="WFW354" s="519"/>
      <c r="WFX354" s="514"/>
      <c r="WFY354" s="519"/>
      <c r="WFZ354" s="514"/>
      <c r="WGA354" s="519"/>
      <c r="WGB354" s="514"/>
      <c r="WGC354" s="519"/>
      <c r="WGD354" s="514"/>
      <c r="WGE354" s="519"/>
      <c r="WGF354" s="514"/>
      <c r="WGG354" s="519"/>
      <c r="WGH354" s="514"/>
      <c r="WGI354" s="519"/>
      <c r="WGJ354" s="514"/>
      <c r="WGK354" s="519"/>
      <c r="WGL354" s="514"/>
      <c r="WGM354" s="519"/>
      <c r="WGN354" s="514"/>
      <c r="WGO354" s="519"/>
      <c r="WGP354" s="514"/>
      <c r="WGQ354" s="519"/>
      <c r="WGR354" s="514"/>
      <c r="WGS354" s="519"/>
      <c r="WGT354" s="514"/>
      <c r="WGU354" s="519"/>
      <c r="WGV354" s="514"/>
      <c r="WGW354" s="519"/>
      <c r="WGX354" s="514"/>
      <c r="WGY354" s="519"/>
      <c r="WGZ354" s="514"/>
      <c r="WHA354" s="519"/>
      <c r="WHB354" s="514"/>
      <c r="WHC354" s="519"/>
      <c r="WHD354" s="514"/>
      <c r="WHE354" s="519"/>
      <c r="WHF354" s="514"/>
      <c r="WHG354" s="519"/>
      <c r="WHH354" s="514"/>
      <c r="WHI354" s="519"/>
      <c r="WHJ354" s="514"/>
      <c r="WHK354" s="519"/>
      <c r="WHL354" s="514"/>
      <c r="WHM354" s="519"/>
      <c r="WHN354" s="514"/>
      <c r="WHO354" s="519"/>
      <c r="WHP354" s="514"/>
      <c r="WHQ354" s="519"/>
      <c r="WHR354" s="514"/>
      <c r="WHS354" s="519"/>
      <c r="WHT354" s="514"/>
      <c r="WHU354" s="519"/>
      <c r="WHV354" s="514"/>
      <c r="WHW354" s="519"/>
      <c r="WHX354" s="514"/>
      <c r="WHY354" s="519"/>
      <c r="WHZ354" s="514"/>
      <c r="WIA354" s="519"/>
      <c r="WIB354" s="514"/>
      <c r="WIC354" s="519"/>
      <c r="WID354" s="514"/>
      <c r="WIE354" s="519"/>
      <c r="WIF354" s="514"/>
      <c r="WIG354" s="519"/>
      <c r="WIH354" s="514"/>
      <c r="WII354" s="519"/>
      <c r="WIJ354" s="514"/>
      <c r="WIK354" s="519"/>
      <c r="WIL354" s="514"/>
      <c r="WIM354" s="519"/>
      <c r="WIN354" s="514"/>
      <c r="WIO354" s="519"/>
      <c r="WIP354" s="514"/>
      <c r="WIQ354" s="519"/>
      <c r="WIR354" s="514"/>
      <c r="WIS354" s="519"/>
      <c r="WIT354" s="514"/>
      <c r="WIU354" s="519"/>
      <c r="WIV354" s="514"/>
      <c r="WIW354" s="519"/>
      <c r="WIX354" s="514"/>
      <c r="WIY354" s="519"/>
      <c r="WIZ354" s="514"/>
      <c r="WJA354" s="519"/>
      <c r="WJB354" s="514"/>
      <c r="WJC354" s="519"/>
      <c r="WJD354" s="514"/>
      <c r="WJE354" s="519"/>
      <c r="WJF354" s="514"/>
      <c r="WJG354" s="519"/>
      <c r="WJH354" s="514"/>
      <c r="WJI354" s="519"/>
      <c r="WJJ354" s="514"/>
      <c r="WJK354" s="519"/>
      <c r="WJL354" s="514"/>
      <c r="WJM354" s="519"/>
      <c r="WJN354" s="514"/>
      <c r="WJO354" s="519"/>
      <c r="WJP354" s="514"/>
      <c r="WJQ354" s="519"/>
      <c r="WJR354" s="514"/>
      <c r="WJS354" s="519"/>
      <c r="WJT354" s="514"/>
      <c r="WJU354" s="519"/>
      <c r="WJV354" s="514"/>
      <c r="WJW354" s="519"/>
      <c r="WJX354" s="514"/>
      <c r="WJY354" s="519"/>
      <c r="WJZ354" s="514"/>
      <c r="WKA354" s="519"/>
      <c r="WKB354" s="514"/>
      <c r="WKC354" s="519"/>
      <c r="WKD354" s="514"/>
      <c r="WKE354" s="519"/>
      <c r="WKF354" s="514"/>
      <c r="WKG354" s="519"/>
      <c r="WKH354" s="514"/>
      <c r="WKI354" s="519"/>
      <c r="WKJ354" s="514"/>
      <c r="WKK354" s="519"/>
      <c r="WKL354" s="514"/>
      <c r="WKM354" s="519"/>
      <c r="WKN354" s="514"/>
      <c r="WKO354" s="519"/>
      <c r="WKP354" s="514"/>
      <c r="WKQ354" s="519"/>
      <c r="WKR354" s="514"/>
      <c r="WKS354" s="519"/>
      <c r="WKT354" s="514"/>
      <c r="WKU354" s="519"/>
      <c r="WKV354" s="514"/>
      <c r="WKW354" s="519"/>
      <c r="WKX354" s="514"/>
      <c r="WKY354" s="519"/>
      <c r="WKZ354" s="514"/>
      <c r="WLA354" s="519"/>
      <c r="WLB354" s="514"/>
      <c r="WLC354" s="519"/>
      <c r="WLD354" s="514"/>
      <c r="WLE354" s="519"/>
      <c r="WLF354" s="514"/>
      <c r="WLG354" s="519"/>
      <c r="WLH354" s="514"/>
      <c r="WLI354" s="519"/>
      <c r="WLJ354" s="514"/>
      <c r="WLK354" s="519"/>
      <c r="WLL354" s="514"/>
      <c r="WLM354" s="519"/>
      <c r="WLN354" s="514"/>
      <c r="WLO354" s="519"/>
      <c r="WLP354" s="514"/>
      <c r="WLQ354" s="519"/>
      <c r="WLR354" s="514"/>
      <c r="WLS354" s="519"/>
      <c r="WLT354" s="514"/>
      <c r="WLU354" s="519"/>
      <c r="WLV354" s="514"/>
      <c r="WLW354" s="519"/>
      <c r="WLX354" s="514"/>
      <c r="WLY354" s="519"/>
      <c r="WLZ354" s="514"/>
      <c r="WMA354" s="519"/>
      <c r="WMB354" s="514"/>
      <c r="WMC354" s="519"/>
      <c r="WMD354" s="514"/>
      <c r="WME354" s="519"/>
      <c r="WMF354" s="514"/>
      <c r="WMG354" s="519"/>
      <c r="WMH354" s="514"/>
      <c r="WMI354" s="519"/>
      <c r="WMJ354" s="514"/>
      <c r="WMK354" s="519"/>
      <c r="WML354" s="514"/>
      <c r="WMM354" s="519"/>
      <c r="WMN354" s="514"/>
      <c r="WMO354" s="519"/>
      <c r="WMP354" s="514"/>
      <c r="WMQ354" s="519"/>
      <c r="WMR354" s="514"/>
      <c r="WMS354" s="519"/>
      <c r="WMT354" s="514"/>
      <c r="WMU354" s="519"/>
      <c r="WMV354" s="514"/>
      <c r="WMW354" s="519"/>
      <c r="WMX354" s="514"/>
      <c r="WMY354" s="519"/>
      <c r="WMZ354" s="514"/>
      <c r="WNA354" s="519"/>
      <c r="WNB354" s="514"/>
      <c r="WNC354" s="519"/>
      <c r="WND354" s="514"/>
      <c r="WNE354" s="519"/>
      <c r="WNF354" s="514"/>
      <c r="WNG354" s="519"/>
      <c r="WNH354" s="514"/>
      <c r="WNI354" s="519"/>
      <c r="WNJ354" s="514"/>
      <c r="WNK354" s="519"/>
      <c r="WNL354" s="514"/>
      <c r="WNM354" s="519"/>
      <c r="WNN354" s="514"/>
      <c r="WNO354" s="519"/>
      <c r="WNP354" s="514"/>
      <c r="WNQ354" s="519"/>
      <c r="WNR354" s="514"/>
      <c r="WNS354" s="519"/>
      <c r="WNT354" s="514"/>
      <c r="WNU354" s="519"/>
      <c r="WNV354" s="514"/>
      <c r="WNW354" s="519"/>
      <c r="WNX354" s="514"/>
      <c r="WNY354" s="519"/>
      <c r="WNZ354" s="514"/>
      <c r="WOA354" s="519"/>
      <c r="WOB354" s="514"/>
      <c r="WOC354" s="519"/>
      <c r="WOD354" s="514"/>
      <c r="WOE354" s="519"/>
      <c r="WOF354" s="514"/>
      <c r="WOG354" s="519"/>
      <c r="WOH354" s="514"/>
      <c r="WOI354" s="519"/>
      <c r="WOJ354" s="514"/>
      <c r="WOK354" s="519"/>
      <c r="WOL354" s="514"/>
      <c r="WOM354" s="519"/>
      <c r="WON354" s="514"/>
      <c r="WOO354" s="519"/>
      <c r="WOP354" s="514"/>
      <c r="WOQ354" s="519"/>
      <c r="WOR354" s="514"/>
      <c r="WOS354" s="519"/>
      <c r="WOT354" s="514"/>
      <c r="WOU354" s="519"/>
      <c r="WOV354" s="514"/>
      <c r="WOW354" s="519"/>
      <c r="WOX354" s="514"/>
      <c r="WOY354" s="519"/>
      <c r="WOZ354" s="514"/>
      <c r="WPA354" s="519"/>
      <c r="WPB354" s="514"/>
      <c r="WPC354" s="519"/>
      <c r="WPD354" s="514"/>
      <c r="WPE354" s="519"/>
      <c r="WPF354" s="514"/>
      <c r="WPG354" s="519"/>
      <c r="WPH354" s="514"/>
      <c r="WPI354" s="519"/>
      <c r="WPJ354" s="514"/>
      <c r="WPK354" s="519"/>
      <c r="WPL354" s="514"/>
      <c r="WPM354" s="519"/>
      <c r="WPN354" s="514"/>
      <c r="WPO354" s="519"/>
      <c r="WPP354" s="514"/>
      <c r="WPQ354" s="519"/>
      <c r="WPR354" s="514"/>
      <c r="WPS354" s="519"/>
      <c r="WPT354" s="514"/>
      <c r="WPU354" s="519"/>
      <c r="WPV354" s="514"/>
      <c r="WPW354" s="519"/>
      <c r="WPX354" s="514"/>
      <c r="WPY354" s="519"/>
      <c r="WPZ354" s="514"/>
      <c r="WQA354" s="519"/>
      <c r="WQB354" s="514"/>
      <c r="WQC354" s="519"/>
      <c r="WQD354" s="514"/>
      <c r="WQE354" s="519"/>
      <c r="WQF354" s="514"/>
      <c r="WQG354" s="519"/>
      <c r="WQH354" s="514"/>
      <c r="WQI354" s="519"/>
      <c r="WQJ354" s="514"/>
      <c r="WQK354" s="519"/>
      <c r="WQL354" s="514"/>
      <c r="WQM354" s="519"/>
      <c r="WQN354" s="514"/>
      <c r="WQO354" s="519"/>
      <c r="WQP354" s="514"/>
      <c r="WQQ354" s="519"/>
      <c r="WQR354" s="514"/>
      <c r="WQS354" s="519"/>
      <c r="WQT354" s="514"/>
      <c r="WQU354" s="519"/>
      <c r="WQV354" s="514"/>
      <c r="WQW354" s="519"/>
      <c r="WQX354" s="514"/>
      <c r="WQY354" s="519"/>
      <c r="WQZ354" s="514"/>
      <c r="WRA354" s="519"/>
      <c r="WRB354" s="514"/>
      <c r="WRC354" s="519"/>
      <c r="WRD354" s="514"/>
      <c r="WRE354" s="519"/>
      <c r="WRF354" s="514"/>
      <c r="WRG354" s="519"/>
      <c r="WRH354" s="514"/>
      <c r="WRI354" s="519"/>
      <c r="WRJ354" s="514"/>
      <c r="WRK354" s="519"/>
      <c r="WRL354" s="514"/>
      <c r="WRM354" s="519"/>
      <c r="WRN354" s="514"/>
      <c r="WRO354" s="519"/>
      <c r="WRP354" s="514"/>
      <c r="WRQ354" s="519"/>
      <c r="WRR354" s="514"/>
      <c r="WRS354" s="519"/>
      <c r="WRT354" s="514"/>
      <c r="WRU354" s="519"/>
      <c r="WRV354" s="514"/>
      <c r="WRW354" s="519"/>
      <c r="WRX354" s="514"/>
      <c r="WRY354" s="519"/>
      <c r="WRZ354" s="514"/>
      <c r="WSA354" s="519"/>
      <c r="WSB354" s="514"/>
      <c r="WSC354" s="519"/>
      <c r="WSD354" s="514"/>
      <c r="WSE354" s="519"/>
      <c r="WSF354" s="514"/>
      <c r="WSG354" s="519"/>
      <c r="WSH354" s="514"/>
      <c r="WSI354" s="519"/>
      <c r="WSJ354" s="514"/>
      <c r="WSK354" s="519"/>
      <c r="WSL354" s="514"/>
      <c r="WSM354" s="519"/>
      <c r="WSN354" s="514"/>
      <c r="WSO354" s="519"/>
      <c r="WSP354" s="514"/>
      <c r="WSQ354" s="519"/>
      <c r="WSR354" s="514"/>
      <c r="WSS354" s="519"/>
      <c r="WST354" s="514"/>
      <c r="WSU354" s="519"/>
      <c r="WSV354" s="514"/>
      <c r="WSW354" s="519"/>
      <c r="WSX354" s="514"/>
      <c r="WSY354" s="519"/>
      <c r="WSZ354" s="514"/>
      <c r="WTA354" s="519"/>
      <c r="WTB354" s="514"/>
      <c r="WTC354" s="519"/>
      <c r="WTD354" s="514"/>
      <c r="WTE354" s="519"/>
      <c r="WTF354" s="514"/>
      <c r="WTG354" s="519"/>
      <c r="WTH354" s="514"/>
      <c r="WTI354" s="519"/>
      <c r="WTJ354" s="514"/>
      <c r="WTK354" s="519"/>
      <c r="WTL354" s="514"/>
      <c r="WTM354" s="519"/>
      <c r="WTN354" s="514"/>
      <c r="WTO354" s="519"/>
      <c r="WTP354" s="514"/>
      <c r="WTQ354" s="519"/>
      <c r="WTR354" s="514"/>
      <c r="WTS354" s="519"/>
      <c r="WTT354" s="514"/>
      <c r="WTU354" s="519"/>
      <c r="WTV354" s="514"/>
      <c r="WTW354" s="519"/>
      <c r="WTX354" s="514"/>
      <c r="WTY354" s="519"/>
      <c r="WTZ354" s="514"/>
      <c r="WUA354" s="519"/>
      <c r="WUB354" s="514"/>
      <c r="WUC354" s="519"/>
      <c r="WUD354" s="514"/>
      <c r="WUE354" s="519"/>
      <c r="WUF354" s="514"/>
      <c r="WUG354" s="519"/>
      <c r="WUH354" s="514"/>
      <c r="WUI354" s="519"/>
      <c r="WUJ354" s="514"/>
      <c r="WUK354" s="519"/>
      <c r="WUL354" s="514"/>
      <c r="WUM354" s="519"/>
      <c r="WUN354" s="514"/>
      <c r="WUO354" s="519"/>
      <c r="WUP354" s="514"/>
      <c r="WUQ354" s="519"/>
      <c r="WUR354" s="514"/>
      <c r="WUS354" s="519"/>
      <c r="WUT354" s="514"/>
      <c r="WUU354" s="519"/>
      <c r="WUV354" s="514"/>
      <c r="WUW354" s="519"/>
      <c r="WUX354" s="514"/>
      <c r="WUY354" s="519"/>
      <c r="WUZ354" s="514"/>
      <c r="WVA354" s="519"/>
      <c r="WVB354" s="514"/>
      <c r="WVC354" s="519"/>
      <c r="WVD354" s="514"/>
      <c r="WVE354" s="519"/>
      <c r="WVF354" s="514"/>
      <c r="WVG354" s="519"/>
      <c r="WVH354" s="514"/>
      <c r="WVI354" s="519"/>
      <c r="WVJ354" s="514"/>
      <c r="WVK354" s="519"/>
      <c r="WVL354" s="514"/>
      <c r="WVM354" s="519"/>
      <c r="WVN354" s="514"/>
      <c r="WVO354" s="519"/>
      <c r="WVP354" s="514"/>
      <c r="WVQ354" s="519"/>
      <c r="WVR354" s="514"/>
      <c r="WVS354" s="519"/>
      <c r="WVT354" s="514"/>
      <c r="WVU354" s="519"/>
      <c r="WVV354" s="514"/>
      <c r="WVW354" s="519"/>
      <c r="WVX354" s="514"/>
      <c r="WVY354" s="519"/>
      <c r="WVZ354" s="514"/>
      <c r="WWA354" s="519"/>
      <c r="WWB354" s="514"/>
      <c r="WWC354" s="519"/>
      <c r="WWD354" s="514"/>
      <c r="WWE354" s="519"/>
      <c r="WWF354" s="514"/>
      <c r="WWG354" s="519"/>
      <c r="WWH354" s="514"/>
      <c r="WWI354" s="519"/>
      <c r="WWJ354" s="514"/>
      <c r="WWK354" s="519"/>
      <c r="WWL354" s="514"/>
      <c r="WWM354" s="519"/>
      <c r="WWN354" s="514"/>
      <c r="WWO354" s="519"/>
      <c r="WWP354" s="514"/>
      <c r="WWQ354" s="519"/>
      <c r="WWR354" s="514"/>
      <c r="WWS354" s="519"/>
      <c r="WWT354" s="514"/>
      <c r="WWU354" s="519"/>
      <c r="WWV354" s="514"/>
      <c r="WWW354" s="519"/>
      <c r="WWX354" s="514"/>
      <c r="WWY354" s="519"/>
      <c r="WWZ354" s="514"/>
      <c r="WXA354" s="519"/>
      <c r="WXB354" s="514"/>
      <c r="WXC354" s="519"/>
      <c r="WXD354" s="514"/>
      <c r="WXE354" s="519"/>
      <c r="WXF354" s="514"/>
      <c r="WXG354" s="519"/>
      <c r="WXH354" s="514"/>
      <c r="WXI354" s="519"/>
      <c r="WXJ354" s="514"/>
      <c r="WXK354" s="519"/>
      <c r="WXL354" s="514"/>
      <c r="WXM354" s="519"/>
      <c r="WXN354" s="514"/>
      <c r="WXO354" s="519"/>
      <c r="WXP354" s="514"/>
      <c r="WXQ354" s="519"/>
      <c r="WXR354" s="514"/>
      <c r="WXS354" s="519"/>
      <c r="WXT354" s="514"/>
      <c r="WXU354" s="519"/>
      <c r="WXV354" s="514"/>
      <c r="WXW354" s="519"/>
      <c r="WXX354" s="514"/>
      <c r="WXY354" s="519"/>
      <c r="WXZ354" s="514"/>
      <c r="WYA354" s="519"/>
      <c r="WYB354" s="514"/>
      <c r="WYC354" s="519"/>
      <c r="WYD354" s="514"/>
      <c r="WYE354" s="519"/>
      <c r="WYF354" s="514"/>
      <c r="WYG354" s="519"/>
      <c r="WYH354" s="514"/>
      <c r="WYI354" s="519"/>
      <c r="WYJ354" s="514"/>
      <c r="WYK354" s="519"/>
      <c r="WYL354" s="514"/>
      <c r="WYM354" s="519"/>
      <c r="WYN354" s="514"/>
      <c r="WYO354" s="519"/>
      <c r="WYP354" s="514"/>
      <c r="WYQ354" s="519"/>
      <c r="WYR354" s="514"/>
      <c r="WYS354" s="519"/>
      <c r="WYT354" s="514"/>
      <c r="WYU354" s="519"/>
      <c r="WYV354" s="514"/>
      <c r="WYW354" s="519"/>
      <c r="WYX354" s="514"/>
      <c r="WYY354" s="519"/>
      <c r="WYZ354" s="514"/>
      <c r="WZA354" s="519"/>
      <c r="WZB354" s="514"/>
      <c r="WZC354" s="519"/>
      <c r="WZD354" s="514"/>
      <c r="WZE354" s="519"/>
      <c r="WZF354" s="514"/>
      <c r="WZG354" s="519"/>
      <c r="WZH354" s="514"/>
      <c r="WZI354" s="519"/>
      <c r="WZJ354" s="514"/>
      <c r="WZK354" s="519"/>
      <c r="WZL354" s="514"/>
      <c r="WZM354" s="519"/>
      <c r="WZN354" s="514"/>
      <c r="WZO354" s="519"/>
      <c r="WZP354" s="514"/>
      <c r="WZQ354" s="519"/>
      <c r="WZR354" s="514"/>
      <c r="WZS354" s="519"/>
      <c r="WZT354" s="514"/>
      <c r="WZU354" s="519"/>
      <c r="WZV354" s="514"/>
      <c r="WZW354" s="519"/>
      <c r="WZX354" s="514"/>
      <c r="WZY354" s="519"/>
      <c r="WZZ354" s="514"/>
      <c r="XAA354" s="519"/>
      <c r="XAB354" s="514"/>
      <c r="XAC354" s="519"/>
      <c r="XAD354" s="514"/>
      <c r="XAE354" s="519"/>
      <c r="XAF354" s="514"/>
      <c r="XAG354" s="519"/>
      <c r="XAH354" s="514"/>
      <c r="XAI354" s="519"/>
      <c r="XAJ354" s="514"/>
      <c r="XAK354" s="519"/>
      <c r="XAL354" s="514"/>
      <c r="XAM354" s="519"/>
      <c r="XAN354" s="514"/>
      <c r="XAO354" s="519"/>
      <c r="XAP354" s="514"/>
      <c r="XAQ354" s="519"/>
      <c r="XAR354" s="514"/>
      <c r="XAS354" s="519"/>
      <c r="XAT354" s="514"/>
      <c r="XAU354" s="519"/>
      <c r="XAV354" s="514"/>
      <c r="XAW354" s="519"/>
      <c r="XAX354" s="514"/>
      <c r="XAY354" s="519"/>
      <c r="XAZ354" s="514"/>
      <c r="XBA354" s="519"/>
      <c r="XBB354" s="514"/>
      <c r="XBC354" s="519"/>
      <c r="XBD354" s="514"/>
      <c r="XBE354" s="519"/>
      <c r="XBF354" s="514"/>
      <c r="XBG354" s="519"/>
      <c r="XBH354" s="514"/>
      <c r="XBI354" s="519"/>
      <c r="XBJ354" s="514"/>
      <c r="XBK354" s="519"/>
      <c r="XBL354" s="514"/>
      <c r="XBM354" s="519"/>
      <c r="XBN354" s="514"/>
      <c r="XBO354" s="519"/>
      <c r="XBP354" s="514"/>
      <c r="XBQ354" s="519"/>
      <c r="XBR354" s="514"/>
      <c r="XBS354" s="519"/>
      <c r="XBT354" s="514"/>
      <c r="XBU354" s="519"/>
      <c r="XBV354" s="514"/>
      <c r="XBW354" s="519"/>
      <c r="XBX354" s="514"/>
      <c r="XBY354" s="519"/>
      <c r="XBZ354" s="514"/>
      <c r="XCA354" s="519"/>
      <c r="XCB354" s="514"/>
      <c r="XCC354" s="519"/>
      <c r="XCD354" s="514"/>
      <c r="XCE354" s="519"/>
      <c r="XCF354" s="514"/>
      <c r="XCG354" s="519"/>
      <c r="XCH354" s="514"/>
      <c r="XCI354" s="519"/>
      <c r="XCJ354" s="514"/>
      <c r="XCK354" s="519"/>
      <c r="XCL354" s="514"/>
      <c r="XCM354" s="519"/>
      <c r="XCN354" s="514"/>
      <c r="XCO354" s="519"/>
      <c r="XCP354" s="514"/>
      <c r="XCQ354" s="519"/>
      <c r="XCR354" s="514"/>
      <c r="XCS354" s="519"/>
      <c r="XCT354" s="514"/>
      <c r="XCU354" s="519"/>
      <c r="XCV354" s="514"/>
      <c r="XCW354" s="519"/>
      <c r="XCX354" s="514"/>
      <c r="XCY354" s="519"/>
      <c r="XCZ354" s="514"/>
      <c r="XDA354" s="519"/>
      <c r="XDB354" s="514"/>
      <c r="XDC354" s="519"/>
      <c r="XDD354" s="514"/>
      <c r="XDE354" s="519"/>
      <c r="XDF354" s="514"/>
      <c r="XDG354" s="519"/>
      <c r="XDH354" s="514"/>
      <c r="XDI354" s="519"/>
      <c r="XDJ354" s="514"/>
      <c r="XDK354" s="519"/>
      <c r="XDL354" s="514"/>
      <c r="XDM354" s="519"/>
      <c r="XDN354" s="514"/>
      <c r="XDO354" s="519"/>
      <c r="XDP354" s="514"/>
      <c r="XDQ354" s="519"/>
      <c r="XDR354" s="514"/>
      <c r="XDS354" s="519"/>
      <c r="XDT354" s="514"/>
      <c r="XDU354" s="519"/>
      <c r="XDV354" s="514"/>
      <c r="XDW354" s="519"/>
      <c r="XDX354" s="514"/>
      <c r="XDY354" s="519"/>
      <c r="XDZ354" s="514"/>
      <c r="XEA354" s="519"/>
      <c r="XEB354" s="514"/>
      <c r="XEC354" s="519"/>
      <c r="XED354" s="514"/>
      <c r="XEE354" s="519"/>
      <c r="XEF354" s="514"/>
      <c r="XEG354" s="519"/>
      <c r="XEH354" s="514"/>
      <c r="XEI354" s="519"/>
      <c r="XEJ354" s="514"/>
      <c r="XEK354" s="519"/>
      <c r="XEL354" s="514"/>
      <c r="XEM354" s="519"/>
      <c r="XEN354" s="514"/>
      <c r="XEO354" s="519"/>
      <c r="XEP354" s="514"/>
      <c r="XEQ354" s="519"/>
      <c r="XER354" s="514"/>
      <c r="XES354" s="519"/>
      <c r="XET354" s="514"/>
      <c r="XEU354" s="519"/>
      <c r="XEV354" s="514"/>
      <c r="XEW354" s="519"/>
      <c r="XEX354" s="514"/>
      <c r="XEY354" s="519"/>
      <c r="XEZ354" s="514"/>
      <c r="XFA354" s="519"/>
      <c r="XFB354" s="514"/>
      <c r="XFC354" s="519"/>
      <c r="XFD354" s="514"/>
    </row>
    <row r="355" spans="1:16384" ht="15.75">
      <c r="A355" s="373">
        <v>346000</v>
      </c>
      <c r="B355" s="364" t="s">
        <v>478</v>
      </c>
      <c r="F355" s="330">
        <f t="shared" si="17"/>
        <v>1177</v>
      </c>
      <c r="G355" s="330">
        <v>0</v>
      </c>
      <c r="H355" s="330">
        <v>1176869</v>
      </c>
      <c r="M355" s="514"/>
    </row>
    <row r="356" spans="1:16384" ht="15.75">
      <c r="A356" s="375"/>
      <c r="B356" s="364" t="s">
        <v>491</v>
      </c>
      <c r="F356" s="330">
        <f t="shared" si="17"/>
        <v>195979</v>
      </c>
      <c r="G356" s="330">
        <v>0</v>
      </c>
      <c r="H356" s="330">
        <v>195978979</v>
      </c>
      <c r="M356" s="514"/>
    </row>
    <row r="357" spans="1:16384" ht="15.75">
      <c r="A357" s="373"/>
      <c r="B357" s="364" t="s">
        <v>492</v>
      </c>
      <c r="F357" s="330">
        <f t="shared" si="17"/>
        <v>832833</v>
      </c>
      <c r="G357" s="330">
        <v>0</v>
      </c>
      <c r="H357" s="514">
        <v>832832557</v>
      </c>
      <c r="L357" s="514"/>
      <c r="M357" s="514"/>
      <c r="N357" s="514"/>
      <c r="O357" s="519"/>
      <c r="P357" s="514"/>
    </row>
    <row r="358" spans="1:16384" ht="15.75">
      <c r="A358" s="373"/>
      <c r="B358" s="364"/>
      <c r="F358" s="330">
        <f t="shared" si="17"/>
        <v>0</v>
      </c>
      <c r="G358" s="330">
        <v>0</v>
      </c>
      <c r="M358" s="514"/>
    </row>
    <row r="359" spans="1:16384" ht="15.75">
      <c r="A359" s="377"/>
      <c r="B359" s="364" t="s">
        <v>493</v>
      </c>
      <c r="F359" s="330">
        <f t="shared" si="17"/>
        <v>0</v>
      </c>
      <c r="G359" s="330">
        <v>0</v>
      </c>
      <c r="M359" s="514"/>
    </row>
    <row r="360" spans="1:16384" ht="15.75">
      <c r="A360" s="373" t="s">
        <v>494</v>
      </c>
      <c r="B360" s="364" t="s">
        <v>472</v>
      </c>
      <c r="F360" s="330">
        <f t="shared" si="17"/>
        <v>15054</v>
      </c>
      <c r="G360" s="330">
        <v>0</v>
      </c>
      <c r="H360" s="330">
        <v>15053979</v>
      </c>
      <c r="M360" s="514"/>
    </row>
    <row r="361" spans="1:16384" ht="15.75">
      <c r="A361" s="519" t="s">
        <v>705</v>
      </c>
      <c r="B361" s="514" t="s">
        <v>706</v>
      </c>
      <c r="C361" s="519"/>
      <c r="D361" s="514"/>
      <c r="E361" s="519"/>
      <c r="F361" s="330">
        <f t="shared" si="17"/>
        <v>0</v>
      </c>
      <c r="G361" s="330">
        <v>0</v>
      </c>
      <c r="H361" s="330">
        <v>0</v>
      </c>
      <c r="M361" s="514"/>
    </row>
    <row r="362" spans="1:16384" ht="15.75">
      <c r="A362" s="373" t="s">
        <v>495</v>
      </c>
      <c r="B362" s="364" t="s">
        <v>474</v>
      </c>
      <c r="F362" s="330">
        <f t="shared" si="17"/>
        <v>15376</v>
      </c>
      <c r="G362" s="330">
        <v>0</v>
      </c>
      <c r="H362" s="330">
        <v>15376163</v>
      </c>
      <c r="M362" s="514"/>
    </row>
    <row r="363" spans="1:16384" ht="15.75">
      <c r="A363" s="373">
        <v>353000</v>
      </c>
      <c r="B363" s="364" t="s">
        <v>374</v>
      </c>
      <c r="F363" s="330">
        <f t="shared" si="17"/>
        <v>165171</v>
      </c>
      <c r="G363" s="330">
        <v>0</v>
      </c>
      <c r="H363" s="330">
        <v>165170930</v>
      </c>
      <c r="M363" s="514"/>
    </row>
    <row r="364" spans="1:16384" ht="15.75">
      <c r="A364" s="373">
        <v>354000</v>
      </c>
      <c r="B364" s="364" t="s">
        <v>496</v>
      </c>
      <c r="F364" s="330">
        <f t="shared" si="17"/>
        <v>11288</v>
      </c>
      <c r="G364" s="330">
        <v>0</v>
      </c>
      <c r="H364" s="330">
        <v>11287844</v>
      </c>
      <c r="M364" s="514"/>
    </row>
    <row r="365" spans="1:16384" ht="15.75">
      <c r="A365" s="373">
        <v>355000</v>
      </c>
      <c r="B365" s="364" t="s">
        <v>497</v>
      </c>
      <c r="F365" s="330">
        <f t="shared" si="17"/>
        <v>131612</v>
      </c>
      <c r="G365" s="330">
        <v>0</v>
      </c>
      <c r="H365" s="330">
        <v>131612313</v>
      </c>
      <c r="M365" s="514"/>
    </row>
    <row r="366" spans="1:16384" ht="15.75">
      <c r="A366" s="373">
        <v>356000</v>
      </c>
      <c r="B366" s="364" t="s">
        <v>498</v>
      </c>
      <c r="F366" s="330">
        <f t="shared" si="17"/>
        <v>87274</v>
      </c>
      <c r="G366" s="330">
        <v>0</v>
      </c>
      <c r="H366" s="330">
        <v>87273663</v>
      </c>
      <c r="M366" s="514"/>
    </row>
    <row r="367" spans="1:16384" ht="15.75">
      <c r="A367" s="373">
        <v>357000</v>
      </c>
      <c r="B367" s="364" t="s">
        <v>499</v>
      </c>
      <c r="F367" s="330">
        <f t="shared" si="17"/>
        <v>1963</v>
      </c>
      <c r="G367" s="330">
        <v>0</v>
      </c>
      <c r="H367" s="330">
        <v>1963414</v>
      </c>
      <c r="M367" s="514"/>
    </row>
    <row r="368" spans="1:16384" ht="15.75">
      <c r="A368" s="373">
        <v>358000</v>
      </c>
      <c r="B368" s="364" t="s">
        <v>500</v>
      </c>
      <c r="F368" s="330">
        <f t="shared" si="17"/>
        <v>1540</v>
      </c>
      <c r="G368" s="330">
        <v>0</v>
      </c>
      <c r="H368" s="330">
        <v>1539853</v>
      </c>
      <c r="M368" s="514"/>
    </row>
    <row r="369" spans="1:13" ht="15.75">
      <c r="A369" s="373">
        <v>359000</v>
      </c>
      <c r="B369" s="364" t="s">
        <v>501</v>
      </c>
      <c r="F369" s="330">
        <f t="shared" si="17"/>
        <v>1334</v>
      </c>
      <c r="G369" s="330">
        <v>0</v>
      </c>
      <c r="H369" s="330">
        <v>1334395</v>
      </c>
      <c r="M369" s="514"/>
    </row>
    <row r="370" spans="1:13" ht="15.75">
      <c r="A370" s="375"/>
      <c r="B370" s="364" t="s">
        <v>502</v>
      </c>
      <c r="F370" s="330">
        <f t="shared" si="17"/>
        <v>430613</v>
      </c>
      <c r="G370" s="330">
        <v>0</v>
      </c>
      <c r="H370" s="330">
        <v>430612554</v>
      </c>
      <c r="M370" s="514"/>
    </row>
    <row r="371" spans="1:13" ht="15.75">
      <c r="A371" s="376"/>
      <c r="B371" s="364"/>
      <c r="G371" s="330">
        <v>0</v>
      </c>
      <c r="M371" s="514"/>
    </row>
    <row r="372" spans="1:13" ht="15.75">
      <c r="A372" s="376"/>
      <c r="B372" s="364"/>
      <c r="M372" s="514"/>
    </row>
    <row r="373" spans="1:13" ht="15.75">
      <c r="A373" s="376"/>
      <c r="B373" s="364" t="s">
        <v>503</v>
      </c>
      <c r="F373" s="330">
        <f>ROUND(H373/1000,0)</f>
        <v>3954</v>
      </c>
      <c r="H373" s="330">
        <v>3954169</v>
      </c>
      <c r="M373" s="514"/>
    </row>
    <row r="374" spans="1:13" ht="15.75">
      <c r="A374" s="373">
        <v>360200</v>
      </c>
      <c r="B374" s="364" t="s">
        <v>472</v>
      </c>
      <c r="F374" s="330">
        <f>ROUND(H374/1000,0)</f>
        <v>335</v>
      </c>
      <c r="G374" s="330">
        <v>0</v>
      </c>
      <c r="H374" s="330">
        <v>335419</v>
      </c>
      <c r="M374" s="517"/>
    </row>
    <row r="375" spans="1:13" ht="15.75">
      <c r="A375" s="372">
        <v>360400</v>
      </c>
      <c r="B375" s="367" t="s">
        <v>504</v>
      </c>
      <c r="F375" s="330">
        <f>ROUND(H375/1000,0)</f>
        <v>0</v>
      </c>
      <c r="G375" s="330">
        <v>0</v>
      </c>
      <c r="H375" s="330">
        <v>0</v>
      </c>
      <c r="M375" s="517"/>
    </row>
    <row r="376" spans="1:13" ht="15.75">
      <c r="A376" s="729">
        <v>360500</v>
      </c>
      <c r="B376" s="517" t="s">
        <v>752</v>
      </c>
      <c r="F376" s="330">
        <f>ROUND(H376/1000,0)</f>
        <v>14357</v>
      </c>
      <c r="H376" s="330">
        <v>14357348</v>
      </c>
      <c r="M376" s="514"/>
    </row>
    <row r="377" spans="1:13" ht="15.75">
      <c r="A377" s="373">
        <v>361000</v>
      </c>
      <c r="B377" s="364" t="s">
        <v>474</v>
      </c>
      <c r="F377" s="330">
        <f>ROUND(H377/1000,0)</f>
        <v>82076</v>
      </c>
      <c r="G377" s="330">
        <v>0</v>
      </c>
      <c r="H377" s="330">
        <v>82075805</v>
      </c>
      <c r="M377" s="518"/>
    </row>
    <row r="378" spans="1:13" ht="15.75">
      <c r="A378" s="373">
        <v>362000</v>
      </c>
      <c r="B378" s="363" t="s">
        <v>374</v>
      </c>
      <c r="F378" s="330">
        <f t="shared" ref="F378" si="18">ROUND(H378/1000,0)</f>
        <v>2547</v>
      </c>
      <c r="G378" s="330">
        <v>0</v>
      </c>
      <c r="H378" s="330">
        <v>2547093</v>
      </c>
      <c r="M378" s="514"/>
    </row>
    <row r="379" spans="1:13" ht="15.75">
      <c r="A379" s="519">
        <v>363000</v>
      </c>
      <c r="B379" s="514" t="s">
        <v>701</v>
      </c>
      <c r="F379" s="330">
        <f t="shared" ref="F379:F384" si="19">ROUND(H379/1000,0)</f>
        <v>221767</v>
      </c>
      <c r="G379" s="330">
        <v>0</v>
      </c>
      <c r="H379" s="330">
        <v>221767095</v>
      </c>
      <c r="M379" s="514"/>
    </row>
    <row r="380" spans="1:13" ht="15.75">
      <c r="A380" s="373">
        <v>364000</v>
      </c>
      <c r="B380" s="364" t="s">
        <v>505</v>
      </c>
      <c r="F380" s="330">
        <f t="shared" si="19"/>
        <v>138289</v>
      </c>
      <c r="G380" s="330">
        <v>0</v>
      </c>
      <c r="H380" s="330">
        <v>138289363</v>
      </c>
      <c r="M380" s="514"/>
    </row>
    <row r="381" spans="1:13" ht="15.75">
      <c r="A381" s="373">
        <v>365000</v>
      </c>
      <c r="B381" s="364" t="s">
        <v>498</v>
      </c>
      <c r="F381" s="330">
        <f t="shared" si="19"/>
        <v>64377</v>
      </c>
      <c r="G381" s="330">
        <v>0</v>
      </c>
      <c r="H381" s="330">
        <v>64377129</v>
      </c>
      <c r="M381" s="514"/>
    </row>
    <row r="382" spans="1:13" ht="15.75">
      <c r="A382" s="373">
        <v>366000</v>
      </c>
      <c r="B382" s="364" t="s">
        <v>499</v>
      </c>
      <c r="F382" s="330">
        <f t="shared" si="19"/>
        <v>115717</v>
      </c>
      <c r="G382" s="330">
        <v>0</v>
      </c>
      <c r="H382" s="330">
        <v>115717294</v>
      </c>
      <c r="M382" s="514"/>
    </row>
    <row r="383" spans="1:13" ht="15.75">
      <c r="A383" s="373">
        <v>367000</v>
      </c>
      <c r="B383" s="364" t="s">
        <v>500</v>
      </c>
      <c r="F383" s="330">
        <f t="shared" si="19"/>
        <v>162672</v>
      </c>
      <c r="G383" s="330">
        <v>0</v>
      </c>
      <c r="H383" s="330">
        <v>162672390</v>
      </c>
      <c r="M383" s="514"/>
    </row>
    <row r="384" spans="1:13" ht="15.75">
      <c r="A384" s="373">
        <v>368000</v>
      </c>
      <c r="B384" s="364" t="s">
        <v>410</v>
      </c>
      <c r="F384" s="330">
        <f t="shared" si="19"/>
        <v>101101</v>
      </c>
      <c r="G384" s="330">
        <v>0</v>
      </c>
      <c r="H384" s="330">
        <v>101100928</v>
      </c>
      <c r="M384" s="514"/>
    </row>
    <row r="385" spans="1:13" ht="15.75">
      <c r="A385" s="373" t="s">
        <v>506</v>
      </c>
      <c r="B385" s="364" t="s">
        <v>507</v>
      </c>
      <c r="F385" s="330">
        <f t="shared" ref="F385" si="20">ROUND(H385/1000,0)</f>
        <v>35</v>
      </c>
      <c r="G385" s="330">
        <v>0</v>
      </c>
      <c r="H385" s="330">
        <v>35295</v>
      </c>
      <c r="M385" s="514"/>
    </row>
    <row r="386" spans="1:13" ht="15.75">
      <c r="A386" s="729" t="s">
        <v>753</v>
      </c>
      <c r="B386" s="517" t="s">
        <v>754</v>
      </c>
      <c r="F386" s="330">
        <f>ROUND(H386/1000,0)</f>
        <v>27614</v>
      </c>
      <c r="G386" s="330">
        <v>1</v>
      </c>
      <c r="H386" s="330">
        <v>27614283</v>
      </c>
      <c r="M386" s="517"/>
    </row>
    <row r="387" spans="1:13" ht="15.75">
      <c r="A387" s="372">
        <v>370000</v>
      </c>
      <c r="B387" s="367" t="s">
        <v>412</v>
      </c>
      <c r="F387" s="330">
        <f>ROUND(H387/1000,0)</f>
        <v>35612</v>
      </c>
      <c r="G387" s="330">
        <v>0</v>
      </c>
      <c r="H387" s="330">
        <v>35611754</v>
      </c>
      <c r="M387" s="514"/>
    </row>
    <row r="388" spans="1:13" ht="15.75">
      <c r="A388" s="373" t="s">
        <v>508</v>
      </c>
      <c r="B388" s="364" t="s">
        <v>509</v>
      </c>
      <c r="F388" s="330">
        <f>ROUND(H388/1000,0)</f>
        <v>970455</v>
      </c>
      <c r="G388" s="330">
        <v>0</v>
      </c>
      <c r="H388" s="330">
        <v>970455365</v>
      </c>
      <c r="M388" s="514"/>
    </row>
    <row r="389" spans="1:13" ht="15.75">
      <c r="A389" s="375"/>
      <c r="B389" s="364" t="s">
        <v>510</v>
      </c>
      <c r="F389" s="330">
        <f>ROUND(H389/1000,0)</f>
        <v>0</v>
      </c>
      <c r="G389" s="330">
        <v>0</v>
      </c>
      <c r="M389" s="514"/>
    </row>
    <row r="390" spans="1:13" ht="15.75">
      <c r="A390" s="376"/>
      <c r="B390" s="364"/>
      <c r="M390" s="514"/>
    </row>
    <row r="391" spans="1:13" ht="15.75">
      <c r="A391" s="376"/>
      <c r="B391" s="364" t="s">
        <v>511</v>
      </c>
      <c r="F391" s="330">
        <f t="shared" ref="F391:F397" si="21">ROUND(H391/1000,0)</f>
        <v>0</v>
      </c>
      <c r="G391" s="330">
        <v>0</v>
      </c>
      <c r="M391" s="514"/>
    </row>
    <row r="392" spans="1:13" ht="15.75">
      <c r="A392" s="373" t="s">
        <v>512</v>
      </c>
      <c r="B392" s="364" t="s">
        <v>472</v>
      </c>
      <c r="F392" s="330">
        <f t="shared" si="21"/>
        <v>5855</v>
      </c>
      <c r="G392" s="330">
        <v>0</v>
      </c>
      <c r="H392" s="330">
        <v>5855163</v>
      </c>
      <c r="M392" s="514"/>
    </row>
    <row r="393" spans="1:13" ht="15.75">
      <c r="A393" s="373" t="s">
        <v>513</v>
      </c>
      <c r="B393" s="364" t="s">
        <v>474</v>
      </c>
      <c r="F393" s="330">
        <f t="shared" si="21"/>
        <v>62730</v>
      </c>
      <c r="G393" s="330">
        <v>0</v>
      </c>
      <c r="H393" s="330">
        <v>62729604</v>
      </c>
      <c r="M393" s="514"/>
    </row>
    <row r="394" spans="1:13" ht="15.75">
      <c r="A394" s="373" t="s">
        <v>514</v>
      </c>
      <c r="B394" s="364" t="s">
        <v>515</v>
      </c>
      <c r="F394" s="330">
        <f t="shared" si="21"/>
        <v>36837</v>
      </c>
      <c r="G394" s="330">
        <v>0</v>
      </c>
      <c r="H394" s="330">
        <v>36837169</v>
      </c>
      <c r="M394" s="514"/>
    </row>
    <row r="395" spans="1:13" ht="15.75">
      <c r="A395" s="373" t="s">
        <v>516</v>
      </c>
      <c r="B395" s="364" t="s">
        <v>517</v>
      </c>
      <c r="F395" s="330">
        <f t="shared" si="21"/>
        <v>29329</v>
      </c>
      <c r="G395" s="330">
        <v>0</v>
      </c>
      <c r="H395" s="330">
        <v>29328633</v>
      </c>
      <c r="M395" s="514"/>
    </row>
    <row r="396" spans="1:13" ht="15.75">
      <c r="A396" s="373">
        <v>393000</v>
      </c>
      <c r="B396" s="364" t="s">
        <v>518</v>
      </c>
      <c r="F396" s="330">
        <f t="shared" si="21"/>
        <v>2279</v>
      </c>
      <c r="G396" s="330">
        <v>0</v>
      </c>
      <c r="H396" s="330">
        <v>2278594</v>
      </c>
      <c r="M396" s="514"/>
    </row>
    <row r="397" spans="1:13" ht="15.75">
      <c r="A397" s="373">
        <v>394000</v>
      </c>
      <c r="B397" s="364" t="s">
        <v>519</v>
      </c>
      <c r="F397" s="330">
        <f t="shared" si="21"/>
        <v>8690</v>
      </c>
      <c r="G397" s="330">
        <v>0</v>
      </c>
      <c r="H397" s="330">
        <v>8689747</v>
      </c>
      <c r="M397" s="514"/>
    </row>
    <row r="398" spans="1:13" ht="15.75">
      <c r="A398" s="519">
        <v>394100</v>
      </c>
      <c r="B398" s="514" t="s">
        <v>755</v>
      </c>
      <c r="F398" s="330">
        <f t="shared" ref="F398" si="22">ROUND(H398/1000,0)</f>
        <v>35</v>
      </c>
      <c r="G398" s="330">
        <v>0</v>
      </c>
      <c r="H398" s="330">
        <v>34907</v>
      </c>
      <c r="M398" s="514"/>
    </row>
    <row r="399" spans="1:13" ht="15.75">
      <c r="A399" s="373">
        <v>395000</v>
      </c>
      <c r="B399" s="364" t="s">
        <v>520</v>
      </c>
      <c r="F399" s="330">
        <f t="shared" ref="F399:F432" si="23">ROUND(H399/1000,0)</f>
        <v>641</v>
      </c>
      <c r="G399" s="330">
        <v>1</v>
      </c>
      <c r="H399" s="330">
        <v>640692</v>
      </c>
      <c r="M399" s="514"/>
    </row>
    <row r="400" spans="1:13" ht="15.75">
      <c r="A400" s="373" t="s">
        <v>521</v>
      </c>
      <c r="B400" s="364" t="s">
        <v>522</v>
      </c>
      <c r="F400" s="330">
        <f t="shared" si="23"/>
        <v>21418</v>
      </c>
      <c r="G400" s="330">
        <v>0</v>
      </c>
      <c r="H400" s="330">
        <v>21417784</v>
      </c>
      <c r="M400" s="514"/>
    </row>
    <row r="401" spans="1:13" ht="15.75">
      <c r="A401" s="373" t="s">
        <v>523</v>
      </c>
      <c r="B401" s="364" t="s">
        <v>524</v>
      </c>
      <c r="F401" s="330">
        <f t="shared" si="23"/>
        <v>65177</v>
      </c>
      <c r="G401" s="330">
        <v>0</v>
      </c>
      <c r="H401" s="330">
        <v>65176536</v>
      </c>
      <c r="M401" s="514"/>
    </row>
    <row r="402" spans="1:13" ht="15.75">
      <c r="A402" s="373">
        <v>398000</v>
      </c>
      <c r="B402" s="364" t="s">
        <v>525</v>
      </c>
      <c r="F402" s="330">
        <f t="shared" si="23"/>
        <v>278</v>
      </c>
      <c r="G402" s="330">
        <v>0</v>
      </c>
      <c r="H402" s="330">
        <v>277762</v>
      </c>
      <c r="M402" s="514"/>
    </row>
    <row r="403" spans="1:13" ht="15.75">
      <c r="A403" s="375"/>
      <c r="B403" s="364" t="s">
        <v>526</v>
      </c>
      <c r="F403" s="330">
        <f t="shared" si="23"/>
        <v>233267</v>
      </c>
      <c r="G403" s="330">
        <v>0</v>
      </c>
      <c r="H403" s="330">
        <v>233266591</v>
      </c>
      <c r="M403" s="514"/>
    </row>
    <row r="404" spans="1:13" ht="15.75">
      <c r="A404" s="376"/>
      <c r="B404" s="364"/>
      <c r="F404" s="330">
        <f t="shared" si="23"/>
        <v>0</v>
      </c>
      <c r="G404" s="330">
        <v>0</v>
      </c>
      <c r="M404" s="514"/>
    </row>
    <row r="405" spans="1:13" ht="15.75">
      <c r="A405" s="376"/>
      <c r="B405" s="364" t="s">
        <v>527</v>
      </c>
      <c r="F405" s="330">
        <f t="shared" si="23"/>
        <v>2623224</v>
      </c>
      <c r="G405" s="330">
        <v>0</v>
      </c>
      <c r="H405" s="330">
        <v>2623224292</v>
      </c>
      <c r="M405" s="514"/>
    </row>
    <row r="406" spans="1:13" ht="15.75">
      <c r="A406" s="376"/>
      <c r="B406" s="364"/>
      <c r="F406" s="330">
        <f t="shared" si="23"/>
        <v>0</v>
      </c>
      <c r="G406" s="330">
        <v>0</v>
      </c>
      <c r="M406" s="514"/>
    </row>
    <row r="407" spans="1:13" ht="15.75">
      <c r="A407" s="376"/>
      <c r="B407" s="364"/>
      <c r="F407" s="330">
        <f t="shared" si="23"/>
        <v>0</v>
      </c>
      <c r="G407" s="330">
        <v>0</v>
      </c>
      <c r="M407" s="514"/>
    </row>
    <row r="408" spans="1:13" ht="15.75">
      <c r="A408" s="376"/>
      <c r="B408" s="364" t="s">
        <v>73</v>
      </c>
      <c r="F408" s="330">
        <f t="shared" si="23"/>
        <v>0</v>
      </c>
      <c r="G408" s="330">
        <v>0</v>
      </c>
      <c r="M408" s="514"/>
    </row>
    <row r="409" spans="1:13" ht="15.75">
      <c r="A409" s="376"/>
      <c r="B409" s="364" t="s">
        <v>528</v>
      </c>
      <c r="F409" s="330">
        <f t="shared" si="23"/>
        <v>-192381</v>
      </c>
      <c r="G409" s="330">
        <v>0</v>
      </c>
      <c r="H409" s="330">
        <v>-192381051</v>
      </c>
      <c r="M409" s="514"/>
    </row>
    <row r="410" spans="1:13" ht="15.75">
      <c r="A410" s="373"/>
      <c r="B410" s="364" t="s">
        <v>529</v>
      </c>
      <c r="F410" s="330">
        <f t="shared" si="23"/>
        <v>-89296</v>
      </c>
      <c r="G410" s="330">
        <v>0</v>
      </c>
      <c r="H410" s="330">
        <v>-89296389</v>
      </c>
      <c r="M410" s="514"/>
    </row>
    <row r="411" spans="1:13" ht="15.75">
      <c r="A411" s="376"/>
      <c r="B411" s="364" t="s">
        <v>530</v>
      </c>
      <c r="F411" s="330">
        <f t="shared" si="23"/>
        <v>-69948</v>
      </c>
      <c r="G411" s="330">
        <v>0</v>
      </c>
      <c r="H411" s="330">
        <v>-69948336</v>
      </c>
      <c r="M411" s="514"/>
    </row>
    <row r="412" spans="1:13" ht="15.75">
      <c r="A412" s="376"/>
      <c r="B412" s="364" t="s">
        <v>531</v>
      </c>
      <c r="F412" s="330">
        <f t="shared" si="23"/>
        <v>-135624</v>
      </c>
      <c r="G412" s="330">
        <v>0</v>
      </c>
      <c r="H412" s="330">
        <v>-135623961</v>
      </c>
      <c r="M412" s="514"/>
    </row>
    <row r="413" spans="1:13" ht="15.75">
      <c r="A413" s="376"/>
      <c r="B413" s="364" t="s">
        <v>532</v>
      </c>
      <c r="F413" s="330">
        <f t="shared" si="23"/>
        <v>-295383</v>
      </c>
      <c r="G413" s="330">
        <v>0</v>
      </c>
      <c r="H413" s="330">
        <v>-295382954</v>
      </c>
      <c r="M413" s="514"/>
    </row>
    <row r="414" spans="1:13" ht="15.75">
      <c r="A414" s="376"/>
      <c r="B414" s="364" t="s">
        <v>533</v>
      </c>
      <c r="F414" s="330">
        <f t="shared" si="23"/>
        <v>-79806</v>
      </c>
      <c r="G414" s="330">
        <v>0</v>
      </c>
      <c r="H414" s="330">
        <v>-79806345</v>
      </c>
      <c r="M414" s="514"/>
    </row>
    <row r="415" spans="1:13" ht="15.75">
      <c r="A415" s="371"/>
      <c r="B415" s="364" t="s">
        <v>534</v>
      </c>
      <c r="F415" s="330">
        <f t="shared" si="23"/>
        <v>-862439</v>
      </c>
      <c r="G415" s="330">
        <v>0</v>
      </c>
      <c r="H415" s="330">
        <v>-862439036</v>
      </c>
      <c r="M415" s="514"/>
    </row>
    <row r="416" spans="1:13" ht="15.75">
      <c r="A416" s="371"/>
      <c r="B416" s="364"/>
      <c r="F416" s="330">
        <f t="shared" si="23"/>
        <v>0</v>
      </c>
      <c r="G416" s="330">
        <v>0</v>
      </c>
      <c r="M416" s="514"/>
    </row>
    <row r="417" spans="1:13" ht="15.75">
      <c r="A417" s="371"/>
      <c r="B417" s="364" t="s">
        <v>115</v>
      </c>
      <c r="F417" s="330">
        <f t="shared" si="23"/>
        <v>0</v>
      </c>
      <c r="G417" s="330">
        <v>0</v>
      </c>
      <c r="M417" s="514"/>
    </row>
    <row r="418" spans="1:13" ht="15.75">
      <c r="A418" s="376"/>
      <c r="B418" s="364" t="s">
        <v>535</v>
      </c>
      <c r="F418" s="330">
        <f t="shared" si="23"/>
        <v>-7188</v>
      </c>
      <c r="G418" s="330">
        <v>0</v>
      </c>
      <c r="H418" s="330">
        <v>-7187708</v>
      </c>
      <c r="M418" s="514"/>
    </row>
    <row r="419" spans="1:13" ht="15.75">
      <c r="A419" s="376"/>
      <c r="B419" s="364" t="s">
        <v>536</v>
      </c>
      <c r="F419" s="330">
        <f t="shared" si="23"/>
        <v>-190</v>
      </c>
      <c r="G419" s="330">
        <v>0</v>
      </c>
      <c r="H419" s="330">
        <v>-189685</v>
      </c>
      <c r="M419" s="514"/>
    </row>
    <row r="420" spans="1:13" ht="15.75">
      <c r="A420" s="376"/>
      <c r="B420" s="364" t="s">
        <v>537</v>
      </c>
      <c r="F420" s="330">
        <f t="shared" si="23"/>
        <v>-827</v>
      </c>
      <c r="G420" s="330">
        <v>0</v>
      </c>
      <c r="H420" s="330">
        <v>-826752</v>
      </c>
      <c r="M420" s="514"/>
    </row>
    <row r="421" spans="1:13" ht="15.75">
      <c r="A421" s="376"/>
      <c r="B421" s="364" t="s">
        <v>538</v>
      </c>
      <c r="F421" s="330">
        <f t="shared" si="23"/>
        <v>-22709</v>
      </c>
      <c r="G421" s="330">
        <v>0</v>
      </c>
      <c r="H421" s="330">
        <v>-22708500</v>
      </c>
      <c r="M421" s="514"/>
    </row>
    <row r="422" spans="1:13" ht="15.75">
      <c r="A422" s="376"/>
      <c r="B422" s="364" t="s">
        <v>539</v>
      </c>
      <c r="F422" s="330">
        <f t="shared" si="23"/>
        <v>-287</v>
      </c>
      <c r="G422" s="330">
        <v>0</v>
      </c>
      <c r="H422" s="330">
        <v>-287484</v>
      </c>
      <c r="M422" s="514"/>
    </row>
    <row r="423" spans="1:13" ht="15.75">
      <c r="A423" s="376"/>
      <c r="B423" s="364" t="s">
        <v>540</v>
      </c>
      <c r="F423" s="330">
        <f t="shared" si="23"/>
        <v>-31200</v>
      </c>
      <c r="G423" s="330">
        <v>0</v>
      </c>
      <c r="H423" s="330">
        <v>-31200129</v>
      </c>
      <c r="M423" s="514"/>
    </row>
    <row r="424" spans="1:13" ht="15.75">
      <c r="A424" s="376"/>
      <c r="B424" s="364"/>
      <c r="F424" s="330">
        <f t="shared" si="23"/>
        <v>0</v>
      </c>
      <c r="G424" s="330">
        <v>0</v>
      </c>
      <c r="M424" s="514"/>
    </row>
    <row r="425" spans="1:13" ht="15.75">
      <c r="A425" s="376"/>
      <c r="B425" s="364" t="s">
        <v>541</v>
      </c>
      <c r="F425" s="330">
        <f t="shared" si="23"/>
        <v>-893639</v>
      </c>
      <c r="G425" s="330">
        <v>0</v>
      </c>
      <c r="H425" s="330">
        <v>-893639165</v>
      </c>
      <c r="M425" s="514"/>
    </row>
    <row r="426" spans="1:13" ht="15.75">
      <c r="A426" s="376"/>
      <c r="B426" s="364"/>
      <c r="F426" s="330">
        <f t="shared" si="23"/>
        <v>0</v>
      </c>
      <c r="G426" s="330">
        <v>0</v>
      </c>
      <c r="M426" s="514"/>
    </row>
    <row r="427" spans="1:13" ht="15.75">
      <c r="A427" s="371"/>
      <c r="B427" s="364" t="s">
        <v>542</v>
      </c>
      <c r="F427" s="330">
        <f t="shared" si="23"/>
        <v>1729585</v>
      </c>
      <c r="G427" s="330">
        <v>0</v>
      </c>
      <c r="H427" s="330">
        <v>1729585127</v>
      </c>
      <c r="M427" s="514"/>
    </row>
    <row r="428" spans="1:13" ht="15.75">
      <c r="A428" s="371"/>
      <c r="B428" s="364"/>
      <c r="F428" s="330">
        <f t="shared" si="23"/>
        <v>0</v>
      </c>
      <c r="G428" s="330">
        <v>0</v>
      </c>
      <c r="M428" s="524"/>
    </row>
    <row r="429" spans="1:13" ht="15.75">
      <c r="A429" s="378"/>
      <c r="B429" s="379" t="s">
        <v>543</v>
      </c>
      <c r="F429" s="330">
        <f t="shared" si="23"/>
        <v>0</v>
      </c>
      <c r="G429" s="330">
        <v>0</v>
      </c>
      <c r="M429" s="525"/>
    </row>
    <row r="430" spans="1:13" ht="15.75">
      <c r="A430" s="380"/>
      <c r="B430" s="378" t="s">
        <v>544</v>
      </c>
      <c r="F430" s="330">
        <f t="shared" si="23"/>
        <v>0</v>
      </c>
      <c r="G430" s="330">
        <v>0</v>
      </c>
      <c r="H430" s="330">
        <v>0</v>
      </c>
      <c r="M430" s="524"/>
    </row>
    <row r="431" spans="1:13" ht="15.75">
      <c r="A431" s="380"/>
      <c r="B431" s="379" t="s">
        <v>545</v>
      </c>
      <c r="F431" s="330">
        <f t="shared" si="23"/>
        <v>-67</v>
      </c>
      <c r="G431" s="330">
        <v>0</v>
      </c>
      <c r="H431" s="330">
        <v>-67238</v>
      </c>
      <c r="M431" s="524"/>
    </row>
    <row r="432" spans="1:13" ht="15.75">
      <c r="A432" s="380"/>
      <c r="B432" s="379" t="s">
        <v>546</v>
      </c>
      <c r="F432" s="330">
        <f t="shared" si="23"/>
        <v>-312064</v>
      </c>
      <c r="G432" s="330">
        <v>0</v>
      </c>
      <c r="H432" s="330">
        <v>-312064301</v>
      </c>
      <c r="M432" s="524"/>
    </row>
    <row r="433" spans="1:13" ht="15.75">
      <c r="A433" s="380"/>
      <c r="B433" s="379" t="s">
        <v>547</v>
      </c>
      <c r="F433" s="330">
        <f t="shared" ref="F433:F434" si="24">ROUND(H433/1000,0)</f>
        <v>-32392</v>
      </c>
      <c r="G433" s="330">
        <v>0</v>
      </c>
      <c r="H433" s="330">
        <v>-32392361</v>
      </c>
      <c r="M433" s="524"/>
    </row>
    <row r="434" spans="1:13" ht="15.75">
      <c r="A434" s="380"/>
      <c r="B434" s="379" t="s">
        <v>671</v>
      </c>
      <c r="F434" s="330">
        <f t="shared" si="24"/>
        <v>-753</v>
      </c>
      <c r="G434" s="330">
        <v>0</v>
      </c>
      <c r="H434" s="330">
        <v>-753365</v>
      </c>
      <c r="M434" s="524"/>
    </row>
    <row r="435" spans="1:13" ht="15.75">
      <c r="A435" s="380"/>
      <c r="B435" s="379" t="s">
        <v>548</v>
      </c>
      <c r="F435" s="330">
        <f>ROUND(H435/1000,0)</f>
        <v>0</v>
      </c>
      <c r="G435" s="330">
        <v>0</v>
      </c>
      <c r="H435" s="330">
        <v>0</v>
      </c>
      <c r="M435" s="524"/>
    </row>
    <row r="436" spans="1:13" ht="15.75">
      <c r="A436" s="380"/>
      <c r="B436" s="379" t="s">
        <v>549</v>
      </c>
      <c r="F436" s="330">
        <f>ROUND(H436/1000,0)</f>
        <v>0</v>
      </c>
      <c r="G436" s="330">
        <v>0</v>
      </c>
      <c r="H436" s="330">
        <v>0</v>
      </c>
      <c r="M436" s="524"/>
    </row>
    <row r="437" spans="1:13" ht="15.75">
      <c r="A437" s="380"/>
      <c r="B437" s="379" t="s">
        <v>550</v>
      </c>
      <c r="F437" s="330">
        <f>ROUND(H437/1000,0)</f>
        <v>-7636</v>
      </c>
      <c r="G437" s="330">
        <v>0</v>
      </c>
      <c r="H437" s="330">
        <v>-7635537</v>
      </c>
      <c r="M437" s="524"/>
    </row>
    <row r="438" spans="1:13" ht="15.75">
      <c r="A438" s="380"/>
      <c r="B438" s="379" t="s">
        <v>672</v>
      </c>
      <c r="F438" s="330">
        <f>ROUND(H438/1000,0)</f>
        <v>254</v>
      </c>
      <c r="G438" s="330">
        <v>0</v>
      </c>
      <c r="H438" s="330">
        <v>254221</v>
      </c>
      <c r="M438" s="524"/>
    </row>
    <row r="439" spans="1:13" ht="15.75">
      <c r="A439" s="380"/>
      <c r="B439" s="379" t="s">
        <v>551</v>
      </c>
      <c r="F439" s="330">
        <f t="shared" ref="F439:F478" si="25">ROUND(H439/1000,0)</f>
        <v>-2047</v>
      </c>
      <c r="G439" s="330">
        <v>0</v>
      </c>
      <c r="H439" s="330">
        <v>-2046972</v>
      </c>
      <c r="M439" s="514"/>
    </row>
    <row r="440" spans="1:13" ht="15.75">
      <c r="A440" s="376"/>
      <c r="B440" s="364" t="s">
        <v>552</v>
      </c>
      <c r="F440" s="330">
        <f t="shared" si="25"/>
        <v>-354706</v>
      </c>
      <c r="G440" s="330">
        <v>0</v>
      </c>
      <c r="H440" s="330">
        <v>-354705553</v>
      </c>
      <c r="M440" s="514"/>
    </row>
    <row r="441" spans="1:13" ht="15.75">
      <c r="A441" s="371"/>
      <c r="B441" s="364"/>
      <c r="F441" s="330">
        <f t="shared" si="25"/>
        <v>0</v>
      </c>
      <c r="G441" s="330">
        <v>0</v>
      </c>
      <c r="M441" s="514"/>
    </row>
    <row r="442" spans="1:13" ht="12.75">
      <c r="A442" s="371"/>
      <c r="B442" s="364" t="s">
        <v>553</v>
      </c>
      <c r="F442" s="330">
        <f t="shared" si="25"/>
        <v>1374880</v>
      </c>
      <c r="G442" s="330">
        <v>0</v>
      </c>
      <c r="H442" s="330">
        <v>1374879574</v>
      </c>
    </row>
    <row r="443" spans="1:13" ht="15.75">
      <c r="F443" s="330">
        <f t="shared" si="25"/>
        <v>0</v>
      </c>
      <c r="G443" s="330">
        <v>0</v>
      </c>
      <c r="M443" s="514"/>
    </row>
    <row r="444" spans="1:13" ht="15.75">
      <c r="A444" s="363"/>
      <c r="B444" s="364" t="s">
        <v>554</v>
      </c>
      <c r="C444" s="363"/>
      <c r="F444" s="330">
        <f t="shared" si="25"/>
        <v>0</v>
      </c>
      <c r="G444" s="330">
        <v>0</v>
      </c>
      <c r="M444" s="514"/>
    </row>
    <row r="445" spans="1:13" ht="15.75">
      <c r="A445" s="381"/>
      <c r="B445" s="364" t="s">
        <v>555</v>
      </c>
      <c r="C445" s="364"/>
      <c r="F445" s="330">
        <f t="shared" si="25"/>
        <v>0</v>
      </c>
      <c r="G445" s="330">
        <v>0</v>
      </c>
      <c r="H445" s="330">
        <v>0</v>
      </c>
      <c r="M445" s="514"/>
    </row>
    <row r="446" spans="1:13" ht="15.75">
      <c r="A446" s="381"/>
      <c r="B446" s="364" t="s">
        <v>556</v>
      </c>
      <c r="C446" s="364"/>
      <c r="F446" s="330">
        <f t="shared" si="25"/>
        <v>0</v>
      </c>
      <c r="G446" s="330">
        <v>0</v>
      </c>
      <c r="H446" s="330">
        <v>0</v>
      </c>
      <c r="M446" s="526"/>
    </row>
    <row r="447" spans="1:13" ht="15.75">
      <c r="A447" s="381"/>
      <c r="B447" s="371" t="s">
        <v>557</v>
      </c>
      <c r="C447" s="364"/>
      <c r="F447" s="330">
        <f t="shared" si="25"/>
        <v>-504</v>
      </c>
      <c r="G447" s="330">
        <v>0</v>
      </c>
      <c r="H447" s="330">
        <v>-504357</v>
      </c>
      <c r="M447" s="526"/>
    </row>
    <row r="448" spans="1:13" ht="15.75">
      <c r="A448" s="381"/>
      <c r="B448" s="371" t="s">
        <v>558</v>
      </c>
      <c r="C448" s="364"/>
      <c r="F448" s="330">
        <f t="shared" si="25"/>
        <v>1111</v>
      </c>
      <c r="G448" s="330">
        <v>0</v>
      </c>
      <c r="H448" s="330">
        <v>1110999</v>
      </c>
      <c r="M448" s="526"/>
    </row>
    <row r="449" spans="1:13" ht="15.75">
      <c r="A449" s="381"/>
      <c r="B449" s="371" t="s">
        <v>559</v>
      </c>
      <c r="C449" s="364"/>
      <c r="F449" s="330">
        <f t="shared" si="25"/>
        <v>-936</v>
      </c>
      <c r="G449" s="330">
        <v>0</v>
      </c>
      <c r="H449" s="330">
        <v>-936413</v>
      </c>
      <c r="M449" s="526"/>
    </row>
    <row r="450" spans="1:13" ht="15.75">
      <c r="A450" s="381"/>
      <c r="B450" s="371" t="s">
        <v>673</v>
      </c>
      <c r="C450" s="364"/>
      <c r="F450" s="330">
        <f t="shared" si="25"/>
        <v>-5248</v>
      </c>
      <c r="G450" s="330">
        <v>0</v>
      </c>
      <c r="H450" s="330">
        <v>-5247725</v>
      </c>
      <c r="M450" s="526"/>
    </row>
    <row r="451" spans="1:13" ht="15.75">
      <c r="A451" s="381"/>
      <c r="B451" s="371" t="s">
        <v>560</v>
      </c>
      <c r="C451" s="364"/>
      <c r="F451" s="330">
        <f t="shared" si="25"/>
        <v>4910</v>
      </c>
      <c r="G451" s="330">
        <v>0</v>
      </c>
      <c r="H451" s="330">
        <v>4910046</v>
      </c>
      <c r="M451" s="514"/>
    </row>
    <row r="452" spans="1:13" ht="15.75">
      <c r="A452" s="381"/>
      <c r="B452" s="364" t="s">
        <v>561</v>
      </c>
      <c r="C452" s="364"/>
      <c r="F452" s="330">
        <f t="shared" si="25"/>
        <v>135</v>
      </c>
      <c r="G452" s="330">
        <v>0</v>
      </c>
      <c r="H452" s="330">
        <v>135401</v>
      </c>
      <c r="M452" s="526"/>
    </row>
    <row r="453" spans="1:13" ht="15.75">
      <c r="A453" s="381"/>
      <c r="B453" s="371" t="s">
        <v>562</v>
      </c>
      <c r="C453" s="364"/>
      <c r="F453" s="330">
        <f t="shared" si="25"/>
        <v>0</v>
      </c>
      <c r="G453" s="330">
        <v>0</v>
      </c>
      <c r="H453" s="330">
        <v>0</v>
      </c>
      <c r="M453" s="526"/>
    </row>
    <row r="454" spans="1:13" ht="15.75">
      <c r="A454" s="381"/>
      <c r="B454" s="371" t="s">
        <v>563</v>
      </c>
      <c r="C454" s="364"/>
      <c r="F454" s="330">
        <f t="shared" si="25"/>
        <v>0</v>
      </c>
      <c r="G454" s="330">
        <v>0</v>
      </c>
      <c r="H454" s="330">
        <v>0</v>
      </c>
      <c r="M454" s="514"/>
    </row>
    <row r="455" spans="1:13" ht="15.75">
      <c r="A455" s="381"/>
      <c r="B455" s="364" t="s">
        <v>564</v>
      </c>
      <c r="C455" s="364"/>
      <c r="F455" s="330">
        <f t="shared" si="25"/>
        <v>0</v>
      </c>
      <c r="G455" s="330">
        <v>0</v>
      </c>
      <c r="H455" s="330">
        <v>0</v>
      </c>
      <c r="M455" s="526"/>
    </row>
    <row r="456" spans="1:13" ht="15.75">
      <c r="A456" s="381"/>
      <c r="B456" s="371" t="s">
        <v>565</v>
      </c>
      <c r="C456" s="364"/>
      <c r="F456" s="330">
        <f t="shared" si="25"/>
        <v>7758</v>
      </c>
      <c r="G456" s="330">
        <v>0</v>
      </c>
      <c r="H456" s="330">
        <v>7758038</v>
      </c>
      <c r="M456" s="517"/>
    </row>
    <row r="457" spans="1:13" ht="15.75">
      <c r="A457" s="382"/>
      <c r="B457" s="367" t="s">
        <v>566</v>
      </c>
      <c r="C457" s="367"/>
      <c r="F457" s="330">
        <f t="shared" si="25"/>
        <v>-1394</v>
      </c>
      <c r="G457" s="330">
        <v>0</v>
      </c>
      <c r="H457" s="330">
        <v>-1394283</v>
      </c>
      <c r="M457" s="517"/>
    </row>
    <row r="458" spans="1:13" ht="15.75">
      <c r="A458" s="382"/>
      <c r="B458" s="367" t="s">
        <v>567</v>
      </c>
      <c r="C458" s="367"/>
      <c r="F458" s="330">
        <f t="shared" si="25"/>
        <v>672</v>
      </c>
      <c r="G458" s="330">
        <v>0</v>
      </c>
      <c r="H458" s="330">
        <v>671855</v>
      </c>
      <c r="M458" s="517"/>
    </row>
    <row r="459" spans="1:13" ht="15.75">
      <c r="A459" s="382"/>
      <c r="B459" s="367" t="s">
        <v>568</v>
      </c>
      <c r="C459" s="367"/>
      <c r="F459" s="330">
        <f t="shared" si="25"/>
        <v>0</v>
      </c>
      <c r="G459" s="330">
        <v>0</v>
      </c>
      <c r="H459" s="330">
        <v>0</v>
      </c>
      <c r="M459" s="524"/>
    </row>
    <row r="460" spans="1:13" ht="15.75">
      <c r="A460" s="383"/>
      <c r="B460" s="379" t="s">
        <v>569</v>
      </c>
      <c r="C460" s="379"/>
      <c r="F460" s="330">
        <f t="shared" si="25"/>
        <v>-235</v>
      </c>
      <c r="G460" s="330">
        <v>0</v>
      </c>
      <c r="H460" s="330">
        <v>-235150</v>
      </c>
      <c r="M460" s="517"/>
    </row>
    <row r="461" spans="1:13" ht="15.75">
      <c r="A461" s="382"/>
      <c r="B461" s="367" t="s">
        <v>674</v>
      </c>
      <c r="C461" s="367"/>
      <c r="F461" s="330">
        <f t="shared" si="25"/>
        <v>49</v>
      </c>
      <c r="G461" s="330">
        <v>0</v>
      </c>
      <c r="H461" s="330">
        <v>48871</v>
      </c>
      <c r="M461" s="524"/>
    </row>
    <row r="462" spans="1:13" ht="15.75">
      <c r="A462" s="383"/>
      <c r="B462" s="379" t="s">
        <v>570</v>
      </c>
      <c r="C462" s="379"/>
      <c r="F462" s="330">
        <f t="shared" si="25"/>
        <v>0</v>
      </c>
      <c r="G462" s="330">
        <v>0</v>
      </c>
      <c r="H462" s="330">
        <v>0</v>
      </c>
      <c r="M462" s="517"/>
    </row>
    <row r="463" spans="1:13" ht="15.75">
      <c r="A463" s="382"/>
      <c r="B463" s="367" t="s">
        <v>571</v>
      </c>
      <c r="C463" s="367"/>
      <c r="F463" s="330">
        <f t="shared" si="25"/>
        <v>322</v>
      </c>
      <c r="G463" s="330">
        <v>0</v>
      </c>
      <c r="H463" s="330">
        <v>322149</v>
      </c>
      <c r="M463" s="517"/>
    </row>
    <row r="464" spans="1:13" ht="15.75">
      <c r="A464" s="382"/>
      <c r="B464" s="367" t="s">
        <v>572</v>
      </c>
      <c r="C464" s="367"/>
      <c r="F464" s="330">
        <f t="shared" si="25"/>
        <v>-113</v>
      </c>
      <c r="G464" s="330">
        <v>0</v>
      </c>
      <c r="H464" s="330">
        <v>-112733</v>
      </c>
      <c r="M464" s="517"/>
    </row>
    <row r="465" spans="1:13" ht="15.75">
      <c r="A465" s="382"/>
      <c r="B465" s="367" t="s">
        <v>573</v>
      </c>
      <c r="C465" s="367"/>
      <c r="F465" s="330">
        <f t="shared" ref="F465:F471" si="26">ROUND(H465/1000,0)</f>
        <v>205</v>
      </c>
      <c r="G465" s="330">
        <v>0</v>
      </c>
      <c r="H465" s="330">
        <v>204562</v>
      </c>
      <c r="M465" s="517"/>
    </row>
    <row r="466" spans="1:13" ht="15.75">
      <c r="A466" s="382"/>
      <c r="B466" s="367" t="s">
        <v>574</v>
      </c>
      <c r="C466" s="367"/>
      <c r="F466" s="330">
        <f t="shared" si="26"/>
        <v>-72</v>
      </c>
      <c r="G466" s="330">
        <v>0</v>
      </c>
      <c r="H466" s="330">
        <v>-71621</v>
      </c>
      <c r="M466" s="527"/>
    </row>
    <row r="467" spans="1:13" ht="15.75">
      <c r="A467" s="382"/>
      <c r="B467" s="384" t="s">
        <v>575</v>
      </c>
      <c r="C467" s="367"/>
      <c r="F467" s="330">
        <f t="shared" si="26"/>
        <v>338</v>
      </c>
      <c r="G467" s="330">
        <v>0</v>
      </c>
      <c r="H467" s="330">
        <v>338292</v>
      </c>
      <c r="M467" s="517"/>
    </row>
    <row r="468" spans="1:13" ht="15.75">
      <c r="A468" s="382"/>
      <c r="B468" s="367" t="s">
        <v>576</v>
      </c>
      <c r="C468" s="367"/>
      <c r="F468" s="330">
        <f t="shared" si="26"/>
        <v>-119</v>
      </c>
      <c r="G468" s="330">
        <v>0</v>
      </c>
      <c r="H468" s="330">
        <v>-118743</v>
      </c>
      <c r="M468" s="526"/>
    </row>
    <row r="469" spans="1:13" ht="15.75">
      <c r="A469" s="382"/>
      <c r="B469" s="371" t="s">
        <v>577</v>
      </c>
      <c r="C469" s="367"/>
      <c r="F469" s="330">
        <f t="shared" si="26"/>
        <v>0</v>
      </c>
      <c r="G469" s="330">
        <v>0</v>
      </c>
      <c r="H469" s="330">
        <v>0</v>
      </c>
      <c r="M469" s="517"/>
    </row>
    <row r="470" spans="1:13" ht="15.75">
      <c r="A470" s="382"/>
      <c r="B470" s="367" t="s">
        <v>578</v>
      </c>
      <c r="C470" s="367"/>
      <c r="F470" s="330">
        <f t="shared" si="26"/>
        <v>0</v>
      </c>
      <c r="G470" s="330">
        <v>0</v>
      </c>
      <c r="H470" s="330">
        <v>0</v>
      </c>
      <c r="M470" s="526"/>
    </row>
    <row r="471" spans="1:13" ht="15.75">
      <c r="A471" s="382"/>
      <c r="B471" s="371" t="s">
        <v>579</v>
      </c>
      <c r="C471" s="367"/>
      <c r="F471" s="330">
        <f t="shared" si="26"/>
        <v>0</v>
      </c>
      <c r="G471" s="330">
        <v>0</v>
      </c>
      <c r="H471" s="330">
        <v>0</v>
      </c>
      <c r="M471" s="526"/>
    </row>
    <row r="472" spans="1:13" ht="15.75">
      <c r="A472" s="382"/>
      <c r="B472" s="371" t="s">
        <v>580</v>
      </c>
      <c r="C472" s="367"/>
      <c r="F472" s="330">
        <f t="shared" si="25"/>
        <v>-592</v>
      </c>
      <c r="G472" s="330">
        <v>0</v>
      </c>
      <c r="H472" s="330">
        <v>-592425</v>
      </c>
      <c r="M472" s="526"/>
    </row>
    <row r="473" spans="1:13" ht="15.75">
      <c r="A473" s="382"/>
      <c r="B473" s="371" t="s">
        <v>581</v>
      </c>
      <c r="C473" s="367"/>
      <c r="F473" s="330">
        <f t="shared" si="25"/>
        <v>-1720</v>
      </c>
      <c r="G473" s="330">
        <v>0</v>
      </c>
      <c r="H473" s="330">
        <v>-1720323</v>
      </c>
      <c r="M473" s="526"/>
    </row>
    <row r="474" spans="1:13" ht="15.75">
      <c r="A474" s="382"/>
      <c r="B474" s="371" t="s">
        <v>582</v>
      </c>
      <c r="C474" s="367"/>
      <c r="F474" s="330">
        <f t="shared" si="25"/>
        <v>65480</v>
      </c>
      <c r="G474" s="330">
        <v>0</v>
      </c>
      <c r="H474" s="330">
        <v>65480278</v>
      </c>
      <c r="M474" s="526"/>
    </row>
    <row r="475" spans="1:13" ht="15.75">
      <c r="A475" s="382"/>
      <c r="B475" s="371" t="s">
        <v>583</v>
      </c>
      <c r="C475" s="367"/>
      <c r="F475" s="330">
        <f t="shared" si="25"/>
        <v>0</v>
      </c>
      <c r="G475" s="330">
        <v>0</v>
      </c>
      <c r="H475" s="330">
        <v>0</v>
      </c>
      <c r="M475" s="514"/>
    </row>
    <row r="476" spans="1:13" ht="15.75">
      <c r="A476" s="381"/>
      <c r="B476" s="364" t="s">
        <v>584</v>
      </c>
      <c r="C476" s="364"/>
      <c r="F476" s="330">
        <f t="shared" si="25"/>
        <v>70047</v>
      </c>
      <c r="G476" s="330">
        <v>0</v>
      </c>
      <c r="H476" s="330">
        <v>70046718</v>
      </c>
      <c r="M476" s="514"/>
    </row>
    <row r="477" spans="1:13" ht="15.75">
      <c r="A477" s="381"/>
      <c r="B477" s="364"/>
      <c r="C477" s="364"/>
      <c r="F477" s="330">
        <f t="shared" si="25"/>
        <v>0</v>
      </c>
      <c r="G477" s="330">
        <v>0</v>
      </c>
      <c r="M477" s="514"/>
    </row>
    <row r="478" spans="1:13" ht="12.75">
      <c r="A478" s="381"/>
      <c r="B478" s="364" t="s">
        <v>585</v>
      </c>
      <c r="C478" s="364"/>
      <c r="F478" s="330">
        <f t="shared" si="25"/>
        <v>1444926</v>
      </c>
      <c r="G478" s="330">
        <v>0</v>
      </c>
      <c r="H478" s="330">
        <v>1444926292</v>
      </c>
    </row>
    <row r="479" spans="1:13">
      <c r="G479" s="330">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2017-10-27T07:00:00+00:00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0E30BC27-63FB-499E-B2C2-5F1898CC2B00}"/>
</file>

<file path=customXml/itemProps2.xml><?xml version="1.0" encoding="utf-8"?>
<ds:datastoreItem xmlns:ds="http://schemas.openxmlformats.org/officeDocument/2006/customXml" ds:itemID="{9B0B4DED-B9A8-4457-BC2C-15913595D7D6}"/>
</file>

<file path=customXml/itemProps3.xml><?xml version="1.0" encoding="utf-8"?>
<ds:datastoreItem xmlns:ds="http://schemas.openxmlformats.org/officeDocument/2006/customXml" ds:itemID="{8CDF9A66-8C96-4E72-B66E-492829F98CFC}"/>
</file>

<file path=customXml/itemProps4.xml><?xml version="1.0" encoding="utf-8"?>
<ds:datastoreItem xmlns:ds="http://schemas.openxmlformats.org/officeDocument/2006/customXml" ds:itemID="{2853065F-AC8E-4A91-88E9-D857FAE597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Exh. No. BGM-3 1</vt:lpstr>
      <vt:lpstr>Exh. No. BGM-3 2</vt:lpstr>
      <vt:lpstr>Exh. No. BGM-3 3</vt:lpstr>
      <vt:lpstr>Exh. No. BGM-3 4</vt:lpstr>
      <vt:lpstr>Workpapers-&gt;</vt:lpstr>
      <vt:lpstr>ADJ SUMMARY</vt:lpstr>
      <vt:lpstr>LEAD SHEETS-DO NOT ENTER</vt:lpstr>
      <vt:lpstr>ROO INPUT</vt:lpstr>
      <vt:lpstr>DEBT CALC</vt:lpstr>
      <vt:lpstr>COMPARISON</vt:lpstr>
      <vt:lpstr>PROPOSED RATES-2018-NOT USED</vt:lpstr>
      <vt:lpstr>RETAIL REVENUE CREDIT-not used</vt:lpstr>
      <vt:lpstr>PROPOSED RATES-2019-not used</vt:lpstr>
      <vt:lpstr>ID_Elec</vt:lpstr>
      <vt:lpstr>'ADJ SUMMARY'!Print_Area</vt:lpstr>
      <vt:lpstr>COMPARISON!Print_Area</vt:lpstr>
      <vt:lpstr>'DEBT CALC'!Print_Area</vt:lpstr>
      <vt:lpstr>'Exh. No. BGM-3 1'!Print_Area</vt:lpstr>
      <vt:lpstr>'Exh. No. BGM-3 2'!Print_Area</vt:lpstr>
      <vt:lpstr>'Exh. No. BGM-3 3'!Print_Area</vt:lpstr>
      <vt:lpstr>'Exh. No. BGM-3 4'!Print_Area</vt:lpstr>
      <vt:lpstr>'LEAD SHEETS-DO NOT ENTER'!Print_Area</vt:lpstr>
      <vt:lpstr>'PROPOSED RATES-2018-NOT USED'!Print_Area</vt:lpstr>
      <vt:lpstr>'PROPOSED RATES-2019-not used'!Print_Area</vt:lpstr>
      <vt:lpstr>'RETAIL REVENUE CREDIT-not used'!Print_Area</vt:lpstr>
      <vt:lpstr>'ROO INPUT'!Print_Area</vt:lpstr>
      <vt:lpstr>COMPARISON!Print_for_CBReport</vt:lpstr>
      <vt:lpstr>'RETAIL REVENUE CREDIT-not used'!Print_for_CBReport</vt:lpstr>
      <vt:lpstr>Print_for_CBReport</vt:lpstr>
      <vt:lpstr>'RETAIL REVENUE CREDIT-not used'!Print_for_Checking</vt:lpstr>
      <vt:lpstr>'Exh. No. BGM-3 1'!Print_Titles</vt:lpstr>
      <vt:lpstr>'Exh. No. BGM-3 4'!Print_Titles</vt:lpstr>
      <vt:lpstr>'LEAD SHEETS-DO NOT ENTER'!Print_Titles</vt:lpstr>
      <vt:lpstr>'RETAIL REVENUE CREDIT-not used'!Print_Titles</vt:lpstr>
      <vt:lpstr>'ROO INPUT'!Print_Titles</vt:lpstr>
      <vt:lpstr>RRC_Adjustment_Print</vt:lpstr>
      <vt:lpstr>RRC_Rate_Print</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Mullins</cp:lastModifiedBy>
  <cp:lastPrinted>2017-05-24T18:13:09Z</cp:lastPrinted>
  <dcterms:created xsi:type="dcterms:W3CDTF">1997-05-15T21:41:44Z</dcterms:created>
  <dcterms:modified xsi:type="dcterms:W3CDTF">2017-10-27T15:49:54Z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