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0100" windowHeight="8736"/>
  </bookViews>
  <sheets>
    <sheet name="SEF-4" sheetId="1" r:id="rId1"/>
  </sheets>
  <externalReferences>
    <externalReference r:id="rId2"/>
  </externalReferences>
  <definedNames>
    <definedName name="keep_PSE">'[1]SEF-6'!$A$5</definedName>
    <definedName name="keep_TESTYEAR">'[1]SEF-6'!$A$7</definedName>
    <definedName name="kp_DOCKET">'[1]SEF-6'!$A$8</definedName>
  </definedNames>
  <calcPr calcId="145621" calcMode="autoNoTable" calcOnSave="0"/>
</workbook>
</file>

<file path=xl/calcChain.xml><?xml version="1.0" encoding="utf-8"?>
<calcChain xmlns="http://schemas.openxmlformats.org/spreadsheetml/2006/main">
  <c r="AB59" i="1" l="1"/>
  <c r="AB48" i="1" s="1"/>
  <c r="AH58" i="1"/>
  <c r="AI58" i="1" s="1"/>
  <c r="U58" i="1"/>
  <c r="D58" i="1"/>
  <c r="E58" i="1" s="1"/>
  <c r="G58" i="1" s="1"/>
  <c r="C58" i="1"/>
  <c r="AF57" i="1"/>
  <c r="AF59" i="1" s="1"/>
  <c r="AF48" i="1" s="1"/>
  <c r="AE57" i="1"/>
  <c r="AE59" i="1" s="1"/>
  <c r="AE48" i="1" s="1"/>
  <c r="AD57" i="1"/>
  <c r="AD59" i="1" s="1"/>
  <c r="AD48" i="1" s="1"/>
  <c r="AC57" i="1"/>
  <c r="AC59" i="1" s="1"/>
  <c r="AC48" i="1" s="1"/>
  <c r="AB57" i="1"/>
  <c r="AA57" i="1"/>
  <c r="AA59" i="1" s="1"/>
  <c r="AA48" i="1" s="1"/>
  <c r="Z57" i="1"/>
  <c r="Z59" i="1" s="1"/>
  <c r="Z48" i="1" s="1"/>
  <c r="Y57" i="1"/>
  <c r="Y59" i="1" s="1"/>
  <c r="Y48" i="1" s="1"/>
  <c r="X57" i="1"/>
  <c r="X59" i="1" s="1"/>
  <c r="X48" i="1" s="1"/>
  <c r="W57" i="1"/>
  <c r="W59" i="1" s="1"/>
  <c r="W48" i="1" s="1"/>
  <c r="V57" i="1"/>
  <c r="V59" i="1" s="1"/>
  <c r="V48" i="1" s="1"/>
  <c r="T57" i="1"/>
  <c r="T59" i="1" s="1"/>
  <c r="T48" i="1" s="1"/>
  <c r="S57" i="1"/>
  <c r="S59" i="1" s="1"/>
  <c r="S48" i="1" s="1"/>
  <c r="R57" i="1"/>
  <c r="R59" i="1" s="1"/>
  <c r="R48" i="1" s="1"/>
  <c r="O57" i="1"/>
  <c r="O59" i="1" s="1"/>
  <c r="O48" i="1" s="1"/>
  <c r="N57" i="1"/>
  <c r="N59" i="1" s="1"/>
  <c r="N48" i="1" s="1"/>
  <c r="M57" i="1"/>
  <c r="M59" i="1" s="1"/>
  <c r="M48" i="1" s="1"/>
  <c r="L57" i="1"/>
  <c r="L59" i="1" s="1"/>
  <c r="L48" i="1" s="1"/>
  <c r="K57" i="1"/>
  <c r="K59" i="1" s="1"/>
  <c r="K48" i="1" s="1"/>
  <c r="J57" i="1"/>
  <c r="J59" i="1" s="1"/>
  <c r="J48" i="1" s="1"/>
  <c r="AH56" i="1"/>
  <c r="AI56" i="1" s="1"/>
  <c r="U56" i="1"/>
  <c r="U57" i="1" s="1"/>
  <c r="U59" i="1" s="1"/>
  <c r="U48" i="1" s="1"/>
  <c r="D56" i="1"/>
  <c r="C56" i="1"/>
  <c r="AG55" i="1"/>
  <c r="AE55" i="1"/>
  <c r="U55" i="1"/>
  <c r="Q55" i="1"/>
  <c r="AH55" i="1" s="1"/>
  <c r="AI55" i="1" s="1"/>
  <c r="P55" i="1"/>
  <c r="D55" i="1"/>
  <c r="C55" i="1"/>
  <c r="AG54" i="1"/>
  <c r="AE54" i="1"/>
  <c r="U54" i="1"/>
  <c r="Q54" i="1"/>
  <c r="Q57" i="1" s="1"/>
  <c r="Q59" i="1" s="1"/>
  <c r="Q48" i="1" s="1"/>
  <c r="P54" i="1"/>
  <c r="P57" i="1" s="1"/>
  <c r="P59" i="1" s="1"/>
  <c r="P48" i="1" s="1"/>
  <c r="D54" i="1"/>
  <c r="C54" i="1"/>
  <c r="AH53" i="1"/>
  <c r="AI53" i="1" s="1"/>
  <c r="AG53" i="1"/>
  <c r="AG57" i="1" s="1"/>
  <c r="AG59" i="1" s="1"/>
  <c r="AG48" i="1" s="1"/>
  <c r="AE53" i="1"/>
  <c r="U53" i="1"/>
  <c r="D53" i="1"/>
  <c r="C53" i="1"/>
  <c r="E53" i="1" s="1"/>
  <c r="G53" i="1" s="1"/>
  <c r="C50" i="1"/>
  <c r="E48" i="1"/>
  <c r="G48" i="1" s="1"/>
  <c r="D48" i="1"/>
  <c r="C48" i="1"/>
  <c r="AD44" i="1"/>
  <c r="AD46" i="1" s="1"/>
  <c r="V44" i="1"/>
  <c r="N44" i="1"/>
  <c r="N43" i="1"/>
  <c r="AH43" i="1" s="1"/>
  <c r="AI43" i="1" s="1"/>
  <c r="D43" i="1"/>
  <c r="C43" i="1"/>
  <c r="AG42" i="1"/>
  <c r="AF42" i="1"/>
  <c r="AE42" i="1"/>
  <c r="AD42" i="1"/>
  <c r="AC42" i="1"/>
  <c r="AC44" i="1" s="1"/>
  <c r="AB42" i="1"/>
  <c r="AA42" i="1"/>
  <c r="Z42" i="1"/>
  <c r="Y42" i="1"/>
  <c r="X42" i="1"/>
  <c r="W42" i="1"/>
  <c r="V42" i="1"/>
  <c r="T42" i="1"/>
  <c r="S42" i="1"/>
  <c r="R42" i="1"/>
  <c r="Q42" i="1"/>
  <c r="P42" i="1"/>
  <c r="O42" i="1"/>
  <c r="O44" i="1" s="1"/>
  <c r="N42" i="1"/>
  <c r="M42" i="1"/>
  <c r="L42" i="1"/>
  <c r="AH42" i="1" s="1"/>
  <c r="AI42" i="1" s="1"/>
  <c r="K42" i="1"/>
  <c r="E42" i="1"/>
  <c r="D42" i="1"/>
  <c r="C42" i="1"/>
  <c r="AG41" i="1"/>
  <c r="AF41" i="1"/>
  <c r="Z41" i="1"/>
  <c r="S41" i="1"/>
  <c r="M41" i="1"/>
  <c r="L41" i="1"/>
  <c r="K41" i="1"/>
  <c r="D41" i="1"/>
  <c r="E41" i="1" s="1"/>
  <c r="C41" i="1"/>
  <c r="AH40" i="1"/>
  <c r="AI40" i="1" s="1"/>
  <c r="D40" i="1"/>
  <c r="C40" i="1"/>
  <c r="E40" i="1" s="1"/>
  <c r="G40" i="1" s="1"/>
  <c r="AH39" i="1"/>
  <c r="AI39" i="1" s="1"/>
  <c r="AC39" i="1"/>
  <c r="W39" i="1"/>
  <c r="W44" i="1" s="1"/>
  <c r="E39" i="1"/>
  <c r="G39" i="1" s="1"/>
  <c r="D39" i="1"/>
  <c r="C39" i="1"/>
  <c r="AH38" i="1"/>
  <c r="AI38" i="1" s="1"/>
  <c r="D38" i="1"/>
  <c r="C38" i="1"/>
  <c r="P37" i="1"/>
  <c r="P44" i="1" s="1"/>
  <c r="D37" i="1"/>
  <c r="C37" i="1"/>
  <c r="AG36" i="1"/>
  <c r="AG44" i="1" s="1"/>
  <c r="AE36" i="1"/>
  <c r="P36" i="1"/>
  <c r="E36" i="1"/>
  <c r="G36" i="1" s="1"/>
  <c r="D36" i="1"/>
  <c r="C36" i="1"/>
  <c r="AI35" i="1"/>
  <c r="AG35" i="1"/>
  <c r="AF35" i="1"/>
  <c r="AE35" i="1"/>
  <c r="AE44" i="1" s="1"/>
  <c r="AB35" i="1"/>
  <c r="AB44" i="1" s="1"/>
  <c r="AA35" i="1"/>
  <c r="Z35" i="1"/>
  <c r="Y35" i="1"/>
  <c r="Y44" i="1" s="1"/>
  <c r="X35" i="1"/>
  <c r="X44" i="1" s="1"/>
  <c r="V35" i="1"/>
  <c r="T35" i="1"/>
  <c r="S35" i="1"/>
  <c r="Q35" i="1"/>
  <c r="M35" i="1"/>
  <c r="L35" i="1"/>
  <c r="K35" i="1"/>
  <c r="AH35" i="1" s="1"/>
  <c r="E35" i="1"/>
  <c r="D35" i="1"/>
  <c r="C35" i="1"/>
  <c r="AH34" i="1"/>
  <c r="AI34" i="1" s="1"/>
  <c r="M34" i="1"/>
  <c r="D34" i="1"/>
  <c r="E34" i="1" s="1"/>
  <c r="G34" i="1" s="1"/>
  <c r="C34" i="1"/>
  <c r="Z33" i="1"/>
  <c r="S33" i="1"/>
  <c r="M33" i="1"/>
  <c r="M44" i="1" s="1"/>
  <c r="M46" i="1" s="1"/>
  <c r="D33" i="1"/>
  <c r="C33" i="1"/>
  <c r="E33" i="1" s="1"/>
  <c r="G33" i="1" s="1"/>
  <c r="AG32" i="1"/>
  <c r="AD32" i="1"/>
  <c r="Z32" i="1"/>
  <c r="U32" i="1"/>
  <c r="S32" i="1"/>
  <c r="R32" i="1"/>
  <c r="R44" i="1" s="1"/>
  <c r="M32" i="1"/>
  <c r="L32" i="1"/>
  <c r="K32" i="1"/>
  <c r="D32" i="1"/>
  <c r="C32" i="1"/>
  <c r="Z31" i="1"/>
  <c r="AH31" i="1" s="1"/>
  <c r="AI31" i="1" s="1"/>
  <c r="S31" i="1"/>
  <c r="D31" i="1"/>
  <c r="C31" i="1"/>
  <c r="E31" i="1" s="1"/>
  <c r="G31" i="1" s="1"/>
  <c r="AH30" i="1"/>
  <c r="AI30" i="1" s="1"/>
  <c r="Z30" i="1"/>
  <c r="D30" i="1"/>
  <c r="E30" i="1" s="1"/>
  <c r="G30" i="1" s="1"/>
  <c r="C30" i="1"/>
  <c r="Z29" i="1"/>
  <c r="Z44" i="1" s="1"/>
  <c r="S29" i="1"/>
  <c r="D29" i="1"/>
  <c r="D44" i="1" s="1"/>
  <c r="C29" i="1"/>
  <c r="AG27" i="1"/>
  <c r="AF27" i="1"/>
  <c r="AE27" i="1"/>
  <c r="AC27" i="1"/>
  <c r="AB27" i="1"/>
  <c r="AA27" i="1"/>
  <c r="AA44" i="1" s="1"/>
  <c r="Z27" i="1"/>
  <c r="Y27" i="1"/>
  <c r="X27" i="1"/>
  <c r="W27" i="1"/>
  <c r="V27" i="1"/>
  <c r="U27" i="1"/>
  <c r="U44" i="1" s="1"/>
  <c r="T27" i="1"/>
  <c r="S27" i="1"/>
  <c r="R27" i="1"/>
  <c r="Q27" i="1"/>
  <c r="Q44" i="1" s="1"/>
  <c r="P27" i="1"/>
  <c r="O27" i="1"/>
  <c r="N27" i="1"/>
  <c r="L27" i="1"/>
  <c r="J27" i="1"/>
  <c r="J44" i="1" s="1"/>
  <c r="F27" i="1"/>
  <c r="AI25" i="1"/>
  <c r="M25" i="1"/>
  <c r="M27" i="1" s="1"/>
  <c r="L25" i="1"/>
  <c r="K25" i="1"/>
  <c r="AH25" i="1" s="1"/>
  <c r="AH27" i="1" s="1"/>
  <c r="E25" i="1"/>
  <c r="G25" i="1" s="1"/>
  <c r="G27" i="1" s="1"/>
  <c r="D25" i="1"/>
  <c r="D27" i="1" s="1"/>
  <c r="C25" i="1"/>
  <c r="C27" i="1" s="1"/>
  <c r="AF18" i="1"/>
  <c r="AE18" i="1"/>
  <c r="AE46" i="1" s="1"/>
  <c r="AC18" i="1"/>
  <c r="AB18" i="1"/>
  <c r="AA18" i="1"/>
  <c r="AA46" i="1" s="1"/>
  <c r="Z18" i="1"/>
  <c r="Y18" i="1"/>
  <c r="X18" i="1"/>
  <c r="W18" i="1"/>
  <c r="V18" i="1"/>
  <c r="U18" i="1"/>
  <c r="U46" i="1" s="1"/>
  <c r="T18" i="1"/>
  <c r="S18" i="1"/>
  <c r="R18" i="1"/>
  <c r="Q18" i="1"/>
  <c r="P18" i="1"/>
  <c r="P46" i="1" s="1"/>
  <c r="O18" i="1"/>
  <c r="N18" i="1"/>
  <c r="L18" i="1"/>
  <c r="J18" i="1"/>
  <c r="F18" i="1"/>
  <c r="M17" i="1"/>
  <c r="K17" i="1"/>
  <c r="F17" i="1"/>
  <c r="E17" i="1"/>
  <c r="D17" i="1"/>
  <c r="C17" i="1"/>
  <c r="AH16" i="1"/>
  <c r="AI16" i="1" s="1"/>
  <c r="D16" i="1"/>
  <c r="E16" i="1" s="1"/>
  <c r="G16" i="1" s="1"/>
  <c r="C16" i="1"/>
  <c r="AG15" i="1"/>
  <c r="AG18" i="1" s="1"/>
  <c r="M15" i="1"/>
  <c r="M18" i="1" s="1"/>
  <c r="L15" i="1"/>
  <c r="K15" i="1"/>
  <c r="K18" i="1" s="1"/>
  <c r="D15" i="1"/>
  <c r="C15" i="1"/>
  <c r="C18" i="1" s="1"/>
  <c r="A15" i="1"/>
  <c r="A16" i="1" s="1"/>
  <c r="L12" i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C7" i="1"/>
  <c r="Z6" i="1"/>
  <c r="Q6" i="1"/>
  <c r="J6" i="1"/>
  <c r="C6" i="1"/>
  <c r="C4" i="1"/>
  <c r="I17" i="1" l="1"/>
  <c r="AB46" i="1"/>
  <c r="Q46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X46" i="1"/>
  <c r="C57" i="1"/>
  <c r="C59" i="1" s="1"/>
  <c r="AC46" i="1"/>
  <c r="C44" i="1"/>
  <c r="C46" i="1" s="1"/>
  <c r="Y46" i="1"/>
  <c r="AI27" i="1"/>
  <c r="AG46" i="1"/>
  <c r="D18" i="1"/>
  <c r="D46" i="1" s="1"/>
  <c r="AH15" i="1"/>
  <c r="R46" i="1"/>
  <c r="V46" i="1"/>
  <c r="Z46" i="1"/>
  <c r="E29" i="1"/>
  <c r="AH29" i="1"/>
  <c r="AH36" i="1"/>
  <c r="AI36" i="1" s="1"/>
  <c r="AH37" i="1"/>
  <c r="AI37" i="1" s="1"/>
  <c r="E54" i="1"/>
  <c r="G54" i="1" s="1"/>
  <c r="E55" i="1"/>
  <c r="G55" i="1" s="1"/>
  <c r="E56" i="1"/>
  <c r="G56" i="1" s="1"/>
  <c r="D57" i="1"/>
  <c r="D59" i="1" s="1"/>
  <c r="E15" i="1"/>
  <c r="AH17" i="1"/>
  <c r="AI17" i="1" s="1"/>
  <c r="J46" i="1"/>
  <c r="J50" i="1" s="1"/>
  <c r="O46" i="1"/>
  <c r="W46" i="1"/>
  <c r="K44" i="1"/>
  <c r="AH32" i="1"/>
  <c r="AI32" i="1" s="1"/>
  <c r="AH33" i="1"/>
  <c r="AI33" i="1" s="1"/>
  <c r="T44" i="1"/>
  <c r="T46" i="1" s="1"/>
  <c r="AF44" i="1"/>
  <c r="AF46" i="1" s="1"/>
  <c r="E37" i="1"/>
  <c r="G37" i="1" s="1"/>
  <c r="E38" i="1"/>
  <c r="G38" i="1" s="1"/>
  <c r="F32" i="1"/>
  <c r="F41" i="1"/>
  <c r="G41" i="1" s="1"/>
  <c r="F35" i="1"/>
  <c r="G35" i="1" s="1"/>
  <c r="E27" i="1"/>
  <c r="N46" i="1"/>
  <c r="F15" i="1"/>
  <c r="G17" i="1"/>
  <c r="K27" i="1"/>
  <c r="S44" i="1"/>
  <c r="S46" i="1" s="1"/>
  <c r="E32" i="1"/>
  <c r="L44" i="1"/>
  <c r="L46" i="1" s="1"/>
  <c r="AH41" i="1"/>
  <c r="AI41" i="1" s="1"/>
  <c r="F42" i="1"/>
  <c r="G42" i="1" s="1"/>
  <c r="E43" i="1"/>
  <c r="G43" i="1" s="1"/>
  <c r="AH54" i="1"/>
  <c r="AI54" i="1" s="1"/>
  <c r="AI57" i="1" s="1"/>
  <c r="AI59" i="1" s="1"/>
  <c r="G57" i="1" l="1"/>
  <c r="G59" i="1" s="1"/>
  <c r="K46" i="1"/>
  <c r="E57" i="1"/>
  <c r="E59" i="1" s="1"/>
  <c r="F44" i="1"/>
  <c r="F46" i="1" s="1"/>
  <c r="AH44" i="1"/>
  <c r="AI29" i="1"/>
  <c r="AI44" i="1" s="1"/>
  <c r="AH57" i="1"/>
  <c r="AH59" i="1" s="1"/>
  <c r="AH48" i="1" s="1"/>
  <c r="AI48" i="1" s="1"/>
  <c r="G15" i="1"/>
  <c r="G18" i="1" s="1"/>
  <c r="E18" i="1"/>
  <c r="E44" i="1"/>
  <c r="G29" i="1"/>
  <c r="AH18" i="1"/>
  <c r="AI15" i="1"/>
  <c r="G32" i="1"/>
  <c r="I15" i="1"/>
  <c r="G44" i="1" l="1"/>
  <c r="G46" i="1" s="1"/>
  <c r="G50" i="1" s="1"/>
  <c r="AH46" i="1"/>
  <c r="AI18" i="1"/>
  <c r="AI46" i="1" s="1"/>
  <c r="AI50" i="1" s="1"/>
  <c r="E46" i="1"/>
  <c r="E50" i="1" s="1"/>
  <c r="I18" i="1"/>
</calcChain>
</file>

<file path=xl/sharedStrings.xml><?xml version="1.0" encoding="utf-8"?>
<sst xmlns="http://schemas.openxmlformats.org/spreadsheetml/2006/main" count="155" uniqueCount="111">
  <si>
    <t>Exhibit No. ___(SEF-4)</t>
  </si>
  <si>
    <t>Page 1 of 4</t>
  </si>
  <si>
    <t>Page 2 of 4</t>
  </si>
  <si>
    <t>Page 3 of 4</t>
  </si>
  <si>
    <t>Page 4 of 4</t>
  </si>
  <si>
    <t>Page 4.02</t>
  </si>
  <si>
    <t>Page 4.03</t>
  </si>
  <si>
    <t>Page 4.04</t>
  </si>
  <si>
    <t>PUGET SOUND ENERGY-GAS</t>
  </si>
  <si>
    <t>RESULTS OF OPERATIONS</t>
  </si>
  <si>
    <t/>
  </si>
  <si>
    <t>STATEMENT OF OPERATING INCOME AND ADJUSTMENTS</t>
  </si>
  <si>
    <t>Adjustment Summary (Page 1)</t>
  </si>
  <si>
    <t>Adjustment Summary (Page 2)</t>
  </si>
  <si>
    <t>Adjustment Summary (Page 4)</t>
  </si>
  <si>
    <t>ACTUAL</t>
  </si>
  <si>
    <t>ADJUSTED</t>
  </si>
  <si>
    <t>REVENUE</t>
  </si>
  <si>
    <t>AFTER</t>
  </si>
  <si>
    <t>ACTUAL RESULTS OF</t>
  </si>
  <si>
    <t>REVENUE &amp;</t>
  </si>
  <si>
    <t>TEMPERATURE</t>
  </si>
  <si>
    <t>PASS THROUGH</t>
  </si>
  <si>
    <t xml:space="preserve">FEDERAL </t>
  </si>
  <si>
    <t>TAX BENEFIT OF</t>
  </si>
  <si>
    <t>DEPRECIATION</t>
  </si>
  <si>
    <t>INJURIES &amp;</t>
  </si>
  <si>
    <t xml:space="preserve">BAD </t>
  </si>
  <si>
    <t>INCENTIVE</t>
  </si>
  <si>
    <t>D&amp;O</t>
  </si>
  <si>
    <t>INTEREST ON</t>
  </si>
  <si>
    <t>RATE CASE</t>
  </si>
  <si>
    <t>DEFERRED GAINS/</t>
  </si>
  <si>
    <t>PROPERTY&amp;</t>
  </si>
  <si>
    <t>PENSION</t>
  </si>
  <si>
    <t>WAGE</t>
  </si>
  <si>
    <t>INVESTMENT</t>
  </si>
  <si>
    <t>EMPLOYEE</t>
  </si>
  <si>
    <t>ENVIRONMENTAL</t>
  </si>
  <si>
    <t>PAYMENT</t>
  </si>
  <si>
    <t xml:space="preserve">SOUTH KING  </t>
  </si>
  <si>
    <t>WUTC FILING FEE</t>
  </si>
  <si>
    <t xml:space="preserve">COST </t>
  </si>
  <si>
    <t>TOTAL</t>
  </si>
  <si>
    <t>LINE</t>
  </si>
  <si>
    <t>RESULTS OF</t>
  </si>
  <si>
    <t>REQUIREMENT</t>
  </si>
  <si>
    <t>RATE</t>
  </si>
  <si>
    <t>OPERATIONS</t>
  </si>
  <si>
    <t>EXPENSES</t>
  </si>
  <si>
    <t>NORMALIZATION</t>
  </si>
  <si>
    <t>REVENUE &amp; EXPENSE</t>
  </si>
  <si>
    <t>INCOME TAX</t>
  </si>
  <si>
    <t>PRO FORMA INTEREST</t>
  </si>
  <si>
    <t>STUDY</t>
  </si>
  <si>
    <t xml:space="preserve"> DAMAGES</t>
  </si>
  <si>
    <t>DEBTS</t>
  </si>
  <si>
    <t>PAY</t>
  </si>
  <si>
    <t>INSURANCE</t>
  </si>
  <si>
    <t>CUSTOMER DEPOSITS</t>
  </si>
  <si>
    <t>LOSSES PROP SALES</t>
  </si>
  <si>
    <t>LIABILITY INS</t>
  </si>
  <si>
    <t>PLAN</t>
  </si>
  <si>
    <t>INCREASE</t>
  </si>
  <si>
    <t>REMEDIATION</t>
  </si>
  <si>
    <t>PROCESSING COSTS</t>
  </si>
  <si>
    <t>SERVICE CENTER</t>
  </si>
  <si>
    <t>EXCISE TAX</t>
  </si>
  <si>
    <t>RCVRY MECH</t>
  </si>
  <si>
    <t>ADJUSTMENTS</t>
  </si>
  <si>
    <t>NO.</t>
  </si>
  <si>
    <t>DEFICIENCY</t>
  </si>
  <si>
    <t>12ME Sept 30, 2016</t>
  </si>
  <si>
    <t>-</t>
  </si>
  <si>
    <t>OPERATING REVENUES:</t>
  </si>
  <si>
    <t>Rate Increase</t>
  </si>
  <si>
    <t>SALES TO CUSTOMERS</t>
  </si>
  <si>
    <t>MUNICIPAL ADDITIONS</t>
  </si>
  <si>
    <t>OTHER OPERATING REVENUES</t>
  </si>
  <si>
    <t xml:space="preserve"> </t>
  </si>
  <si>
    <t>TOTAL OPERATING REVENUES</t>
  </si>
  <si>
    <t>OPERATING REVENUE DEDUCTIONS:</t>
  </si>
  <si>
    <t>GAS COSTS:</t>
  </si>
  <si>
    <t xml:space="preserve"> PURCHASED GAS</t>
  </si>
  <si>
    <t>TOTAL PRODUCTION EXPENSES</t>
  </si>
  <si>
    <t>OTHER POWER SUPPLY EXPENSES</t>
  </si>
  <si>
    <t>TRANSMISSION EXPENSE</t>
  </si>
  <si>
    <t>DISTRIBUTION EXPENSE</t>
  </si>
  <si>
    <t>CUSTOMER ACCOUNT EXPENSES</t>
  </si>
  <si>
    <t>CUSTOMER SERVICE EXPENSES</t>
  </si>
  <si>
    <t>CONSERVATION AMORTIZATION</t>
  </si>
  <si>
    <t>ADMIN &amp; GENERAL EXPENSE</t>
  </si>
  <si>
    <t>AMORTIZATION</t>
  </si>
  <si>
    <t>AMORTIZATION OF PROPERTY LOSS</t>
  </si>
  <si>
    <t>OTHER OPERATING EXPENSES</t>
  </si>
  <si>
    <t>ASC 815</t>
  </si>
  <si>
    <t>TAXES OTHER THAN INCOME TAXES</t>
  </si>
  <si>
    <t>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</si>
  <si>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</si>
  <si>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</si>
  <si>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</si>
  <si>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</si>
  <si>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</si>
  <si>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</si>
  <si>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 xml:space="preserve">  UTILITY PLANT IN SERVICE</t>
  </si>
  <si>
    <t xml:space="preserve">  ACCUMULATED DEPRECIATION</t>
  </si>
  <si>
    <t xml:space="preserve">  ACCUMULATED DEFERRED FIT</t>
  </si>
  <si>
    <t xml:space="preserve">  OTHER</t>
  </si>
  <si>
    <t>TOTAL NET INVESTMENT</t>
  </si>
  <si>
    <t xml:space="preserve">  ALLOWANCE FOR WORKING CAPITAL</t>
  </si>
  <si>
    <t>TOTAL RATE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</si>
</sst>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0.000000"/>
    <numFmt numFmtId="165" formatCode="&quot;Adj.&quot;\ 0.00"/>
    <numFmt numFmtId="166" formatCode="#,##0;\(#,##0\)"/>
    <numFmt numFmtId="167" formatCode="0.0%"/>
    <numFmt numFmtId="168" formatCode="_(&quot;$&quot;* #,##0.0000_);_(&quot;$&quot;* \(#,##0.0000\);_(&quot;$&quot;* &quot;-&quot;??_);_(@_)"/>
    <numFmt numFmtId="169" formatCode="_(&quot;$&quot;* #,##0_);[Red]_(&quot;$&quot;* \(#,##0\);_(&quot;$&quot;* &quot;-&quot;_);_(@_)"/>
    <numFmt numFmtId="170" formatCode="_(* #,##0_);[Red]_(* \(#,##0\);_(* &quot;-&quot;_);_(@_)"/>
  </numFmts>
  <fonts count="7" x14ac:knownFonts="1">
    <font>
      <sz val="11"/>
      <color theme="1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u/>
      <sz val="10"/>
      <name val="Times New Roman"/>
      <family val="1"/>
    </font>
    <font>
      <sz val="8"/>
      <name val="Helv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Fill="1" applyAlignment="1"/>
    <xf numFmtId="0" fontId="2" fillId="0" borderId="0" xfId="0" applyNumberFormat="1" applyFont="1" applyFill="1" applyAlignment="1"/>
    <xf numFmtId="0" fontId="1" fillId="0" borderId="0" xfId="0" applyNumberFormat="1" applyFont="1" applyFill="1" applyAlignment="1"/>
    <xf numFmtId="14" fontId="3" fillId="0" borderId="0" xfId="0" applyNumberFormat="1" applyFont="1" applyFill="1" applyAlignment="1"/>
    <xf numFmtId="164" fontId="1" fillId="0" borderId="0" xfId="0" applyNumberFormat="1" applyFont="1" applyFill="1" applyAlignment="1">
      <alignment horizontal="right"/>
    </xf>
    <xf numFmtId="42" fontId="2" fillId="0" borderId="0" xfId="0" applyNumberFormat="1" applyFont="1" applyFill="1" applyAlignment="1" applyProtection="1">
      <protection locked="0"/>
    </xf>
    <xf numFmtId="0" fontId="1" fillId="0" borderId="0" xfId="0" applyFont="1" applyFill="1" applyAlignment="1">
      <alignment horizontal="right"/>
    </xf>
    <xf numFmtId="0" fontId="0" fillId="0" borderId="0" xfId="0" applyNumberFormat="1" applyAlignment="1"/>
    <xf numFmtId="3" fontId="2" fillId="0" borderId="0" xfId="0" applyNumberFormat="1" applyFont="1" applyFill="1" applyAlignment="1"/>
    <xf numFmtId="0" fontId="1" fillId="0" borderId="0" xfId="0" applyNumberFormat="1" applyFont="1" applyFill="1" applyAlignment="1">
      <alignment horizontal="right"/>
    </xf>
    <xf numFmtId="41" fontId="2" fillId="0" borderId="0" xfId="0" applyNumberFormat="1" applyFont="1" applyFill="1" applyAlignment="1" applyProtection="1">
      <protection locked="0"/>
    </xf>
    <xf numFmtId="0" fontId="2" fillId="0" borderId="0" xfId="0" applyNumberFormat="1" applyFont="1" applyFill="1" applyAlignment="1">
      <alignment horizontal="centerContinuous"/>
    </xf>
    <xf numFmtId="165" fontId="1" fillId="0" borderId="1" xfId="0" quotePrefix="1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centerContinuous" vertical="center"/>
      <protection locked="0"/>
    </xf>
    <xf numFmtId="0" fontId="1" fillId="0" borderId="0" xfId="0" quotePrefix="1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Continuous"/>
    </xf>
    <xf numFmtId="0" fontId="1" fillId="0" borderId="0" xfId="0" quotePrefix="1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quotePrefix="1" applyNumberFormat="1" applyFont="1" applyFill="1" applyAlignment="1">
      <alignment horizontal="fill"/>
    </xf>
    <xf numFmtId="0" fontId="4" fillId="0" borderId="0" xfId="0" applyNumberFormat="1" applyFont="1" applyFill="1" applyAlignment="1">
      <alignment horizontal="centerContinuous"/>
    </xf>
    <xf numFmtId="0" fontId="1" fillId="0" borderId="0" xfId="0" applyNumberFormat="1" applyFont="1" applyFill="1" applyAlignment="1">
      <alignment horizontal="fill"/>
    </xf>
    <xf numFmtId="0" fontId="2" fillId="0" borderId="0" xfId="0" applyNumberFormat="1" applyFont="1" applyFill="1" applyBorder="1" applyAlignment="1"/>
    <xf numFmtId="2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0" fontId="2" fillId="0" borderId="0" xfId="0" applyNumberFormat="1" applyFont="1" applyFill="1" applyAlignment="1">
      <alignment horizontal="fill"/>
    </xf>
    <xf numFmtId="0" fontId="2" fillId="0" borderId="0" xfId="0" quotePrefix="1" applyNumberFormat="1" applyFont="1" applyFill="1" applyAlignment="1">
      <alignment horizontal="fill"/>
    </xf>
    <xf numFmtId="0" fontId="2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Alignment="1"/>
    <xf numFmtId="41" fontId="2" fillId="0" borderId="3" xfId="0" applyNumberFormat="1" applyFont="1" applyFill="1" applyBorder="1" applyAlignment="1">
      <alignment horizontal="right"/>
    </xf>
    <xf numFmtId="166" fontId="2" fillId="0" borderId="0" xfId="0" applyNumberFormat="1" applyFont="1" applyFill="1" applyAlignment="1" applyProtection="1">
      <protection locked="0"/>
    </xf>
    <xf numFmtId="42" fontId="2" fillId="0" borderId="0" xfId="0" applyNumberFormat="1" applyFont="1" applyFill="1" applyAlignment="1"/>
    <xf numFmtId="0" fontId="2" fillId="0" borderId="0" xfId="0" applyNumberFormat="1" applyFont="1" applyFill="1" applyAlignment="1">
      <alignment horizontal="left"/>
    </xf>
    <xf numFmtId="42" fontId="2" fillId="0" borderId="0" xfId="0" applyNumberFormat="1" applyFont="1" applyFill="1" applyAlignment="1">
      <alignment horizontal="right"/>
    </xf>
    <xf numFmtId="167" fontId="4" fillId="0" borderId="4" xfId="0" applyNumberFormat="1" applyFont="1" applyFill="1" applyBorder="1" applyAlignment="1"/>
    <xf numFmtId="41" fontId="2" fillId="0" borderId="0" xfId="0" applyNumberFormat="1" applyFont="1" applyFill="1" applyAlignment="1"/>
    <xf numFmtId="37" fontId="2" fillId="0" borderId="0" xfId="0" applyNumberFormat="1" applyFont="1" applyFill="1" applyAlignment="1"/>
    <xf numFmtId="41" fontId="2" fillId="0" borderId="0" xfId="0" applyNumberFormat="1" applyFont="1" applyFill="1" applyAlignment="1">
      <alignment horizontal="right"/>
    </xf>
    <xf numFmtId="167" fontId="4" fillId="0" borderId="4" xfId="0" applyNumberFormat="1" applyFont="1" applyFill="1" applyBorder="1" applyAlignment="1">
      <alignment horizontal="right"/>
    </xf>
    <xf numFmtId="41" fontId="2" fillId="0" borderId="5" xfId="0" applyNumberFormat="1" applyFont="1" applyFill="1" applyBorder="1" applyAlignment="1"/>
    <xf numFmtId="37" fontId="2" fillId="0" borderId="5" xfId="0" applyNumberFormat="1" applyFont="1" applyFill="1" applyBorder="1" applyAlignment="1"/>
    <xf numFmtId="41" fontId="2" fillId="0" borderId="5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167" fontId="2" fillId="0" borderId="6" xfId="0" applyNumberFormat="1" applyFont="1" applyFill="1" applyBorder="1" applyAlignment="1" applyProtection="1">
      <protection locked="0"/>
    </xf>
    <xf numFmtId="0" fontId="6" fillId="0" borderId="0" xfId="0" applyNumberFormat="1" applyFont="1" applyFill="1" applyAlignment="1"/>
    <xf numFmtId="42" fontId="2" fillId="0" borderId="7" xfId="0" applyNumberFormat="1" applyFont="1" applyFill="1" applyBorder="1" applyAlignment="1" applyProtection="1">
      <protection locked="0"/>
    </xf>
    <xf numFmtId="6" fontId="2" fillId="0" borderId="7" xfId="0" applyNumberFormat="1" applyFont="1" applyFill="1" applyBorder="1" applyAlignment="1" applyProtection="1">
      <protection locked="0"/>
    </xf>
    <xf numFmtId="42" fontId="2" fillId="0" borderId="0" xfId="0" applyNumberFormat="1" applyFont="1" applyFill="1" applyBorder="1" applyAlignment="1" applyProtection="1">
      <protection locked="0"/>
    </xf>
    <xf numFmtId="167" fontId="4" fillId="0" borderId="6" xfId="0" applyNumberFormat="1" applyFont="1" applyFill="1" applyBorder="1" applyAlignment="1" applyProtection="1">
      <protection locked="0"/>
    </xf>
    <xf numFmtId="6" fontId="2" fillId="0" borderId="0" xfId="0" applyNumberFormat="1" applyFont="1" applyFill="1" applyAlignment="1"/>
    <xf numFmtId="166" fontId="2" fillId="0" borderId="0" xfId="0" applyNumberFormat="1" applyFont="1" applyFill="1" applyBorder="1" applyAlignment="1" applyProtection="1">
      <protection locked="0"/>
    </xf>
    <xf numFmtId="166" fontId="1" fillId="0" borderId="0" xfId="0" applyNumberFormat="1" applyFont="1" applyFill="1" applyAlignment="1"/>
    <xf numFmtId="166" fontId="2" fillId="0" borderId="0" xfId="0" applyNumberFormat="1" applyFont="1" applyFill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41" fontId="2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/>
    <xf numFmtId="41" fontId="2" fillId="0" borderId="0" xfId="0" applyNumberFormat="1" applyFont="1" applyFill="1" applyBorder="1" applyAlignment="1"/>
    <xf numFmtId="42" fontId="2" fillId="0" borderId="0" xfId="0" applyNumberFormat="1" applyFont="1" applyFill="1" applyBorder="1" applyAlignment="1">
      <alignment horizontal="right"/>
    </xf>
    <xf numFmtId="42" fontId="2" fillId="0" borderId="0" xfId="0" applyNumberFormat="1" applyFont="1" applyFill="1" applyBorder="1" applyAlignment="1"/>
    <xf numFmtId="42" fontId="2" fillId="0" borderId="7" xfId="0" applyNumberFormat="1" applyFont="1" applyFill="1" applyBorder="1" applyAlignment="1"/>
    <xf numFmtId="0" fontId="2" fillId="0" borderId="0" xfId="0" applyNumberFormat="1" applyFont="1" applyFill="1" applyAlignment="1">
      <alignment horizontal="left" vertical="top"/>
    </xf>
    <xf numFmtId="166" fontId="2" fillId="0" borderId="0" xfId="0" applyNumberFormat="1" applyFont="1" applyFill="1" applyAlignment="1">
      <alignment vertical="top"/>
    </xf>
    <xf numFmtId="166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Alignment="1">
      <alignment vertical="top"/>
    </xf>
    <xf numFmtId="41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10" fontId="2" fillId="0" borderId="0" xfId="0" applyNumberFormat="1" applyFont="1" applyFill="1" applyBorder="1" applyAlignment="1"/>
    <xf numFmtId="42" fontId="2" fillId="0" borderId="0" xfId="0" applyNumberFormat="1" applyFont="1" applyFill="1" applyAlignment="1">
      <alignment horizontal="left"/>
    </xf>
    <xf numFmtId="42" fontId="2" fillId="0" borderId="8" xfId="0" applyNumberFormat="1" applyFont="1" applyFill="1" applyBorder="1" applyAlignment="1" applyProtection="1">
      <protection locked="0"/>
    </xf>
    <xf numFmtId="5" fontId="2" fillId="0" borderId="0" xfId="0" applyNumberFormat="1" applyFont="1" applyFill="1" applyAlignment="1"/>
    <xf numFmtId="42" fontId="2" fillId="0" borderId="8" xfId="0" applyNumberFormat="1" applyFont="1" applyFill="1" applyBorder="1" applyAlignment="1"/>
    <xf numFmtId="10" fontId="2" fillId="0" borderId="0" xfId="0" applyNumberFormat="1" applyFont="1" applyFill="1" applyAlignment="1"/>
    <xf numFmtId="168" fontId="2" fillId="0" borderId="0" xfId="0" applyNumberFormat="1" applyFont="1" applyFill="1" applyAlignment="1"/>
    <xf numFmtId="10" fontId="2" fillId="0" borderId="0" xfId="0" applyNumberFormat="1" applyFont="1" applyFill="1" applyAlignment="1" applyProtection="1">
      <protection locked="0"/>
    </xf>
    <xf numFmtId="0" fontId="2" fillId="0" borderId="0" xfId="0" applyNumberFormat="1" applyFont="1" applyFill="1" applyAlignment="1" applyProtection="1">
      <protection locked="0"/>
    </xf>
    <xf numFmtId="169" fontId="2" fillId="0" borderId="0" xfId="0" applyNumberFormat="1" applyFont="1" applyFill="1" applyAlignment="1" applyProtection="1">
      <alignment horizontal="left"/>
    </xf>
    <xf numFmtId="42" fontId="2" fillId="0" borderId="0" xfId="0" applyNumberFormat="1" applyFont="1" applyFill="1" applyAlignment="1" applyProtection="1"/>
    <xf numFmtId="41" fontId="2" fillId="0" borderId="0" xfId="0" applyNumberFormat="1" applyFont="1" applyFill="1" applyAlignment="1" applyProtection="1">
      <alignment horizontal="left"/>
    </xf>
    <xf numFmtId="41" fontId="2" fillId="0" borderId="0" xfId="0" applyNumberFormat="1" applyFont="1" applyFill="1" applyBorder="1" applyAlignment="1" applyProtection="1"/>
    <xf numFmtId="41" fontId="2" fillId="0" borderId="0" xfId="0" applyNumberFormat="1" applyFont="1" applyFill="1" applyAlignment="1" applyProtection="1">
      <alignment horizontal="left"/>
      <protection locked="0"/>
    </xf>
    <xf numFmtId="41" fontId="2" fillId="0" borderId="5" xfId="0" applyNumberFormat="1" applyFont="1" applyFill="1" applyBorder="1" applyAlignment="1" applyProtection="1">
      <protection locked="0"/>
    </xf>
    <xf numFmtId="42" fontId="2" fillId="0" borderId="0" xfId="0" applyNumberFormat="1" applyFont="1" applyFill="1" applyBorder="1" applyAlignment="1" applyProtection="1"/>
    <xf numFmtId="41" fontId="4" fillId="0" borderId="5" xfId="0" applyNumberFormat="1" applyFont="1" applyFill="1" applyBorder="1" applyAlignment="1" applyProtection="1">
      <protection locked="0"/>
    </xf>
    <xf numFmtId="170" fontId="2" fillId="0" borderId="0" xfId="0" applyNumberFormat="1" applyFont="1" applyFill="1" applyAlignment="1" applyProtection="1">
      <alignment horizontal="left"/>
    </xf>
    <xf numFmtId="170" fontId="2" fillId="0" borderId="0" xfId="0" applyNumberFormat="1" applyFont="1" applyFill="1" applyBorder="1" applyAlignment="1" applyProtection="1">
      <alignment horizontal="left"/>
    </xf>
    <xf numFmtId="10" fontId="2" fillId="0" borderId="0" xfId="0" applyNumberFormat="1" applyFont="1" applyFill="1" applyAlignment="1" applyProtection="1"/>
    <xf numFmtId="42" fontId="2" fillId="0" borderId="8" xfId="0" applyNumberFormat="1" applyFont="1" applyFill="1" applyBorder="1" applyAlignment="1" applyProtection="1">
      <alignment vertical="top"/>
    </xf>
    <xf numFmtId="42" fontId="2" fillId="0" borderId="8" xfId="0" applyNumberFormat="1" applyFont="1" applyFill="1" applyBorder="1" applyAlignment="1" applyProtection="1"/>
    <xf numFmtId="41" fontId="2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omrc/Documents/Opened_From_Outlook/SEF%203%20-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-3"/>
      <sheetName val="SEF-4"/>
      <sheetName val="SEF 5.01"/>
      <sheetName val="SEF 5.02"/>
      <sheetName val="SEF 5.03"/>
      <sheetName val="SEF 5.04"/>
      <sheetName val="SEF 5.05"/>
      <sheetName val="SEF-6"/>
      <sheetName val="SEF-7"/>
    </sheetNames>
    <sheetDataSet>
      <sheetData sheetId="0">
        <row r="13">
          <cell r="O13">
            <v>5.1399999999999996E-3</v>
          </cell>
        </row>
        <row r="14">
          <cell r="O14">
            <v>2E-3</v>
          </cell>
        </row>
        <row r="15">
          <cell r="O15">
            <v>3.8322000000000002E-2</v>
          </cell>
        </row>
        <row r="20">
          <cell r="O20">
            <v>0.334088</v>
          </cell>
        </row>
        <row r="22">
          <cell r="E22">
            <v>22992570</v>
          </cell>
        </row>
      </sheetData>
      <sheetData sheetId="1">
        <row r="15">
          <cell r="J15">
            <v>857492456.10000002</v>
          </cell>
          <cell r="AH15">
            <v>-54759247.612835743</v>
          </cell>
        </row>
        <row r="16">
          <cell r="AH16">
            <v>0</v>
          </cell>
        </row>
        <row r="17">
          <cell r="J17">
            <v>37980142.479999997</v>
          </cell>
          <cell r="AH17">
            <v>-24928999.789999999</v>
          </cell>
        </row>
        <row r="25">
          <cell r="J25">
            <v>326393369.14999998</v>
          </cell>
          <cell r="AH25">
            <v>30828021.837998457</v>
          </cell>
        </row>
        <row r="29">
          <cell r="J29">
            <v>2420905.35</v>
          </cell>
          <cell r="AH29">
            <v>32568.211171221199</v>
          </cell>
        </row>
        <row r="30">
          <cell r="J30">
            <v>0</v>
          </cell>
          <cell r="AH30">
            <v>0</v>
          </cell>
        </row>
        <row r="31">
          <cell r="J31">
            <v>55510540.469999999</v>
          </cell>
          <cell r="AH31">
            <v>634071.67063171277</v>
          </cell>
        </row>
        <row r="32">
          <cell r="J32">
            <v>26085152.498175003</v>
          </cell>
          <cell r="AH32">
            <v>3343185.8972946191</v>
          </cell>
        </row>
        <row r="33">
          <cell r="J33">
            <v>7953019.309071999</v>
          </cell>
          <cell r="AH33">
            <v>-5668709.0200789645</v>
          </cell>
        </row>
        <row r="34">
          <cell r="J34">
            <v>12460807.43</v>
          </cell>
          <cell r="AH34">
            <v>-12460807.43</v>
          </cell>
        </row>
        <row r="35">
          <cell r="J35">
            <v>50479810.318484999</v>
          </cell>
          <cell r="AH35">
            <v>1466289.9704225224</v>
          </cell>
        </row>
        <row r="36">
          <cell r="J36">
            <v>122080785.06602001</v>
          </cell>
          <cell r="AH36">
            <v>-20280517.163459849</v>
          </cell>
        </row>
        <row r="37">
          <cell r="J37">
            <v>11666003.494102001</v>
          </cell>
          <cell r="AH37">
            <v>-8253.1208267101902</v>
          </cell>
        </row>
        <row r="38">
          <cell r="J38">
            <v>0</v>
          </cell>
          <cell r="AH38">
            <v>0</v>
          </cell>
        </row>
        <row r="39">
          <cell r="J39">
            <v>-230972.9548859999</v>
          </cell>
          <cell r="AH39">
            <v>8723077.562962668</v>
          </cell>
        </row>
        <row r="40">
          <cell r="J40">
            <v>0</v>
          </cell>
          <cell r="AH40">
            <v>0</v>
          </cell>
        </row>
        <row r="41">
          <cell r="J41">
            <v>95653986.857809991</v>
          </cell>
          <cell r="AH41">
            <v>-61297863.427566573</v>
          </cell>
        </row>
        <row r="42">
          <cell r="J42">
            <v>0</v>
          </cell>
          <cell r="AH42">
            <v>-576843.34264039737</v>
          </cell>
        </row>
        <row r="43">
          <cell r="J43">
            <v>65853422.740000002</v>
          </cell>
          <cell r="AH43">
            <v>-27288647.120000005</v>
          </cell>
        </row>
        <row r="48">
          <cell r="J48">
            <v>1727319760.395555</v>
          </cell>
          <cell r="AH48">
            <v>33373872.873642456</v>
          </cell>
        </row>
        <row r="50">
          <cell r="J50">
            <v>6.8977251104878012E-2</v>
          </cell>
        </row>
        <row r="53">
          <cell r="AH53">
            <v>39696239.331701197</v>
          </cell>
        </row>
        <row r="54">
          <cell r="J54">
            <v>-1363034789</v>
          </cell>
          <cell r="AH54">
            <v>2736291.3136779414</v>
          </cell>
        </row>
        <row r="55">
          <cell r="J55">
            <v>-502155617.94390869</v>
          </cell>
          <cell r="AH55">
            <v>-9058657.7717366852</v>
          </cell>
        </row>
        <row r="56">
          <cell r="J56">
            <v>-30161803</v>
          </cell>
          <cell r="AH56">
            <v>0</v>
          </cell>
        </row>
        <row r="58">
          <cell r="J58">
            <v>77640607.339463621</v>
          </cell>
          <cell r="AH58">
            <v>0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A5" t="str">
            <v xml:space="preserve">PUGET SOUND ENERGY-GAS </v>
          </cell>
        </row>
        <row r="7">
          <cell r="A7" t="str">
            <v>FOR THE TWELVE MONTHS ENDED SEPTEMBER 30, 2016</v>
          </cell>
        </row>
        <row r="8">
          <cell r="A8" t="str">
            <v>GENERAL RATE CASE</v>
          </cell>
        </row>
        <row r="13">
          <cell r="AC13">
            <v>-18985577.484404832</v>
          </cell>
          <cell r="BD13">
            <v>30708.659753503118</v>
          </cell>
          <cell r="DE13">
            <v>-6789.7182619981468</v>
          </cell>
        </row>
        <row r="14">
          <cell r="O14">
            <v>5670995.2945745047</v>
          </cell>
          <cell r="AC14">
            <v>-965033.87825551257</v>
          </cell>
          <cell r="AT14">
            <v>-587.51102787956279</v>
          </cell>
          <cell r="BV14">
            <v>880140.1518121101</v>
          </cell>
          <cell r="CC14">
            <v>3152.2883242282114</v>
          </cell>
          <cell r="DE14">
            <v>-44763.437799999956</v>
          </cell>
        </row>
        <row r="15">
          <cell r="O15">
            <v>12315699.729075179</v>
          </cell>
          <cell r="AT15">
            <v>-1909.6215366356482</v>
          </cell>
          <cell r="BQ15">
            <v>-69498.846616303519</v>
          </cell>
          <cell r="CC15">
            <v>10198.684471084853</v>
          </cell>
          <cell r="CU15">
            <v>-152875.7390685</v>
          </cell>
          <cell r="CZ15">
            <v>8812258.5729749985</v>
          </cell>
        </row>
        <row r="16">
          <cell r="O16">
            <v>20149802.975724913</v>
          </cell>
          <cell r="AT16">
            <v>-5217.8114309802113</v>
          </cell>
          <cell r="CC16">
            <v>26932.182371403556</v>
          </cell>
          <cell r="CZ16">
            <v>-1121972.34925</v>
          </cell>
        </row>
        <row r="17">
          <cell r="O17">
            <v>-26488407.126521312</v>
          </cell>
          <cell r="AH17">
            <v>88826.625337333404</v>
          </cell>
          <cell r="AY17">
            <v>-17901.10630472796</v>
          </cell>
          <cell r="BV17">
            <v>-308049.05313423852</v>
          </cell>
          <cell r="CC17">
            <v>0</v>
          </cell>
          <cell r="CZ17">
            <v>-565765.11565828603</v>
          </cell>
        </row>
        <row r="18">
          <cell r="O18">
            <v>97440.859999999986</v>
          </cell>
          <cell r="AH18">
            <v>-31089</v>
          </cell>
          <cell r="AT18">
            <v>-159844.74593767663</v>
          </cell>
          <cell r="BQ18">
            <v>24324.596315706229</v>
          </cell>
          <cell r="CC18">
            <v>793916.4165693894</v>
          </cell>
          <cell r="CZ18">
            <v>-15174.160163641776</v>
          </cell>
          <cell r="DE18">
            <v>18044</v>
          </cell>
        </row>
        <row r="19">
          <cell r="D19">
            <v>-54715828.899718225</v>
          </cell>
          <cell r="O19">
            <v>-25090.45</v>
          </cell>
          <cell r="AT19">
            <v>-53777.651341797726</v>
          </cell>
          <cell r="AY19">
            <v>6265.3872066547856</v>
          </cell>
          <cell r="CC19">
            <v>107338.32466447074</v>
          </cell>
          <cell r="CZ19">
            <v>531419.38875000004</v>
          </cell>
        </row>
        <row r="20">
          <cell r="O20">
            <v>270440.65000000002</v>
          </cell>
          <cell r="AT20">
            <v>-6337.8761104228324</v>
          </cell>
          <cell r="CC20">
            <v>31218.952475126716</v>
          </cell>
          <cell r="CL20">
            <v>90432.566327203065</v>
          </cell>
          <cell r="CZ20">
            <v>132032.70820720511</v>
          </cell>
        </row>
        <row r="21">
          <cell r="AC21">
            <v>-72217.333276949808</v>
          </cell>
          <cell r="AT21">
            <v>-10.496981051236915</v>
          </cell>
          <cell r="CC21">
            <v>56.260537383694555</v>
          </cell>
          <cell r="CU21">
            <v>3577029.6203889381</v>
          </cell>
          <cell r="CZ21">
            <v>2316.6504655321942</v>
          </cell>
        </row>
        <row r="22">
          <cell r="O22">
            <v>40067188.970000006</v>
          </cell>
          <cell r="X22">
            <v>-18425658.872162148</v>
          </cell>
          <cell r="AT22">
            <v>-81048.715158138424</v>
          </cell>
          <cell r="CC22">
            <v>446330.40153229795</v>
          </cell>
          <cell r="CL22">
            <v>-31651.398214521072</v>
          </cell>
        </row>
        <row r="23">
          <cell r="O23">
            <v>367127.93</v>
          </cell>
          <cell r="BH23">
            <v>431718.93264399999</v>
          </cell>
          <cell r="CP23">
            <v>8561400.9162960015</v>
          </cell>
        </row>
        <row r="25">
          <cell r="AT25">
            <v>-19047.267248915508</v>
          </cell>
          <cell r="BH25">
            <v>-151101.6264254</v>
          </cell>
          <cell r="CC25">
            <v>76498.777279491536</v>
          </cell>
          <cell r="CP25">
            <v>-2996490.3207036005</v>
          </cell>
          <cell r="CU25">
            <v>-1198453.8584621532</v>
          </cell>
          <cell r="CZ25">
            <v>-177705.85300030193</v>
          </cell>
        </row>
        <row r="26">
          <cell r="AO26">
            <v>244361</v>
          </cell>
          <cell r="CZ26">
            <v>24282.265630179758</v>
          </cell>
        </row>
        <row r="27">
          <cell r="O27">
            <v>-269466</v>
          </cell>
          <cell r="BL27">
            <v>161676.64666666661</v>
          </cell>
          <cell r="CZ27">
            <v>19318.805121985963</v>
          </cell>
        </row>
        <row r="28">
          <cell r="O28">
            <v>-104850</v>
          </cell>
          <cell r="AC28">
            <v>-8253.1208267101902</v>
          </cell>
          <cell r="AO28">
            <v>-85526</v>
          </cell>
          <cell r="AT28">
            <v>114723.59387072441</v>
          </cell>
          <cell r="CZ28">
            <v>-192123.35699999999</v>
          </cell>
        </row>
        <row r="29">
          <cell r="E29">
            <v>-24316521.66</v>
          </cell>
          <cell r="O29">
            <v>-2009038</v>
          </cell>
          <cell r="BL29">
            <v>-56586.826333333309</v>
          </cell>
          <cell r="CC29">
            <v>-523474.80087870394</v>
          </cell>
        </row>
        <row r="30">
          <cell r="T30">
            <v>26587825.211927671</v>
          </cell>
          <cell r="AC30">
            <v>-236760.55057513839</v>
          </cell>
        </row>
        <row r="31">
          <cell r="T31">
            <v>-27288647.120000005</v>
          </cell>
          <cell r="CZ31">
            <v>114179.84873684766</v>
          </cell>
        </row>
        <row r="32">
          <cell r="CH32">
            <v>79135.487875506748</v>
          </cell>
        </row>
        <row r="33">
          <cell r="O33">
            <v>-5670995.3100000005</v>
          </cell>
        </row>
        <row r="34">
          <cell r="O34">
            <v>-12460807.43</v>
          </cell>
          <cell r="AC34">
            <v>7093744.8285686923</v>
          </cell>
          <cell r="CH34">
            <v>-27697</v>
          </cell>
        </row>
        <row r="35">
          <cell r="O35">
            <v>-19519464.629999999</v>
          </cell>
        </row>
        <row r="36">
          <cell r="O36">
            <v>25320257.07</v>
          </cell>
        </row>
        <row r="37">
          <cell r="D37">
            <v>-25171487.659241237</v>
          </cell>
          <cell r="O37">
            <v>-45481.5</v>
          </cell>
        </row>
        <row r="38">
          <cell r="O38">
            <v>-22640.55</v>
          </cell>
        </row>
        <row r="39">
          <cell r="D39">
            <v>-406226.28187695163</v>
          </cell>
          <cell r="O39">
            <v>-38775247.880000003</v>
          </cell>
          <cell r="AC39">
            <v>10133921.183669562</v>
          </cell>
        </row>
        <row r="40">
          <cell r="D40">
            <v>-158064.70111943645</v>
          </cell>
          <cell r="AC40">
            <v>-3546872.4142843462</v>
          </cell>
        </row>
        <row r="42">
          <cell r="K42">
            <v>58088569.543246187</v>
          </cell>
        </row>
        <row r="43">
          <cell r="O43">
            <v>396387.33050000144</v>
          </cell>
        </row>
        <row r="44">
          <cell r="J44">
            <v>30724733.927239694</v>
          </cell>
        </row>
        <row r="45">
          <cell r="E45">
            <v>-3028677.7381495219</v>
          </cell>
        </row>
        <row r="47">
          <cell r="J47">
            <v>298575</v>
          </cell>
        </row>
        <row r="48">
          <cell r="E48">
            <v>-17593763</v>
          </cell>
          <cell r="J48">
            <v>116177</v>
          </cell>
        </row>
        <row r="51">
          <cell r="J51">
            <v>2226070</v>
          </cell>
        </row>
        <row r="56">
          <cell r="K56">
            <v>8653055</v>
          </cell>
        </row>
      </sheetData>
      <sheetData sheetId="8">
        <row r="14">
          <cell r="F14">
            <v>-6319267.5535104107</v>
          </cell>
        </row>
        <row r="17">
          <cell r="F17">
            <v>-300750.81912983069</v>
          </cell>
        </row>
        <row r="18">
          <cell r="F18">
            <v>428345.18843024829</v>
          </cell>
        </row>
        <row r="21">
          <cell r="F21">
            <v>-32481.03522504351</v>
          </cell>
        </row>
        <row r="22">
          <cell r="F22">
            <v>-12638.535107020822</v>
          </cell>
        </row>
        <row r="25">
          <cell r="F25">
            <v>-242166.97118562597</v>
          </cell>
        </row>
        <row r="30">
          <cell r="F30">
            <v>-2155851.383452598</v>
          </cell>
        </row>
        <row r="35">
          <cell r="F35">
            <v>32005953.107976198</v>
          </cell>
        </row>
        <row r="36">
          <cell r="F36">
            <v>-7133937.3887045681</v>
          </cell>
        </row>
        <row r="37">
          <cell r="F37">
            <v>-214172.59421512415</v>
          </cell>
        </row>
        <row r="38">
          <cell r="F38">
            <v>-5721095.1241003703</v>
          </cell>
        </row>
        <row r="39">
          <cell r="F39">
            <v>74960.407975293449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4"/>
  <sheetViews>
    <sheetView tabSelected="1" view="pageBreakPreview" topLeftCell="T17" zoomScale="60" zoomScaleNormal="100" workbookViewId="0">
      <selection sqref="A1:XFD1048576"/>
    </sheetView>
  </sheetViews>
  <sheetFormatPr defaultRowHeight="14.4" outlineLevelRow="1" x14ac:dyDescent="0.3"/>
  <cols>
    <col min="1" max="1" width="4.5546875" style="2" bestFit="1" customWidth="1"/>
    <col min="2" max="2" width="34" style="2" customWidth="1"/>
    <col min="3" max="3" width="15.44140625" style="2" bestFit="1" customWidth="1"/>
    <col min="4" max="4" width="17.109375" style="2" bestFit="1" customWidth="1"/>
    <col min="5" max="5" width="15.88671875" style="2" bestFit="1" customWidth="1"/>
    <col min="6" max="6" width="14" style="2" customWidth="1"/>
    <col min="7" max="7" width="18.109375" style="2" customWidth="1"/>
    <col min="8" max="8" width="2.21875" style="2" customWidth="1"/>
    <col min="9" max="9" width="12.6640625" style="2" bestFit="1" customWidth="1"/>
    <col min="10" max="10" width="20" style="2" customWidth="1"/>
    <col min="11" max="11" width="15.109375" style="2" bestFit="1" customWidth="1"/>
    <col min="12" max="12" width="16.6640625" style="2" customWidth="1"/>
    <col min="13" max="13" width="21.33203125" style="2" bestFit="1" customWidth="1"/>
    <col min="14" max="14" width="14.5546875" style="2" customWidth="1"/>
    <col min="15" max="15" width="22.33203125" style="2" bestFit="1" customWidth="1"/>
    <col min="16" max="16" width="15.5546875" style="2" customWidth="1"/>
    <col min="17" max="17" width="12.33203125" style="2" customWidth="1"/>
    <col min="18" max="18" width="11.5546875" style="2" customWidth="1"/>
    <col min="19" max="19" width="11.21875" style="2" bestFit="1" customWidth="1"/>
    <col min="20" max="20" width="13" style="2" customWidth="1"/>
    <col min="21" max="21" width="21.44140625" style="2" bestFit="1" customWidth="1"/>
    <col min="22" max="22" width="11.21875" style="2" bestFit="1" customWidth="1"/>
    <col min="23" max="23" width="20.109375" style="2" bestFit="1" customWidth="1"/>
    <col min="24" max="24" width="15.88671875" style="2" customWidth="1"/>
    <col min="25" max="25" width="13.5546875" style="2" customWidth="1"/>
    <col min="26" max="26" width="12" style="2" bestFit="1" customWidth="1"/>
    <col min="27" max="27" width="13.109375" style="2" bestFit="1" customWidth="1"/>
    <col min="28" max="28" width="11.88671875" style="2" bestFit="1" customWidth="1"/>
    <col min="29" max="29" width="17.77734375" style="2" bestFit="1" customWidth="1"/>
    <col min="30" max="30" width="18.5546875" style="2" bestFit="1" customWidth="1"/>
    <col min="31" max="31" width="17.33203125" style="2" bestFit="1" customWidth="1"/>
    <col min="32" max="33" width="16.77734375" style="2" customWidth="1"/>
    <col min="34" max="34" width="13.88671875" style="2" bestFit="1" customWidth="1"/>
    <col min="35" max="35" width="15.109375" style="2" customWidth="1"/>
    <col min="36" max="37" width="12" style="8" bestFit="1" customWidth="1"/>
    <col min="38" max="38" width="11.109375" style="8" bestFit="1" customWidth="1"/>
    <col min="39" max="39" width="12" style="8" bestFit="1" customWidth="1"/>
    <col min="40" max="16384" width="8.88671875" style="8"/>
  </cols>
  <sheetData>
    <row r="1" spans="1:38" x14ac:dyDescent="0.3">
      <c r="A1" s="1"/>
      <c r="E1" s="3"/>
      <c r="F1" s="4"/>
      <c r="G1" s="5" t="s">
        <v>0</v>
      </c>
      <c r="J1" s="6"/>
      <c r="K1" s="6"/>
      <c r="M1" s="7"/>
      <c r="P1" s="5" t="s">
        <v>0</v>
      </c>
      <c r="Y1" s="5" t="s">
        <v>0</v>
      </c>
      <c r="AI1" s="5" t="s">
        <v>0</v>
      </c>
      <c r="AJ1" s="2"/>
      <c r="AK1" s="2"/>
      <c r="AL1" s="2"/>
    </row>
    <row r="2" spans="1:38" ht="15" thickBot="1" x14ac:dyDescent="0.35">
      <c r="E2" s="9"/>
      <c r="G2" s="10" t="s">
        <v>1</v>
      </c>
      <c r="H2" s="4"/>
      <c r="J2" s="11"/>
      <c r="K2" s="11"/>
      <c r="M2" s="5"/>
      <c r="P2" s="10" t="s">
        <v>2</v>
      </c>
      <c r="Y2" s="10" t="s">
        <v>3</v>
      </c>
      <c r="AH2" s="12"/>
      <c r="AI2" s="10" t="s">
        <v>4</v>
      </c>
      <c r="AJ2" s="2"/>
      <c r="AK2" s="2"/>
      <c r="AL2" s="2"/>
    </row>
    <row r="3" spans="1:38" ht="15.6" thickTop="1" thickBot="1" x14ac:dyDescent="0.35">
      <c r="A3" s="12"/>
      <c r="B3" s="12"/>
      <c r="C3" s="12"/>
      <c r="D3" s="12"/>
      <c r="G3" s="13">
        <v>4.01</v>
      </c>
      <c r="H3" s="14"/>
      <c r="J3" s="11"/>
      <c r="K3" s="11"/>
      <c r="P3" s="15" t="s">
        <v>5</v>
      </c>
      <c r="Y3" s="15" t="s">
        <v>6</v>
      </c>
      <c r="AI3" s="15" t="s">
        <v>7</v>
      </c>
      <c r="AJ3" s="2"/>
      <c r="AK3" s="2"/>
      <c r="AL3" s="2"/>
    </row>
    <row r="4" spans="1:38" ht="15" thickTop="1" x14ac:dyDescent="0.3">
      <c r="B4" s="16"/>
      <c r="C4" s="17" t="str">
        <f>keep_PSE</f>
        <v xml:space="preserve">PUGET SOUND ENERGY-GAS </v>
      </c>
      <c r="D4" s="17"/>
      <c r="E4" s="17"/>
      <c r="F4" s="17"/>
      <c r="G4" s="16"/>
      <c r="H4" s="18"/>
      <c r="I4" s="14"/>
      <c r="J4" s="19" t="s">
        <v>8</v>
      </c>
      <c r="K4" s="19"/>
      <c r="L4" s="19"/>
      <c r="M4" s="19"/>
      <c r="N4" s="19"/>
      <c r="O4" s="19"/>
      <c r="P4" s="19"/>
      <c r="Q4" s="20" t="s">
        <v>8</v>
      </c>
      <c r="R4" s="12"/>
      <c r="S4" s="16"/>
      <c r="T4" s="16"/>
      <c r="U4" s="12"/>
      <c r="V4" s="16"/>
      <c r="W4" s="16"/>
      <c r="X4" s="16"/>
      <c r="Y4" s="16"/>
      <c r="Z4" s="20" t="s">
        <v>8</v>
      </c>
      <c r="AA4" s="12"/>
      <c r="AB4" s="12"/>
      <c r="AC4" s="16"/>
      <c r="AD4" s="16"/>
      <c r="AE4" s="16"/>
      <c r="AF4" s="16"/>
      <c r="AG4" s="16"/>
      <c r="AH4" s="16"/>
      <c r="AI4" s="16"/>
      <c r="AJ4" s="3"/>
      <c r="AK4" s="3"/>
      <c r="AL4" s="3"/>
    </row>
    <row r="5" spans="1:38" x14ac:dyDescent="0.3">
      <c r="B5" s="20"/>
      <c r="C5" s="19" t="s">
        <v>9</v>
      </c>
      <c r="D5" s="19"/>
      <c r="E5" s="19"/>
      <c r="F5" s="19"/>
      <c r="G5" s="16"/>
      <c r="H5" s="18"/>
      <c r="I5" s="21" t="s">
        <v>10</v>
      </c>
      <c r="J5" s="19" t="s">
        <v>11</v>
      </c>
      <c r="K5" s="19"/>
      <c r="L5" s="19"/>
      <c r="M5" s="19"/>
      <c r="N5" s="19"/>
      <c r="O5" s="19"/>
      <c r="P5" s="19"/>
      <c r="Q5" s="20" t="s">
        <v>11</v>
      </c>
      <c r="R5" s="12"/>
      <c r="S5" s="16"/>
      <c r="T5" s="16"/>
      <c r="U5" s="12"/>
      <c r="V5" s="20"/>
      <c r="W5" s="20"/>
      <c r="X5" s="20"/>
      <c r="Y5" s="20"/>
      <c r="Z5" s="20" t="s">
        <v>11</v>
      </c>
      <c r="AA5" s="12"/>
      <c r="AB5" s="12"/>
      <c r="AC5" s="16"/>
      <c r="AD5" s="16"/>
      <c r="AE5" s="16"/>
      <c r="AF5" s="16"/>
      <c r="AG5" s="16"/>
      <c r="AH5" s="20"/>
      <c r="AI5" s="16"/>
      <c r="AJ5" s="3"/>
      <c r="AK5" s="3"/>
      <c r="AL5" s="3"/>
    </row>
    <row r="6" spans="1:38" x14ac:dyDescent="0.3">
      <c r="B6" s="20"/>
      <c r="C6" s="22" t="str">
        <f>keep_TESTYEAR</f>
        <v>FOR THE TWELVE MONTHS ENDED SEPTEMBER 30, 2016</v>
      </c>
      <c r="D6" s="22"/>
      <c r="E6" s="22"/>
      <c r="F6" s="22"/>
      <c r="G6" s="16"/>
      <c r="H6" s="18"/>
      <c r="I6" s="21" t="s">
        <v>10</v>
      </c>
      <c r="J6" s="22" t="str">
        <f>keep_TESTYEAR</f>
        <v>FOR THE TWELVE MONTHS ENDED SEPTEMBER 30, 2016</v>
      </c>
      <c r="K6" s="22"/>
      <c r="L6" s="22"/>
      <c r="M6" s="22"/>
      <c r="N6" s="22"/>
      <c r="O6" s="22"/>
      <c r="P6" s="22"/>
      <c r="Q6" s="16" t="str">
        <f>keep_TESTYEAR</f>
        <v>FOR THE TWELVE MONTHS ENDED SEPTEMBER 30, 2016</v>
      </c>
      <c r="R6" s="12"/>
      <c r="S6" s="16"/>
      <c r="T6" s="16"/>
      <c r="U6" s="12"/>
      <c r="V6" s="20"/>
      <c r="W6" s="20"/>
      <c r="X6" s="20"/>
      <c r="Y6" s="20"/>
      <c r="Z6" s="16" t="str">
        <f>keep_TESTYEAR</f>
        <v>FOR THE TWELVE MONTHS ENDED SEPTEMBER 30, 2016</v>
      </c>
      <c r="AA6" s="12"/>
      <c r="AB6" s="12"/>
      <c r="AC6" s="16"/>
      <c r="AD6" s="16"/>
      <c r="AE6" s="16"/>
      <c r="AF6" s="16"/>
      <c r="AG6" s="16"/>
      <c r="AH6" s="20"/>
      <c r="AI6" s="16"/>
      <c r="AJ6" s="3"/>
      <c r="AK6" s="3"/>
      <c r="AL6" s="3"/>
    </row>
    <row r="7" spans="1:38" x14ac:dyDescent="0.3">
      <c r="B7" s="16"/>
      <c r="C7" s="22" t="str">
        <f>kp_DOCKET</f>
        <v>GENERAL RATE CASE</v>
      </c>
      <c r="D7" s="22"/>
      <c r="E7" s="22"/>
      <c r="F7" s="22"/>
      <c r="G7" s="16"/>
      <c r="H7" s="18"/>
      <c r="I7" s="21" t="s">
        <v>10</v>
      </c>
      <c r="J7" s="22" t="s">
        <v>12</v>
      </c>
      <c r="K7" s="22"/>
      <c r="L7" s="22"/>
      <c r="M7" s="22"/>
      <c r="N7" s="22"/>
      <c r="O7" s="22"/>
      <c r="P7" s="22"/>
      <c r="Q7" s="16" t="s">
        <v>13</v>
      </c>
      <c r="R7" s="12"/>
      <c r="S7" s="16"/>
      <c r="T7" s="16"/>
      <c r="U7" s="12"/>
      <c r="V7" s="16"/>
      <c r="W7" s="16"/>
      <c r="X7" s="16"/>
      <c r="Y7" s="16"/>
      <c r="Z7" s="16" t="s">
        <v>14</v>
      </c>
      <c r="AA7" s="12"/>
      <c r="AB7" s="12"/>
      <c r="AC7" s="16"/>
      <c r="AD7" s="16"/>
      <c r="AE7" s="16"/>
      <c r="AF7" s="16"/>
      <c r="AG7" s="16"/>
      <c r="AH7" s="16"/>
      <c r="AI7" s="16"/>
      <c r="AJ7" s="3"/>
      <c r="AK7" s="3"/>
      <c r="AL7" s="3"/>
    </row>
    <row r="8" spans="1:38" x14ac:dyDescent="0.3">
      <c r="A8" s="14"/>
      <c r="B8" s="14"/>
      <c r="C8" s="14"/>
      <c r="D8" s="23"/>
      <c r="E8" s="23"/>
      <c r="F8" s="23"/>
      <c r="G8" s="23"/>
      <c r="H8" s="24"/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3"/>
      <c r="AJ8" s="3"/>
      <c r="AK8" s="3"/>
      <c r="AL8" s="3"/>
    </row>
    <row r="9" spans="1:38" x14ac:dyDescent="0.3">
      <c r="A9" s="3"/>
      <c r="B9" s="3"/>
      <c r="C9" s="27"/>
      <c r="D9" s="27"/>
      <c r="E9" s="27"/>
      <c r="F9" s="27"/>
      <c r="G9" s="27"/>
      <c r="H9" s="3"/>
      <c r="I9" s="3"/>
      <c r="J9" s="28"/>
      <c r="K9" s="26"/>
      <c r="L9" s="29"/>
      <c r="M9" s="29"/>
      <c r="N9" s="30"/>
      <c r="O9" s="30"/>
      <c r="P9" s="29"/>
      <c r="Q9" s="29"/>
      <c r="R9" s="29"/>
      <c r="S9" s="29"/>
      <c r="T9" s="30"/>
      <c r="U9" s="30"/>
      <c r="V9" s="31"/>
      <c r="W9" s="29"/>
      <c r="X9" s="30"/>
      <c r="Y9" s="29"/>
      <c r="Z9" s="30"/>
      <c r="AA9" s="30"/>
      <c r="AB9" s="30"/>
      <c r="AC9" s="30"/>
      <c r="AD9" s="30"/>
      <c r="AE9" s="30"/>
      <c r="AF9" s="30"/>
      <c r="AG9" s="30"/>
      <c r="AH9" s="27"/>
      <c r="AI9" s="27"/>
      <c r="AJ9" s="3"/>
      <c r="AK9" s="3"/>
      <c r="AL9" s="3"/>
    </row>
    <row r="10" spans="1:38" x14ac:dyDescent="0.3">
      <c r="A10" s="3"/>
      <c r="B10" s="3"/>
      <c r="C10" s="28" t="s">
        <v>15</v>
      </c>
      <c r="D10" s="28"/>
      <c r="E10" s="28" t="s">
        <v>16</v>
      </c>
      <c r="F10" s="28" t="s">
        <v>17</v>
      </c>
      <c r="G10" s="28" t="s">
        <v>18</v>
      </c>
      <c r="H10" s="28"/>
      <c r="I10" s="28"/>
      <c r="J10" s="28" t="s">
        <v>19</v>
      </c>
      <c r="K10" s="14" t="s">
        <v>20</v>
      </c>
      <c r="L10" s="14" t="s">
        <v>21</v>
      </c>
      <c r="M10" s="28" t="s">
        <v>22</v>
      </c>
      <c r="N10" s="14" t="s">
        <v>23</v>
      </c>
      <c r="O10" s="14" t="s">
        <v>24</v>
      </c>
      <c r="P10" s="28" t="s">
        <v>25</v>
      </c>
      <c r="Q10" s="14" t="s">
        <v>26</v>
      </c>
      <c r="R10" s="14" t="s">
        <v>27</v>
      </c>
      <c r="S10" s="28" t="s">
        <v>28</v>
      </c>
      <c r="T10" s="28" t="s">
        <v>29</v>
      </c>
      <c r="U10" s="28" t="s">
        <v>30</v>
      </c>
      <c r="V10" s="28" t="s">
        <v>31</v>
      </c>
      <c r="W10" s="28" t="s">
        <v>32</v>
      </c>
      <c r="X10" s="28" t="s">
        <v>33</v>
      </c>
      <c r="Y10" s="28" t="s">
        <v>34</v>
      </c>
      <c r="Z10" s="28" t="s">
        <v>35</v>
      </c>
      <c r="AA10" s="28" t="s">
        <v>36</v>
      </c>
      <c r="AB10" s="28" t="s">
        <v>37</v>
      </c>
      <c r="AC10" s="28" t="s">
        <v>38</v>
      </c>
      <c r="AD10" s="28" t="s">
        <v>39</v>
      </c>
      <c r="AE10" s="28" t="s">
        <v>40</v>
      </c>
      <c r="AF10" s="28" t="s">
        <v>41</v>
      </c>
      <c r="AG10" s="28" t="s">
        <v>42</v>
      </c>
      <c r="AH10" s="28" t="s">
        <v>43</v>
      </c>
      <c r="AI10" s="28" t="s">
        <v>16</v>
      </c>
      <c r="AJ10" s="3"/>
      <c r="AK10" s="3"/>
      <c r="AL10" s="3"/>
    </row>
    <row r="11" spans="1:38" x14ac:dyDescent="0.3">
      <c r="A11" s="28" t="s">
        <v>44</v>
      </c>
      <c r="B11" s="3"/>
      <c r="C11" s="28" t="s">
        <v>45</v>
      </c>
      <c r="D11" s="28" t="s">
        <v>43</v>
      </c>
      <c r="E11" s="28" t="s">
        <v>45</v>
      </c>
      <c r="F11" s="28" t="s">
        <v>46</v>
      </c>
      <c r="G11" s="28" t="s">
        <v>47</v>
      </c>
      <c r="H11" s="28"/>
      <c r="I11" s="28"/>
      <c r="J11" s="28" t="s">
        <v>48</v>
      </c>
      <c r="K11" s="14" t="s">
        <v>49</v>
      </c>
      <c r="L11" s="14" t="s">
        <v>50</v>
      </c>
      <c r="M11" s="28" t="s">
        <v>51</v>
      </c>
      <c r="N11" s="14" t="s">
        <v>52</v>
      </c>
      <c r="O11" s="14" t="s">
        <v>53</v>
      </c>
      <c r="P11" s="28" t="s">
        <v>54</v>
      </c>
      <c r="Q11" s="14" t="s">
        <v>55</v>
      </c>
      <c r="R11" s="14" t="s">
        <v>56</v>
      </c>
      <c r="S11" s="28" t="s">
        <v>57</v>
      </c>
      <c r="T11" s="28" t="s">
        <v>58</v>
      </c>
      <c r="U11" s="28" t="s">
        <v>59</v>
      </c>
      <c r="V11" s="28" t="s">
        <v>49</v>
      </c>
      <c r="W11" s="28" t="s">
        <v>60</v>
      </c>
      <c r="X11" s="28" t="s">
        <v>61</v>
      </c>
      <c r="Y11" s="28" t="s">
        <v>62</v>
      </c>
      <c r="Z11" s="28" t="s">
        <v>63</v>
      </c>
      <c r="AA11" s="28" t="s">
        <v>62</v>
      </c>
      <c r="AB11" s="28" t="s">
        <v>58</v>
      </c>
      <c r="AC11" s="28" t="s">
        <v>64</v>
      </c>
      <c r="AD11" s="28" t="s">
        <v>65</v>
      </c>
      <c r="AE11" s="28" t="s">
        <v>66</v>
      </c>
      <c r="AF11" s="28" t="s">
        <v>67</v>
      </c>
      <c r="AG11" s="28" t="s">
        <v>68</v>
      </c>
      <c r="AH11" s="14" t="s">
        <v>69</v>
      </c>
      <c r="AI11" s="28" t="s">
        <v>45</v>
      </c>
      <c r="AJ11" s="3"/>
      <c r="AK11" s="3"/>
      <c r="AL11" s="3"/>
    </row>
    <row r="12" spans="1:38" x14ac:dyDescent="0.3">
      <c r="A12" s="14" t="s">
        <v>70</v>
      </c>
      <c r="B12" s="32"/>
      <c r="C12" s="14" t="s">
        <v>48</v>
      </c>
      <c r="D12" s="14" t="s">
        <v>69</v>
      </c>
      <c r="E12" s="14" t="s">
        <v>48</v>
      </c>
      <c r="F12" s="14" t="s">
        <v>71</v>
      </c>
      <c r="G12" s="14" t="s">
        <v>63</v>
      </c>
      <c r="H12" s="28"/>
      <c r="I12" s="28"/>
      <c r="J12" s="28" t="s">
        <v>72</v>
      </c>
      <c r="K12" s="33">
        <v>6.01</v>
      </c>
      <c r="L12" s="33">
        <f>K12+0.01</f>
        <v>6.02</v>
      </c>
      <c r="M12" s="34">
        <f>L12+0.01</f>
        <v>6.0299999999999994</v>
      </c>
      <c r="N12" s="34">
        <f>M12+0.01</f>
        <v>6.0399999999999991</v>
      </c>
      <c r="O12" s="33">
        <f>N12+0.01</f>
        <v>6.0499999999999989</v>
      </c>
      <c r="P12" s="33">
        <f>O12+0.01</f>
        <v>6.0599999999999987</v>
      </c>
      <c r="Q12" s="34">
        <f t="shared" ref="Q12:AA12" si="0">P12+0.01</f>
        <v>6.0699999999999985</v>
      </c>
      <c r="R12" s="34">
        <f t="shared" si="0"/>
        <v>6.0799999999999983</v>
      </c>
      <c r="S12" s="34">
        <f t="shared" si="0"/>
        <v>6.0899999999999981</v>
      </c>
      <c r="T12" s="34">
        <f t="shared" si="0"/>
        <v>6.0999999999999979</v>
      </c>
      <c r="U12" s="34">
        <f t="shared" si="0"/>
        <v>6.1099999999999977</v>
      </c>
      <c r="V12" s="34">
        <f t="shared" si="0"/>
        <v>6.1199999999999974</v>
      </c>
      <c r="W12" s="34">
        <f t="shared" si="0"/>
        <v>6.1299999999999972</v>
      </c>
      <c r="X12" s="34">
        <f t="shared" si="0"/>
        <v>6.139999999999997</v>
      </c>
      <c r="Y12" s="34">
        <f t="shared" si="0"/>
        <v>6.1499999999999968</v>
      </c>
      <c r="Z12" s="34">
        <f t="shared" si="0"/>
        <v>6.1599999999999966</v>
      </c>
      <c r="AA12" s="34">
        <f t="shared" si="0"/>
        <v>6.1699999999999964</v>
      </c>
      <c r="AB12" s="34">
        <f>+AA12+0.01</f>
        <v>6.1799999999999962</v>
      </c>
      <c r="AC12" s="34">
        <f>+AB12+0.01</f>
        <v>6.1899999999999959</v>
      </c>
      <c r="AD12" s="34">
        <f>+AC12+0.01</f>
        <v>6.1999999999999957</v>
      </c>
      <c r="AE12" s="34">
        <f>+AD12+0.01</f>
        <v>6.2099999999999955</v>
      </c>
      <c r="AF12" s="34">
        <f>AE12+0.01</f>
        <v>6.2199999999999953</v>
      </c>
      <c r="AG12" s="34">
        <v>7.01</v>
      </c>
      <c r="AH12" s="14"/>
      <c r="AI12" s="14" t="s">
        <v>48</v>
      </c>
      <c r="AJ12" s="2"/>
      <c r="AK12" s="2"/>
      <c r="AL12" s="2"/>
    </row>
    <row r="13" spans="1:38" ht="15" thickBot="1" x14ac:dyDescent="0.35">
      <c r="A13" s="35" t="s">
        <v>73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2"/>
      <c r="AK13" s="2"/>
      <c r="AL13" s="2"/>
    </row>
    <row r="14" spans="1:38" x14ac:dyDescent="0.3">
      <c r="A14" s="37">
        <v>1</v>
      </c>
      <c r="B14" s="38" t="s">
        <v>74</v>
      </c>
      <c r="C14" s="39"/>
      <c r="I14" s="40" t="s">
        <v>75</v>
      </c>
      <c r="J14" s="41"/>
      <c r="K14" s="39"/>
      <c r="L14" s="39"/>
      <c r="N14" s="39"/>
      <c r="O14" s="39"/>
      <c r="Q14" s="39"/>
      <c r="Z14" s="39"/>
      <c r="AH14" s="42"/>
      <c r="AI14" s="39"/>
      <c r="AJ14" s="2"/>
      <c r="AK14" s="2"/>
      <c r="AL14" s="2"/>
    </row>
    <row r="15" spans="1:38" x14ac:dyDescent="0.3">
      <c r="A15" s="37">
        <f t="shared" ref="A15:A58" si="1">+A14+1</f>
        <v>2</v>
      </c>
      <c r="B15" s="43" t="s">
        <v>76</v>
      </c>
      <c r="C15" s="42">
        <f>'[1]SEF-4'!J15</f>
        <v>857492456.10000002</v>
      </c>
      <c r="D15" s="42">
        <f>'[1]SEF-4'!AH15</f>
        <v>-54759247.612835743</v>
      </c>
      <c r="E15" s="44">
        <f>C15+D15</f>
        <v>802733208.48716426</v>
      </c>
      <c r="F15" s="44">
        <f>+F18-F17</f>
        <v>22992570</v>
      </c>
      <c r="G15" s="44">
        <f>E15+F15</f>
        <v>825725778.48716426</v>
      </c>
      <c r="H15" s="44"/>
      <c r="I15" s="45">
        <f>F15/E15</f>
        <v>2.8642853885828309E-2</v>
      </c>
      <c r="J15" s="6">
        <v>857492456.10000002</v>
      </c>
      <c r="K15" s="42">
        <f>+'[1]SEF-6'!D19</f>
        <v>-54715828.899718225</v>
      </c>
      <c r="L15" s="42">
        <f>'[1]SEF-6'!K42</f>
        <v>58088569.543246187</v>
      </c>
      <c r="M15" s="42">
        <f>-'[1]SEF-6'!O14-'[1]SEF-6'!O15-'[1]SEF-6'!O16-'[1]SEF-6'!O17-'[1]SEF-6'!O18-'[1]SEF-6'!O22</f>
        <v>-51812720.702853292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/>
      <c r="U15" s="42">
        <v>0</v>
      </c>
      <c r="V15" s="42">
        <v>0</v>
      </c>
      <c r="W15" s="42"/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/>
      <c r="AD15" s="42"/>
      <c r="AE15" s="42"/>
      <c r="AF15" s="42"/>
      <c r="AG15" s="42">
        <f>'[1]SEF-7'!F14</f>
        <v>-6319267.5535104107</v>
      </c>
      <c r="AH15" s="42">
        <f>SUM(K15:AG15)</f>
        <v>-54759247.612835743</v>
      </c>
      <c r="AI15" s="42">
        <f>J15+AH15</f>
        <v>802733208.48716426</v>
      </c>
      <c r="AJ15" s="2"/>
      <c r="AK15" s="2"/>
      <c r="AL15" s="2"/>
    </row>
    <row r="16" spans="1:38" hidden="1" outlineLevel="1" x14ac:dyDescent="0.3">
      <c r="A16" s="37">
        <f t="shared" si="1"/>
        <v>3</v>
      </c>
      <c r="B16" s="43" t="s">
        <v>77</v>
      </c>
      <c r="C16" s="46">
        <f>'[1]SEF-4'!J16</f>
        <v>0</v>
      </c>
      <c r="D16" s="47">
        <f>'[1]SEF-4'!AH16</f>
        <v>0</v>
      </c>
      <c r="E16" s="48">
        <f>+C16+D16</f>
        <v>0</v>
      </c>
      <c r="F16" s="48"/>
      <c r="G16" s="48">
        <f>+E16+F16</f>
        <v>0</v>
      </c>
      <c r="H16" s="48"/>
      <c r="I16" s="49"/>
      <c r="J16" s="11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>
        <f>SUM(K16:AG16)</f>
        <v>0</v>
      </c>
      <c r="AI16" s="46">
        <f>J16+AH16</f>
        <v>0</v>
      </c>
      <c r="AJ16" s="2"/>
      <c r="AK16" s="2"/>
      <c r="AL16" s="2"/>
    </row>
    <row r="17" spans="1:38" ht="15" collapsed="1" thickBot="1" x14ac:dyDescent="0.35">
      <c r="A17" s="37">
        <f>+A15+1</f>
        <v>3</v>
      </c>
      <c r="B17" s="43" t="s">
        <v>78</v>
      </c>
      <c r="C17" s="50">
        <f>'[1]SEF-4'!J17</f>
        <v>37980142.479999997</v>
      </c>
      <c r="D17" s="51">
        <f>'[1]SEF-4'!AH17</f>
        <v>-24928999.789999999</v>
      </c>
      <c r="E17" s="52">
        <f>+C17+D17</f>
        <v>13051142.689999998</v>
      </c>
      <c r="F17" s="52">
        <f>'[1]SEF-3'!E23</f>
        <v>0</v>
      </c>
      <c r="G17" s="52">
        <f>+E17+F17</f>
        <v>13051142.689999998</v>
      </c>
      <c r="H17" s="53"/>
      <c r="I17" s="54">
        <f>+F17/E17</f>
        <v>0</v>
      </c>
      <c r="J17" s="11">
        <v>37980142.479999997</v>
      </c>
      <c r="K17" s="46">
        <f>'[1]SEF-6'!E29</f>
        <v>-24316521.66</v>
      </c>
      <c r="L17" s="46"/>
      <c r="M17" s="50">
        <f>-'[1]SEF-6'!O19-'[1]SEF-6'!O23-'[1]SEF-6'!O20</f>
        <v>-612478.13</v>
      </c>
      <c r="N17" s="46"/>
      <c r="O17" s="55"/>
      <c r="P17" s="50"/>
      <c r="Q17" s="46"/>
      <c r="R17" s="46"/>
      <c r="S17" s="50"/>
      <c r="T17" s="50"/>
      <c r="U17" s="50" t="s">
        <v>79</v>
      </c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>
        <f>SUM(K17:AG17)</f>
        <v>-24928999.789999999</v>
      </c>
      <c r="AI17" s="50">
        <f>J17+AH17</f>
        <v>13051142.689999998</v>
      </c>
      <c r="AJ17" s="2"/>
      <c r="AK17" s="2"/>
      <c r="AL17" s="2"/>
    </row>
    <row r="18" spans="1:38" ht="15" thickBot="1" x14ac:dyDescent="0.35">
      <c r="A18" s="37">
        <f t="shared" si="1"/>
        <v>4</v>
      </c>
      <c r="B18" s="43" t="s">
        <v>80</v>
      </c>
      <c r="C18" s="42">
        <f>SUM(C15:C17)</f>
        <v>895472598.58000004</v>
      </c>
      <c r="D18" s="42">
        <f>SUM(D15:D17)</f>
        <v>-79688247.402835742</v>
      </c>
      <c r="E18" s="56">
        <f>SUM(E15:E17)</f>
        <v>815784351.17716432</v>
      </c>
      <c r="F18" s="57">
        <f>'[1]SEF-3'!E22</f>
        <v>22992570</v>
      </c>
      <c r="G18" s="56">
        <f>SUM(G15:G17)</f>
        <v>838776921.17716432</v>
      </c>
      <c r="H18" s="58"/>
      <c r="I18" s="59">
        <f>+F18/E18</f>
        <v>2.8184617622073867E-2</v>
      </c>
      <c r="J18" s="56">
        <f t="shared" ref="J18:S18" si="2">SUM(J15:J17)</f>
        <v>895472598.58000004</v>
      </c>
      <c r="K18" s="56">
        <f>SUM(K15:K17)</f>
        <v>-79032350.559718221</v>
      </c>
      <c r="L18" s="56">
        <f>SUM(L15:L17)</f>
        <v>58088569.543246187</v>
      </c>
      <c r="M18" s="56">
        <f>SUM(M15:M17)</f>
        <v>-52425198.832853295</v>
      </c>
      <c r="N18" s="56">
        <f>SUM(N15:N17)</f>
        <v>0</v>
      </c>
      <c r="O18" s="56">
        <f t="shared" si="2"/>
        <v>0</v>
      </c>
      <c r="P18" s="56">
        <f t="shared" si="2"/>
        <v>0</v>
      </c>
      <c r="Q18" s="56">
        <f t="shared" si="2"/>
        <v>0</v>
      </c>
      <c r="R18" s="56">
        <f t="shared" si="2"/>
        <v>0</v>
      </c>
      <c r="S18" s="56">
        <f t="shared" si="2"/>
        <v>0</v>
      </c>
      <c r="T18" s="58">
        <f>SUM(T14:T17)</f>
        <v>0</v>
      </c>
      <c r="U18" s="56">
        <f t="shared" ref="U18:Z18" si="3">SUM(U15:U17)</f>
        <v>0</v>
      </c>
      <c r="V18" s="58">
        <f t="shared" si="3"/>
        <v>0</v>
      </c>
      <c r="W18" s="56">
        <f t="shared" si="3"/>
        <v>0</v>
      </c>
      <c r="X18" s="58">
        <f t="shared" si="3"/>
        <v>0</v>
      </c>
      <c r="Y18" s="58">
        <f t="shared" si="3"/>
        <v>0</v>
      </c>
      <c r="Z18" s="56">
        <f t="shared" si="3"/>
        <v>0</v>
      </c>
      <c r="AA18" s="58">
        <f>SUM(AA15:AA17)</f>
        <v>0</v>
      </c>
      <c r="AB18" s="56">
        <f>SUM(AB15:AB17)</f>
        <v>0</v>
      </c>
      <c r="AC18" s="56">
        <f>SUM(AC15:AC17)</f>
        <v>0</v>
      </c>
      <c r="AD18" s="56"/>
      <c r="AE18" s="56">
        <f t="shared" ref="AE18:AH18" si="4">SUM(AE15:AE17)</f>
        <v>0</v>
      </c>
      <c r="AF18" s="56">
        <f t="shared" si="4"/>
        <v>0</v>
      </c>
      <c r="AG18" s="56">
        <f t="shared" si="4"/>
        <v>-6319267.5535104107</v>
      </c>
      <c r="AH18" s="42">
        <f t="shared" si="4"/>
        <v>-79688247.402835742</v>
      </c>
      <c r="AI18" s="42">
        <f>J18+AH18</f>
        <v>815784351.17716432</v>
      </c>
      <c r="AJ18" s="2"/>
      <c r="AK18" s="2"/>
      <c r="AL18" s="2"/>
    </row>
    <row r="19" spans="1:38" x14ac:dyDescent="0.3">
      <c r="A19" s="37">
        <f t="shared" si="1"/>
        <v>5</v>
      </c>
      <c r="D19" s="42"/>
      <c r="E19" s="39"/>
      <c r="F19" s="60"/>
      <c r="M19" s="61"/>
      <c r="P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39"/>
      <c r="AI19" s="39"/>
      <c r="AJ19" s="2"/>
      <c r="AK19" s="2"/>
      <c r="AL19" s="2"/>
    </row>
    <row r="20" spans="1:38" x14ac:dyDescent="0.3">
      <c r="A20" s="37">
        <f t="shared" si="1"/>
        <v>6</v>
      </c>
      <c r="C20" s="39"/>
      <c r="D20" s="39"/>
      <c r="E20" s="39"/>
      <c r="F20" s="62"/>
      <c r="G20" s="39"/>
      <c r="H20" s="39"/>
      <c r="I20" s="39"/>
      <c r="J20" s="41"/>
      <c r="K20" s="63"/>
      <c r="L20" s="63"/>
      <c r="M20" s="63" t="s">
        <v>79</v>
      </c>
      <c r="N20" s="63" t="s">
        <v>79</v>
      </c>
      <c r="O20" s="63" t="s">
        <v>79</v>
      </c>
      <c r="P20" s="63"/>
      <c r="Q20" s="63" t="s">
        <v>79</v>
      </c>
      <c r="R20" s="63" t="s">
        <v>79</v>
      </c>
      <c r="S20" s="63"/>
      <c r="T20" s="63"/>
      <c r="U20" s="63"/>
      <c r="W20" s="63"/>
      <c r="Z20" s="63" t="s">
        <v>79</v>
      </c>
      <c r="AA20" s="64" t="s">
        <v>79</v>
      </c>
      <c r="AB20" s="63" t="s">
        <v>79</v>
      </c>
      <c r="AC20" s="63"/>
      <c r="AD20" s="63"/>
      <c r="AE20" s="63"/>
      <c r="AF20" s="63"/>
      <c r="AG20" s="63"/>
      <c r="AH20" s="39"/>
      <c r="AI20" s="39"/>
      <c r="AJ20" s="2"/>
      <c r="AK20" s="2"/>
      <c r="AL20" s="2"/>
    </row>
    <row r="21" spans="1:38" x14ac:dyDescent="0.3">
      <c r="A21" s="37">
        <f t="shared" si="1"/>
        <v>7</v>
      </c>
      <c r="B21" s="65" t="s">
        <v>81</v>
      </c>
      <c r="C21" s="39"/>
      <c r="D21" s="39"/>
      <c r="E21" s="39"/>
      <c r="F21" s="39"/>
      <c r="G21" s="39"/>
      <c r="H21" s="39"/>
      <c r="I21" s="66"/>
      <c r="J21" s="42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W21" s="39"/>
      <c r="Z21" s="39"/>
      <c r="AA21" s="67"/>
      <c r="AB21" s="39"/>
      <c r="AC21" s="39"/>
      <c r="AD21" s="39"/>
      <c r="AE21" s="39"/>
      <c r="AF21" s="39"/>
      <c r="AG21" s="39"/>
      <c r="AH21" s="39"/>
      <c r="AI21" s="39"/>
      <c r="AJ21" s="2"/>
      <c r="AK21" s="2"/>
      <c r="AL21" s="2"/>
    </row>
    <row r="22" spans="1:38" x14ac:dyDescent="0.3">
      <c r="A22" s="37">
        <f t="shared" si="1"/>
        <v>8</v>
      </c>
      <c r="C22" s="39"/>
      <c r="D22" s="39"/>
      <c r="E22" s="39"/>
      <c r="F22" s="39" t="s">
        <v>79</v>
      </c>
      <c r="G22" s="39"/>
      <c r="H22" s="39"/>
      <c r="I22" s="68"/>
      <c r="AA22" s="32"/>
      <c r="AH22" s="39"/>
      <c r="AI22" s="39"/>
      <c r="AJ22" s="2"/>
      <c r="AK22" s="2"/>
      <c r="AL22" s="2"/>
    </row>
    <row r="23" spans="1:38" x14ac:dyDescent="0.3">
      <c r="A23" s="37">
        <f t="shared" si="1"/>
        <v>9</v>
      </c>
      <c r="B23" s="43" t="s">
        <v>82</v>
      </c>
      <c r="C23" s="39"/>
      <c r="D23" s="39"/>
      <c r="E23" s="39"/>
      <c r="F23" s="39" t="s">
        <v>79</v>
      </c>
      <c r="G23" s="39"/>
      <c r="H23" s="39"/>
      <c r="I23" s="68"/>
      <c r="J23" s="6"/>
      <c r="K23" s="42"/>
      <c r="L23" s="42"/>
      <c r="M23" s="39"/>
      <c r="N23" s="42"/>
      <c r="O23" s="42"/>
      <c r="P23" s="39"/>
      <c r="Q23" s="42"/>
      <c r="R23" s="42"/>
      <c r="S23" s="39"/>
      <c r="T23" s="39"/>
      <c r="U23" s="39"/>
      <c r="W23" s="39"/>
      <c r="Z23" s="39"/>
      <c r="AA23" s="67"/>
      <c r="AB23" s="39"/>
      <c r="AC23" s="39"/>
      <c r="AD23" s="39"/>
      <c r="AE23" s="39"/>
      <c r="AF23" s="39"/>
      <c r="AG23" s="39"/>
      <c r="AH23" s="39"/>
      <c r="AI23" s="39"/>
      <c r="AJ23" s="2"/>
      <c r="AK23" s="2"/>
      <c r="AL23" s="2"/>
    </row>
    <row r="24" spans="1:38" x14ac:dyDescent="0.3">
      <c r="A24" s="37">
        <f t="shared" si="1"/>
        <v>10</v>
      </c>
      <c r="B24" s="43"/>
      <c r="C24" s="46"/>
      <c r="D24" s="46"/>
      <c r="E24" s="48"/>
      <c r="F24" s="48"/>
      <c r="G24" s="48"/>
      <c r="H24" s="48"/>
      <c r="I24" s="69"/>
      <c r="J24" s="11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2"/>
      <c r="W24" s="46"/>
      <c r="X24" s="42"/>
      <c r="Y24" s="42"/>
      <c r="Z24" s="46"/>
      <c r="AA24" s="70"/>
      <c r="AB24" s="46"/>
      <c r="AC24" s="46"/>
      <c r="AD24" s="46"/>
      <c r="AE24" s="46"/>
      <c r="AF24" s="46"/>
      <c r="AG24" s="46"/>
      <c r="AH24" s="42"/>
      <c r="AI24" s="42"/>
      <c r="AJ24" s="2"/>
      <c r="AK24" s="2"/>
      <c r="AL24" s="2"/>
    </row>
    <row r="25" spans="1:38" x14ac:dyDescent="0.3">
      <c r="A25" s="37">
        <f t="shared" si="1"/>
        <v>11</v>
      </c>
      <c r="B25" s="43" t="s">
        <v>83</v>
      </c>
      <c r="C25" s="42">
        <f>'[1]SEF-4'!J25</f>
        <v>326393369.14999998</v>
      </c>
      <c r="D25" s="42">
        <f>'[1]SEF-4'!AH25</f>
        <v>30828021.837998457</v>
      </c>
      <c r="E25" s="44">
        <f>+C25+D25</f>
        <v>357221390.98799843</v>
      </c>
      <c r="F25" s="44">
        <v>0</v>
      </c>
      <c r="G25" s="44">
        <f>+E25+F25</f>
        <v>357221390.98799843</v>
      </c>
      <c r="H25" s="44"/>
      <c r="I25" s="48"/>
      <c r="J25" s="6">
        <v>326393369.14999998</v>
      </c>
      <c r="K25" s="42">
        <f>+'[1]SEF-6'!D37</f>
        <v>-25171487.659241237</v>
      </c>
      <c r="L25" s="42">
        <f>'[1]SEF-6'!J44</f>
        <v>30724733.927239694</v>
      </c>
      <c r="M25" s="42">
        <f>'[1]SEF-6'!O36+'[1]SEF-6'!O37</f>
        <v>25274775.57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/>
      <c r="U25" s="42">
        <v>0</v>
      </c>
      <c r="V25" s="42">
        <v>0</v>
      </c>
      <c r="W25" s="42"/>
      <c r="X25" s="42">
        <v>0</v>
      </c>
      <c r="Y25" s="42">
        <v>0</v>
      </c>
      <c r="Z25" s="42">
        <v>0</v>
      </c>
      <c r="AA25" s="70">
        <v>0</v>
      </c>
      <c r="AB25" s="42">
        <v>0</v>
      </c>
      <c r="AC25" s="42"/>
      <c r="AD25" s="42"/>
      <c r="AE25" s="42"/>
      <c r="AF25" s="42"/>
      <c r="AG25" s="42"/>
      <c r="AH25" s="42">
        <f>SUM(K25:AG25)</f>
        <v>30828021.837998457</v>
      </c>
      <c r="AI25" s="42">
        <f>J25+AH25</f>
        <v>357221390.98799843</v>
      </c>
      <c r="AJ25" s="2"/>
      <c r="AK25" s="2"/>
      <c r="AL25" s="2"/>
    </row>
    <row r="26" spans="1:38" x14ac:dyDescent="0.3">
      <c r="A26" s="37">
        <f t="shared" si="1"/>
        <v>12</v>
      </c>
      <c r="B26" s="43"/>
      <c r="C26" s="50"/>
      <c r="D26" s="46"/>
      <c r="E26" s="48"/>
      <c r="F26" s="48"/>
      <c r="G26" s="52"/>
      <c r="H26" s="53"/>
      <c r="I26" s="48"/>
      <c r="J26" s="11"/>
      <c r="K26" s="46"/>
      <c r="L26" s="46"/>
      <c r="M26" s="50"/>
      <c r="N26" s="46"/>
      <c r="O26" s="46"/>
      <c r="P26" s="50"/>
      <c r="Q26" s="46"/>
      <c r="R26" s="46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2"/>
      <c r="AK26" s="2"/>
      <c r="AL26" s="2"/>
    </row>
    <row r="27" spans="1:38" x14ac:dyDescent="0.3">
      <c r="A27" s="37">
        <f t="shared" si="1"/>
        <v>13</v>
      </c>
      <c r="B27" s="43" t="s">
        <v>84</v>
      </c>
      <c r="C27" s="71">
        <f>SUM(C23:C26)</f>
        <v>326393369.14999998</v>
      </c>
      <c r="D27" s="71">
        <f>SUM(D23:D26)</f>
        <v>30828021.837998457</v>
      </c>
      <c r="E27" s="71">
        <f>SUM(E23:E26)</f>
        <v>357221390.98799843</v>
      </c>
      <c r="F27" s="71">
        <f>SUM(F23:F26)</f>
        <v>0</v>
      </c>
      <c r="G27" s="71">
        <f>SUM(G23:G26)</f>
        <v>357221390.98799843</v>
      </c>
      <c r="H27" s="70"/>
      <c r="I27" s="70"/>
      <c r="J27" s="71">
        <f t="shared" ref="J27:S27" si="5">SUM(J24:J26)</f>
        <v>326393369.14999998</v>
      </c>
      <c r="K27" s="71">
        <f>SUM(K24:K26)</f>
        <v>-25171487.659241237</v>
      </c>
      <c r="L27" s="71">
        <f>SUM(L24:L26)</f>
        <v>30724733.927239694</v>
      </c>
      <c r="M27" s="71">
        <f>SUM(M24:M26)</f>
        <v>25274775.57</v>
      </c>
      <c r="N27" s="71">
        <f>SUM(N24:N26)</f>
        <v>0</v>
      </c>
      <c r="O27" s="71">
        <f t="shared" si="5"/>
        <v>0</v>
      </c>
      <c r="P27" s="71">
        <f t="shared" si="5"/>
        <v>0</v>
      </c>
      <c r="Q27" s="71">
        <f t="shared" si="5"/>
        <v>0</v>
      </c>
      <c r="R27" s="71">
        <f t="shared" si="5"/>
        <v>0</v>
      </c>
      <c r="S27" s="71">
        <f t="shared" si="5"/>
        <v>0</v>
      </c>
      <c r="T27" s="70">
        <f>SUM(T22:T26)</f>
        <v>0</v>
      </c>
      <c r="U27" s="71">
        <f t="shared" ref="U27:Z27" si="6">SUM(U24:U26)</f>
        <v>0</v>
      </c>
      <c r="V27" s="42">
        <f t="shared" si="6"/>
        <v>0</v>
      </c>
      <c r="W27" s="71">
        <f t="shared" si="6"/>
        <v>0</v>
      </c>
      <c r="X27" s="42">
        <f t="shared" si="6"/>
        <v>0</v>
      </c>
      <c r="Y27" s="42">
        <f t="shared" si="6"/>
        <v>0</v>
      </c>
      <c r="Z27" s="71">
        <f t="shared" si="6"/>
        <v>0</v>
      </c>
      <c r="AA27" s="42">
        <f>SUM(AA24:AA26)</f>
        <v>0</v>
      </c>
      <c r="AB27" s="71">
        <f>SUM(AB24:AB26)</f>
        <v>0</v>
      </c>
      <c r="AC27" s="71">
        <f>SUM(AC24:AC26)</f>
        <v>0</v>
      </c>
      <c r="AD27" s="71"/>
      <c r="AE27" s="71">
        <f t="shared" ref="AE27:AH27" si="7">SUM(AE24:AE26)</f>
        <v>0</v>
      </c>
      <c r="AF27" s="71">
        <f t="shared" si="7"/>
        <v>0</v>
      </c>
      <c r="AG27" s="71">
        <f t="shared" si="7"/>
        <v>0</v>
      </c>
      <c r="AH27" s="71">
        <f t="shared" si="7"/>
        <v>30828021.837998457</v>
      </c>
      <c r="AI27" s="42">
        <f>J27+AH27</f>
        <v>357221390.98799843</v>
      </c>
      <c r="AJ27" s="2"/>
      <c r="AK27" s="2"/>
      <c r="AL27" s="2"/>
    </row>
    <row r="28" spans="1:38" x14ac:dyDescent="0.3">
      <c r="A28" s="37">
        <f t="shared" si="1"/>
        <v>14</v>
      </c>
      <c r="B28" s="72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4"/>
      <c r="N28" s="73"/>
      <c r="O28" s="73"/>
      <c r="P28" s="74"/>
      <c r="Q28" s="73"/>
      <c r="R28" s="73"/>
      <c r="S28" s="74"/>
      <c r="T28" s="74"/>
      <c r="U28" s="74"/>
      <c r="V28" s="75"/>
      <c r="W28" s="74"/>
      <c r="X28" s="75"/>
      <c r="Y28" s="75"/>
      <c r="Z28" s="74"/>
      <c r="AA28" s="74"/>
      <c r="AB28" s="74"/>
      <c r="AC28" s="74"/>
      <c r="AD28" s="74"/>
      <c r="AE28" s="74"/>
      <c r="AF28" s="74"/>
      <c r="AG28" s="74"/>
      <c r="AH28" s="73"/>
      <c r="AI28" s="73"/>
      <c r="AJ28" s="76"/>
      <c r="AK28" s="76"/>
      <c r="AL28" s="76"/>
    </row>
    <row r="29" spans="1:38" x14ac:dyDescent="0.3">
      <c r="A29" s="37">
        <f t="shared" si="1"/>
        <v>15</v>
      </c>
      <c r="B29" s="65" t="s">
        <v>85</v>
      </c>
      <c r="C29" s="42">
        <f>'[1]SEF-4'!J29</f>
        <v>2420905.35</v>
      </c>
      <c r="D29" s="42">
        <f>'[1]SEF-4'!AH29</f>
        <v>32568.211171221199</v>
      </c>
      <c r="E29" s="44">
        <f>C29+D29</f>
        <v>2453473.5611712211</v>
      </c>
      <c r="F29" s="44">
        <v>0</v>
      </c>
      <c r="G29" s="44">
        <f>E29+F29</f>
        <v>2453473.5611712211</v>
      </c>
      <c r="H29" s="44"/>
      <c r="I29" s="44"/>
      <c r="J29" s="77">
        <v>2420905.35</v>
      </c>
      <c r="K29" s="42"/>
      <c r="L29" s="42">
        <v>0</v>
      </c>
      <c r="M29" s="42"/>
      <c r="N29" s="42">
        <v>0</v>
      </c>
      <c r="O29" s="42">
        <v>0</v>
      </c>
      <c r="P29" s="70">
        <v>0</v>
      </c>
      <c r="Q29" s="42">
        <v>0</v>
      </c>
      <c r="R29" s="42">
        <v>0</v>
      </c>
      <c r="S29" s="70">
        <f>'[1]SEF-6'!AT14+'[1]SEF-6'!AT15+'[1]SEF-6'!AT16</f>
        <v>-7714.9439954954223</v>
      </c>
      <c r="T29" s="70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f>+'[1]SEF-6'!CC15+'[1]SEF-6'!CC16+'[1]SEF-6'!CC14</f>
        <v>40283.15516671662</v>
      </c>
      <c r="AA29" s="70">
        <v>0</v>
      </c>
      <c r="AB29" s="70">
        <v>0</v>
      </c>
      <c r="AC29" s="70"/>
      <c r="AD29" s="70"/>
      <c r="AE29" s="70"/>
      <c r="AF29" s="70"/>
      <c r="AG29" s="70"/>
      <c r="AH29" s="42">
        <f t="shared" ref="AH29:AH43" si="8">SUM(K29:AG29)</f>
        <v>32568.211171221199</v>
      </c>
      <c r="AI29" s="42">
        <f t="shared" ref="AI29:AI43" si="9">J29+AH29</f>
        <v>2453473.5611712211</v>
      </c>
      <c r="AJ29" s="2"/>
      <c r="AK29" s="2"/>
      <c r="AL29" s="2"/>
    </row>
    <row r="30" spans="1:38" x14ac:dyDescent="0.3">
      <c r="A30" s="37">
        <f t="shared" si="1"/>
        <v>16</v>
      </c>
      <c r="B30" s="43" t="s">
        <v>86</v>
      </c>
      <c r="C30" s="46">
        <f>'[1]SEF-4'!J30</f>
        <v>0</v>
      </c>
      <c r="D30" s="47">
        <f>'[1]SEF-4'!AH30</f>
        <v>0</v>
      </c>
      <c r="E30" s="48">
        <f t="shared" ref="E30:E43" si="10">+C30+D30</f>
        <v>0</v>
      </c>
      <c r="F30" s="48"/>
      <c r="G30" s="48">
        <f t="shared" ref="G30:G43" si="11">+E30+F30</f>
        <v>0</v>
      </c>
      <c r="H30" s="48"/>
      <c r="I30" s="48"/>
      <c r="J30" s="77">
        <v>0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>
        <f>+'[1]SEF-6'!CC17</f>
        <v>0</v>
      </c>
      <c r="AA30" s="68"/>
      <c r="AB30" s="46"/>
      <c r="AC30" s="46"/>
      <c r="AD30" s="46"/>
      <c r="AE30" s="46"/>
      <c r="AF30" s="46"/>
      <c r="AG30" s="46"/>
      <c r="AH30" s="46">
        <f t="shared" si="8"/>
        <v>0</v>
      </c>
      <c r="AI30" s="46">
        <f t="shared" si="9"/>
        <v>0</v>
      </c>
      <c r="AJ30" s="2"/>
      <c r="AK30" s="2"/>
      <c r="AL30" s="2"/>
    </row>
    <row r="31" spans="1:38" x14ac:dyDescent="0.3">
      <c r="A31" s="37">
        <f t="shared" si="1"/>
        <v>17</v>
      </c>
      <c r="B31" s="43" t="s">
        <v>87</v>
      </c>
      <c r="C31" s="46">
        <f>'[1]SEF-4'!J31</f>
        <v>55510540.469999999</v>
      </c>
      <c r="D31" s="47">
        <f>'[1]SEF-4'!AH31</f>
        <v>634071.67063171277</v>
      </c>
      <c r="E31" s="48">
        <f t="shared" si="10"/>
        <v>56144612.140631713</v>
      </c>
      <c r="F31" s="48"/>
      <c r="G31" s="48">
        <f t="shared" si="11"/>
        <v>56144612.140631713</v>
      </c>
      <c r="H31" s="48"/>
      <c r="I31" s="48"/>
      <c r="J31" s="77">
        <v>55510540.469999999</v>
      </c>
      <c r="K31" s="46"/>
      <c r="L31" s="46"/>
      <c r="M31" s="46"/>
      <c r="N31" s="46"/>
      <c r="O31" s="46"/>
      <c r="P31" s="46"/>
      <c r="Q31" s="46"/>
      <c r="R31" s="46"/>
      <c r="S31" s="46">
        <f>'[1]SEF-6'!AT18</f>
        <v>-159844.74593767663</v>
      </c>
      <c r="T31" s="46"/>
      <c r="U31" s="46"/>
      <c r="V31" s="46"/>
      <c r="W31" s="46"/>
      <c r="X31" s="46"/>
      <c r="Y31" s="46"/>
      <c r="Z31" s="46">
        <f>'[1]SEF-6'!CC18</f>
        <v>793916.4165693894</v>
      </c>
      <c r="AA31" s="68"/>
      <c r="AB31" s="46"/>
      <c r="AC31" s="46"/>
      <c r="AD31" s="46"/>
      <c r="AE31" s="46"/>
      <c r="AF31" s="46"/>
      <c r="AG31" s="46"/>
      <c r="AH31" s="46">
        <f t="shared" si="8"/>
        <v>634071.67063171277</v>
      </c>
      <c r="AI31" s="46">
        <f t="shared" si="9"/>
        <v>56144612.140631713</v>
      </c>
      <c r="AJ31" s="2"/>
      <c r="AK31" s="2"/>
      <c r="AL31" s="2"/>
    </row>
    <row r="32" spans="1:38" x14ac:dyDescent="0.3">
      <c r="A32" s="37">
        <f t="shared" si="1"/>
        <v>18</v>
      </c>
      <c r="B32" s="78" t="s">
        <v>88</v>
      </c>
      <c r="C32" s="46">
        <f>'[1]SEF-4'!J32</f>
        <v>26085152.498175003</v>
      </c>
      <c r="D32" s="47">
        <f>'[1]SEF-4'!AH32</f>
        <v>3343185.8972946191</v>
      </c>
      <c r="E32" s="48">
        <f t="shared" si="10"/>
        <v>29428338.395469621</v>
      </c>
      <c r="F32" s="48">
        <f>F18*('[1]SEF-3'!O13)</f>
        <v>118181.80979999999</v>
      </c>
      <c r="G32" s="48">
        <f t="shared" si="11"/>
        <v>29546520.20526962</v>
      </c>
      <c r="H32" s="48"/>
      <c r="I32" s="48"/>
      <c r="J32" s="77">
        <v>26085152.498175003</v>
      </c>
      <c r="K32" s="77">
        <f>+'[1]SEF-6'!D39</f>
        <v>-406226.28187695163</v>
      </c>
      <c r="L32" s="77">
        <f>'[1]SEF-6'!J47</f>
        <v>298575</v>
      </c>
      <c r="M32" s="46">
        <f>'[1]SEF-6'!O27</f>
        <v>-269466</v>
      </c>
      <c r="N32" s="77"/>
      <c r="O32" s="77"/>
      <c r="P32" s="46"/>
      <c r="Q32" s="77"/>
      <c r="R32" s="77">
        <f>'[1]SEF-6'!AO26</f>
        <v>244361</v>
      </c>
      <c r="S32" s="46">
        <f>'[1]SEF-6'!AT19</f>
        <v>-53777.651341797726</v>
      </c>
      <c r="T32" s="46"/>
      <c r="U32" s="46">
        <f>'[1]SEF-6'!BD13</f>
        <v>30708.659753503118</v>
      </c>
      <c r="V32" s="46"/>
      <c r="W32" s="46"/>
      <c r="X32" s="46"/>
      <c r="Y32" s="46"/>
      <c r="Z32" s="46">
        <f>+'[1]SEF-6'!CC19</f>
        <v>107338.32466447074</v>
      </c>
      <c r="AA32" s="68"/>
      <c r="AB32" s="46"/>
      <c r="AC32" s="46"/>
      <c r="AD32" s="46">
        <f>'[1]SEF-6'!CU15+'[1]SEF-6'!CU21</f>
        <v>3424153.8813204383</v>
      </c>
      <c r="AE32" s="46"/>
      <c r="AF32" s="46"/>
      <c r="AG32" s="46">
        <f>'[1]SEF-7'!F21</f>
        <v>-32481.03522504351</v>
      </c>
      <c r="AH32" s="46">
        <f t="shared" si="8"/>
        <v>3343185.8972946191</v>
      </c>
      <c r="AI32" s="46">
        <f t="shared" si="9"/>
        <v>29428338.395469621</v>
      </c>
      <c r="AJ32" s="2"/>
      <c r="AK32" s="2"/>
      <c r="AL32" s="2"/>
    </row>
    <row r="33" spans="1:38" x14ac:dyDescent="0.3">
      <c r="A33" s="37">
        <f t="shared" si="1"/>
        <v>19</v>
      </c>
      <c r="B33" s="43" t="s">
        <v>89</v>
      </c>
      <c r="C33" s="46">
        <f>'[1]SEF-4'!J33</f>
        <v>7953019.309071999</v>
      </c>
      <c r="D33" s="47">
        <f>'[1]SEF-4'!AH33</f>
        <v>-5668709.0200789645</v>
      </c>
      <c r="E33" s="48">
        <f t="shared" si="10"/>
        <v>2284310.2889930345</v>
      </c>
      <c r="F33" s="48"/>
      <c r="G33" s="48">
        <f t="shared" si="11"/>
        <v>2284310.2889930345</v>
      </c>
      <c r="H33" s="48"/>
      <c r="I33" s="48"/>
      <c r="J33" s="77">
        <v>7953019.309071999</v>
      </c>
      <c r="K33" s="46"/>
      <c r="L33" s="46"/>
      <c r="M33" s="46">
        <f>'[1]SEF-6'!O33+'[1]SEF-6'!O38</f>
        <v>-5693635.8600000003</v>
      </c>
      <c r="N33" s="46"/>
      <c r="O33" s="46"/>
      <c r="P33" s="46"/>
      <c r="Q33" s="46"/>
      <c r="R33" s="46"/>
      <c r="S33" s="46">
        <f>'[1]SEF-6'!AT20+'[1]SEF-6'!AT21</f>
        <v>-6348.373091474069</v>
      </c>
      <c r="T33" s="46"/>
      <c r="U33" s="46"/>
      <c r="V33" s="46"/>
      <c r="W33" s="46"/>
      <c r="X33" s="46"/>
      <c r="Y33" s="46"/>
      <c r="Z33" s="46">
        <f>+'[1]SEF-6'!CC20+'[1]SEF-6'!CC21</f>
        <v>31275.213012510412</v>
      </c>
      <c r="AA33" s="68"/>
      <c r="AB33" s="46"/>
      <c r="AC33" s="46"/>
      <c r="AD33" s="46"/>
      <c r="AE33" s="46"/>
      <c r="AF33" s="46"/>
      <c r="AG33" s="46"/>
      <c r="AH33" s="46">
        <f t="shared" si="8"/>
        <v>-5668709.0200789645</v>
      </c>
      <c r="AI33" s="46">
        <f t="shared" si="9"/>
        <v>2284310.2889930345</v>
      </c>
      <c r="AJ33" s="2"/>
      <c r="AK33" s="2"/>
      <c r="AL33" s="2"/>
    </row>
    <row r="34" spans="1:38" x14ac:dyDescent="0.3">
      <c r="A34" s="37">
        <f t="shared" si="1"/>
        <v>20</v>
      </c>
      <c r="B34" s="43" t="s">
        <v>90</v>
      </c>
      <c r="C34" s="46">
        <f>'[1]SEF-4'!J34</f>
        <v>12460807.43</v>
      </c>
      <c r="D34" s="47">
        <f>'[1]SEF-4'!AH34</f>
        <v>-12460807.43</v>
      </c>
      <c r="E34" s="48">
        <f t="shared" si="10"/>
        <v>0</v>
      </c>
      <c r="F34" s="48"/>
      <c r="G34" s="48">
        <f t="shared" si="11"/>
        <v>0</v>
      </c>
      <c r="H34" s="48"/>
      <c r="I34" s="48"/>
      <c r="J34" s="77">
        <v>12460807.43</v>
      </c>
      <c r="K34" s="46"/>
      <c r="L34" s="46"/>
      <c r="M34" s="77">
        <f>'[1]SEF-6'!O34</f>
        <v>-12460807.43</v>
      </c>
      <c r="N34" s="46"/>
      <c r="O34" s="46"/>
      <c r="P34" s="77"/>
      <c r="Q34" s="46"/>
      <c r="R34" s="46"/>
      <c r="S34" s="77"/>
      <c r="T34" s="77"/>
      <c r="U34" s="77"/>
      <c r="V34" s="77"/>
      <c r="W34" s="77"/>
      <c r="X34" s="77"/>
      <c r="Y34" s="77"/>
      <c r="Z34" s="77"/>
      <c r="AA34" s="79"/>
      <c r="AB34" s="77"/>
      <c r="AC34" s="77"/>
      <c r="AD34" s="77"/>
      <c r="AE34" s="77"/>
      <c r="AF34" s="77"/>
      <c r="AG34" s="77"/>
      <c r="AH34" s="46">
        <f t="shared" si="8"/>
        <v>-12460807.43</v>
      </c>
      <c r="AI34" s="46">
        <f t="shared" si="9"/>
        <v>0</v>
      </c>
      <c r="AJ34" s="80"/>
      <c r="AK34" s="80"/>
      <c r="AL34" s="80"/>
    </row>
    <row r="35" spans="1:38" x14ac:dyDescent="0.3">
      <c r="A35" s="37">
        <f t="shared" si="1"/>
        <v>21</v>
      </c>
      <c r="B35" s="43" t="s">
        <v>91</v>
      </c>
      <c r="C35" s="46">
        <f>'[1]SEF-4'!J35</f>
        <v>50479810.318484999</v>
      </c>
      <c r="D35" s="47">
        <f>'[1]SEF-4'!AH35</f>
        <v>1466289.9704225224</v>
      </c>
      <c r="E35" s="48">
        <f t="shared" si="10"/>
        <v>51946100.28890752</v>
      </c>
      <c r="F35" s="48">
        <f>F18*('[1]SEF-3'!O14)</f>
        <v>45985.14</v>
      </c>
      <c r="G35" s="48">
        <f t="shared" si="11"/>
        <v>51992085.428907521</v>
      </c>
      <c r="H35" s="48"/>
      <c r="I35" s="48"/>
      <c r="J35" s="77">
        <v>50479810.318484999</v>
      </c>
      <c r="K35" s="46">
        <f>+'[1]SEF-6'!D40</f>
        <v>-158064.70111943645</v>
      </c>
      <c r="L35" s="46">
        <f>'[1]SEF-6'!J48</f>
        <v>116177</v>
      </c>
      <c r="M35" s="46">
        <f>'[1]SEF-6'!O28</f>
        <v>-104850</v>
      </c>
      <c r="N35" s="46"/>
      <c r="O35" s="46"/>
      <c r="P35" s="46"/>
      <c r="Q35" s="46">
        <f>'[1]SEF-6'!AH17</f>
        <v>88826.625337333404</v>
      </c>
      <c r="R35" s="46">
        <v>0</v>
      </c>
      <c r="S35" s="46">
        <f>'[1]SEF-6'!AT22</f>
        <v>-81048.715158138424</v>
      </c>
      <c r="T35" s="46">
        <f>'[1]SEF-6'!AY17</f>
        <v>-17901.10630472796</v>
      </c>
      <c r="U35" s="46"/>
      <c r="V35" s="46">
        <f>'[1]SEF-6'!BH23</f>
        <v>431718.93264399999</v>
      </c>
      <c r="W35" s="46"/>
      <c r="X35" s="46">
        <f>'[1]SEF-6'!BQ15</f>
        <v>-69498.846616303519</v>
      </c>
      <c r="Y35" s="46">
        <f>'[1]SEF-6'!BV14</f>
        <v>880140.1518121101</v>
      </c>
      <c r="Z35" s="46">
        <f>+'[1]SEF-6'!CC22</f>
        <v>446330.40153229795</v>
      </c>
      <c r="AA35" s="46">
        <f>'[1]SEF-6'!CH32</f>
        <v>79135.487875506748</v>
      </c>
      <c r="AB35" s="46">
        <f>'[1]SEF-6'!CL20</f>
        <v>90432.566327203065</v>
      </c>
      <c r="AC35" s="46"/>
      <c r="AD35" s="46"/>
      <c r="AE35" s="46">
        <f>+'[1]SEF-6'!CZ25</f>
        <v>-177705.85300030193</v>
      </c>
      <c r="AF35" s="46">
        <f>+'[1]SEF-6'!DE14</f>
        <v>-44763.437799999956</v>
      </c>
      <c r="AG35" s="46">
        <f>'[1]SEF-7'!F22</f>
        <v>-12638.535107020822</v>
      </c>
      <c r="AH35" s="46">
        <f t="shared" si="8"/>
        <v>1466289.9704225224</v>
      </c>
      <c r="AI35" s="46">
        <f t="shared" si="9"/>
        <v>51946100.28890752</v>
      </c>
      <c r="AJ35" s="2"/>
      <c r="AK35" s="2"/>
      <c r="AL35" s="2"/>
    </row>
    <row r="36" spans="1:38" x14ac:dyDescent="0.3">
      <c r="A36" s="37">
        <f t="shared" si="1"/>
        <v>22</v>
      </c>
      <c r="B36" s="43" t="s">
        <v>25</v>
      </c>
      <c r="C36" s="46">
        <f>'[1]SEF-4'!J36</f>
        <v>122080785.06602001</v>
      </c>
      <c r="D36" s="47">
        <f>'[1]SEF-4'!AH36</f>
        <v>-20280517.163459849</v>
      </c>
      <c r="E36" s="48">
        <f t="shared" si="10"/>
        <v>101800267.90256016</v>
      </c>
      <c r="F36" s="48"/>
      <c r="G36" s="48">
        <f t="shared" si="11"/>
        <v>101800267.90256016</v>
      </c>
      <c r="H36" s="48"/>
      <c r="I36" s="48"/>
      <c r="J36" s="77">
        <v>122080785.06602001</v>
      </c>
      <c r="K36" s="46"/>
      <c r="L36" s="46"/>
      <c r="M36" s="46"/>
      <c r="N36" s="46"/>
      <c r="O36" s="46"/>
      <c r="P36" s="46">
        <f>SUM('[1]SEF-6'!AC13,'[1]SEF-6'!AC14,'[1]SEF-6'!AC21,'[1]SEF-6'!AC30)</f>
        <v>-20259589.246512432</v>
      </c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68"/>
      <c r="AB36" s="46"/>
      <c r="AC36" s="46"/>
      <c r="AD36" s="46"/>
      <c r="AE36" s="46">
        <f>SUM('[1]SEF-6'!CZ26:CZ28)</f>
        <v>-148522.28624783427</v>
      </c>
      <c r="AF36" s="46"/>
      <c r="AG36" s="46">
        <f>'[1]SEF-7'!F17+'[1]SEF-7'!F18</f>
        <v>127594.3693004176</v>
      </c>
      <c r="AH36" s="46">
        <f t="shared" si="8"/>
        <v>-20280517.163459849</v>
      </c>
      <c r="AI36" s="46">
        <f t="shared" si="9"/>
        <v>101800267.90256016</v>
      </c>
      <c r="AJ36" s="2"/>
      <c r="AK36" s="2"/>
      <c r="AL36" s="2"/>
    </row>
    <row r="37" spans="1:38" x14ac:dyDescent="0.3">
      <c r="A37" s="37">
        <f t="shared" si="1"/>
        <v>23</v>
      </c>
      <c r="B37" s="43" t="s">
        <v>92</v>
      </c>
      <c r="C37" s="46">
        <f>'[1]SEF-4'!J37</f>
        <v>11666003.494102001</v>
      </c>
      <c r="D37" s="47">
        <f>'[1]SEF-4'!AH37</f>
        <v>-8253.1208267101902</v>
      </c>
      <c r="E37" s="48">
        <f t="shared" si="10"/>
        <v>11657750.373275291</v>
      </c>
      <c r="F37" s="48"/>
      <c r="G37" s="48">
        <f t="shared" si="11"/>
        <v>11657750.373275291</v>
      </c>
      <c r="H37" s="48"/>
      <c r="I37" s="48"/>
      <c r="J37" s="77">
        <v>11666003.494102001</v>
      </c>
      <c r="K37" s="46"/>
      <c r="L37" s="46"/>
      <c r="M37" s="46"/>
      <c r="N37" s="46"/>
      <c r="O37" s="46"/>
      <c r="P37" s="46">
        <f>'[1]SEF-6'!AC28</f>
        <v>-8253.1208267101902</v>
      </c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>
        <f t="shared" si="8"/>
        <v>-8253.1208267101902</v>
      </c>
      <c r="AI37" s="46">
        <f t="shared" si="9"/>
        <v>11657750.373275291</v>
      </c>
      <c r="AJ37" s="2"/>
      <c r="AK37" s="2"/>
      <c r="AL37" s="2"/>
    </row>
    <row r="38" spans="1:38" x14ac:dyDescent="0.3">
      <c r="A38" s="37">
        <f t="shared" si="1"/>
        <v>24</v>
      </c>
      <c r="B38" s="43" t="s">
        <v>93</v>
      </c>
      <c r="C38" s="46">
        <f>'[1]SEF-4'!J38</f>
        <v>0</v>
      </c>
      <c r="D38" s="47">
        <f>'[1]SEF-4'!AH38</f>
        <v>0</v>
      </c>
      <c r="E38" s="48">
        <f t="shared" si="10"/>
        <v>0</v>
      </c>
      <c r="F38" s="48"/>
      <c r="G38" s="48">
        <f t="shared" si="11"/>
        <v>0</v>
      </c>
      <c r="H38" s="48"/>
      <c r="I38" s="48"/>
      <c r="J38" s="77">
        <v>0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68"/>
      <c r="AB38" s="46"/>
      <c r="AC38" s="46"/>
      <c r="AD38" s="46"/>
      <c r="AE38" s="46"/>
      <c r="AF38" s="46"/>
      <c r="AG38" s="46"/>
      <c r="AH38" s="46">
        <f t="shared" si="8"/>
        <v>0</v>
      </c>
      <c r="AI38" s="46">
        <f t="shared" si="9"/>
        <v>0</v>
      </c>
      <c r="AJ38" s="2"/>
      <c r="AK38" s="2"/>
      <c r="AL38" s="2"/>
    </row>
    <row r="39" spans="1:38" x14ac:dyDescent="0.3">
      <c r="A39" s="37">
        <f t="shared" si="1"/>
        <v>25</v>
      </c>
      <c r="B39" s="43" t="s">
        <v>94</v>
      </c>
      <c r="C39" s="46">
        <f>'[1]SEF-4'!J39</f>
        <v>-230972.9548859999</v>
      </c>
      <c r="D39" s="47">
        <f>'[1]SEF-4'!AH39</f>
        <v>8723077.562962668</v>
      </c>
      <c r="E39" s="48">
        <f t="shared" si="10"/>
        <v>8492104.6080766674</v>
      </c>
      <c r="F39" s="48"/>
      <c r="G39" s="48">
        <f t="shared" si="11"/>
        <v>8492104.6080766674</v>
      </c>
      <c r="H39" s="48"/>
      <c r="I39" s="48"/>
      <c r="J39" s="77">
        <v>-230972.9548859999</v>
      </c>
      <c r="K39" s="46">
        <v>0</v>
      </c>
      <c r="L39" s="46">
        <v>0</v>
      </c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>
        <f>'[1]SEF-6'!BL27</f>
        <v>161676.64666666661</v>
      </c>
      <c r="X39" s="46"/>
      <c r="Y39" s="46"/>
      <c r="Z39" s="46"/>
      <c r="AA39" s="68"/>
      <c r="AB39" s="46"/>
      <c r="AC39" s="46">
        <f>'[1]SEF-6'!CP23</f>
        <v>8561400.9162960015</v>
      </c>
      <c r="AD39" s="46"/>
      <c r="AE39" s="46"/>
      <c r="AF39" s="46"/>
      <c r="AG39" s="46"/>
      <c r="AH39" s="46">
        <f t="shared" si="8"/>
        <v>8723077.562962668</v>
      </c>
      <c r="AI39" s="46">
        <f t="shared" si="9"/>
        <v>8492104.6080766674</v>
      </c>
      <c r="AJ39" s="2"/>
      <c r="AK39" s="2"/>
      <c r="AL39" s="2"/>
    </row>
    <row r="40" spans="1:38" x14ac:dyDescent="0.3">
      <c r="A40" s="37">
        <f t="shared" si="1"/>
        <v>26</v>
      </c>
      <c r="B40" s="2" t="s">
        <v>95</v>
      </c>
      <c r="C40" s="46">
        <f>'[1]SEF-4'!J40</f>
        <v>0</v>
      </c>
      <c r="D40" s="47">
        <f>'[1]SEF-4'!AH40</f>
        <v>0</v>
      </c>
      <c r="E40" s="48">
        <f t="shared" si="10"/>
        <v>0</v>
      </c>
      <c r="F40" s="48"/>
      <c r="G40" s="48">
        <f t="shared" si="11"/>
        <v>0</v>
      </c>
      <c r="H40" s="48"/>
      <c r="I40" s="48"/>
      <c r="J40" s="77">
        <v>0</v>
      </c>
      <c r="AH40" s="46">
        <f t="shared" si="8"/>
        <v>0</v>
      </c>
      <c r="AI40" s="46">
        <f t="shared" si="9"/>
        <v>0</v>
      </c>
      <c r="AJ40" s="2"/>
      <c r="AK40" s="2"/>
      <c r="AL40" s="2"/>
    </row>
    <row r="41" spans="1:38" x14ac:dyDescent="0.3">
      <c r="A41" s="37">
        <f t="shared" si="1"/>
        <v>27</v>
      </c>
      <c r="B41" s="43" t="s">
        <v>96</v>
      </c>
      <c r="C41" s="46">
        <f>'[1]SEF-4'!J41</f>
        <v>95653986.857809991</v>
      </c>
      <c r="D41" s="47">
        <f>'[1]SEF-4'!AH41</f>
        <v>-61297863.427566573</v>
      </c>
      <c r="E41" s="48">
        <f t="shared" si="10"/>
        <v>34356123.430243418</v>
      </c>
      <c r="F41" s="48">
        <f>F18*('[1]SEF-3'!O15)</f>
        <v>881121.26754000003</v>
      </c>
      <c r="G41" s="48">
        <f t="shared" si="11"/>
        <v>35237244.697783418</v>
      </c>
      <c r="H41" s="48"/>
      <c r="I41" s="53"/>
      <c r="J41" s="77">
        <v>95653986.857809991</v>
      </c>
      <c r="K41" s="46">
        <f>+'[1]SEF-6'!E45</f>
        <v>-3028677.7381495219</v>
      </c>
      <c r="L41" s="46">
        <f>'[1]SEF-6'!J51</f>
        <v>2226070</v>
      </c>
      <c r="M41" s="46">
        <f>'[1]SEF-6'!O29+'[1]SEF-6'!O35+'[1]SEF-6'!O39</f>
        <v>-60303750.510000005</v>
      </c>
      <c r="N41" s="46"/>
      <c r="O41" s="46"/>
      <c r="P41" s="46"/>
      <c r="Q41" s="46"/>
      <c r="R41" s="46"/>
      <c r="S41" s="46">
        <f>'[1]SEF-6'!AT25</f>
        <v>-19047.267248915508</v>
      </c>
      <c r="T41" s="46"/>
      <c r="U41" s="46"/>
      <c r="V41" s="46"/>
      <c r="W41" s="46"/>
      <c r="X41" s="46"/>
      <c r="Y41" s="46"/>
      <c r="Z41" s="46">
        <f>+'[1]SEF-6'!CC25</f>
        <v>76498.777279491536</v>
      </c>
      <c r="AA41" s="68"/>
      <c r="AB41" s="46"/>
      <c r="AC41" s="46"/>
      <c r="AD41" s="46"/>
      <c r="AE41" s="46"/>
      <c r="AF41" s="46">
        <f>+'[1]SEF-6'!DE13</f>
        <v>-6789.7182619981468</v>
      </c>
      <c r="AG41" s="46">
        <f>'[1]SEF-7'!F25</f>
        <v>-242166.97118562597</v>
      </c>
      <c r="AH41" s="46">
        <f t="shared" si="8"/>
        <v>-61297863.427566573</v>
      </c>
      <c r="AI41" s="46">
        <f t="shared" si="9"/>
        <v>34356123.430243418</v>
      </c>
      <c r="AJ41" s="2"/>
      <c r="AK41" s="2"/>
      <c r="AL41" s="2"/>
    </row>
    <row r="42" spans="1:38" x14ac:dyDescent="0.3">
      <c r="A42" s="37">
        <f t="shared" si="1"/>
        <v>28</v>
      </c>
      <c r="B42" s="43" t="s">
        <v>97</v>
      </c>
      <c r="C42" s="46">
        <f>'[1]SEF-4'!J42</f>
        <v>0</v>
      </c>
      <c r="D42" s="47">
        <f>'[1]SEF-4'!AH42</f>
        <v>-576843.34264039737</v>
      </c>
      <c r="E42" s="48">
        <f t="shared" si="10"/>
        <v>-576843.34264039737</v>
      </c>
      <c r="F42" s="48">
        <f>F18*'[1]SEF-3'!O20</f>
        <v>7681541.7261600001</v>
      </c>
      <c r="G42" s="48">
        <f t="shared" si="11"/>
        <v>7104698.3835196029</v>
      </c>
      <c r="H42" s="53"/>
      <c r="I42" s="81"/>
      <c r="J42" s="77">
        <v>0</v>
      </c>
      <c r="K42" s="46">
        <f>+'[1]SEF-6'!E48</f>
        <v>-17593763</v>
      </c>
      <c r="L42" s="46">
        <f>'[1]SEF-6'!K56</f>
        <v>8653055</v>
      </c>
      <c r="M42" s="46">
        <f>'[1]SEF-6'!O43</f>
        <v>396387.33050000144</v>
      </c>
      <c r="N42" s="46">
        <f>'[1]SEF-6'!T30</f>
        <v>26587825.211927671</v>
      </c>
      <c r="O42" s="46">
        <f>+'[1]SEF-6'!X22</f>
        <v>-18425658.872162148</v>
      </c>
      <c r="P42" s="46">
        <f>'[1]SEF-6'!AC34</f>
        <v>7093744.8285686923</v>
      </c>
      <c r="Q42" s="46">
        <f>'[1]SEF-6'!AH18</f>
        <v>-31089</v>
      </c>
      <c r="R42" s="46">
        <f>'[1]SEF-6'!AO28</f>
        <v>-85526</v>
      </c>
      <c r="S42" s="46">
        <f>'[1]SEF-6'!AT28</f>
        <v>114723.59387072441</v>
      </c>
      <c r="T42" s="46">
        <f>'[1]SEF-6'!AY19</f>
        <v>6265.3872066547856</v>
      </c>
      <c r="U42" s="46"/>
      <c r="V42" s="42">
        <f>'[1]SEF-6'!BH25</f>
        <v>-151101.6264254</v>
      </c>
      <c r="W42" s="46">
        <f>'[1]SEF-6'!BL29</f>
        <v>-56586.826333333309</v>
      </c>
      <c r="X42" s="46">
        <f>'[1]SEF-6'!BQ18</f>
        <v>24324.596315706229</v>
      </c>
      <c r="Y42" s="46">
        <f>'[1]SEF-6'!BV17</f>
        <v>-308049.05313423852</v>
      </c>
      <c r="Z42" s="46">
        <f>'[1]SEF-6'!CC29</f>
        <v>-523474.80087870394</v>
      </c>
      <c r="AA42" s="46">
        <f>'[1]SEF-6'!CH34</f>
        <v>-27697</v>
      </c>
      <c r="AB42" s="46">
        <f>'[1]SEF-6'!CL22</f>
        <v>-31651.398214521072</v>
      </c>
      <c r="AC42" s="46">
        <f>'[1]SEF-6'!CP25</f>
        <v>-2996490.3207036005</v>
      </c>
      <c r="AD42" s="46">
        <f>'[1]SEF-6'!CU25</f>
        <v>-1198453.8584621532</v>
      </c>
      <c r="AE42" s="46">
        <f>'[1]SEF-6'!CZ31</f>
        <v>114179.84873684766</v>
      </c>
      <c r="AF42" s="46">
        <f>'[1]SEF-6'!DE18</f>
        <v>18044</v>
      </c>
      <c r="AG42" s="46">
        <f>+'[1]SEF-7'!F30</f>
        <v>-2155851.383452598</v>
      </c>
      <c r="AH42" s="46">
        <f t="shared" si="8"/>
        <v>-576843.34264039737</v>
      </c>
      <c r="AI42" s="46">
        <f t="shared" si="9"/>
        <v>-576843.34264039737</v>
      </c>
      <c r="AJ42" s="2"/>
      <c r="AK42" s="2"/>
      <c r="AL42" s="2"/>
    </row>
    <row r="43" spans="1:38" x14ac:dyDescent="0.3">
      <c r="A43" s="37">
        <f t="shared" si="1"/>
        <v>29</v>
      </c>
      <c r="B43" s="2" t="s">
        <v>98</v>
      </c>
      <c r="C43" s="50">
        <f>'[1]SEF-4'!J43</f>
        <v>65853422.740000002</v>
      </c>
      <c r="D43" s="51">
        <f>'[1]SEF-4'!AH43</f>
        <v>-27288647.120000005</v>
      </c>
      <c r="E43" s="52">
        <f t="shared" si="10"/>
        <v>38564775.619999997</v>
      </c>
      <c r="F43" s="52"/>
      <c r="G43" s="52">
        <f t="shared" si="11"/>
        <v>38564775.619999997</v>
      </c>
      <c r="H43" s="70"/>
      <c r="J43" s="77">
        <v>65853422.740000002</v>
      </c>
      <c r="K43" s="46"/>
      <c r="L43" s="46"/>
      <c r="M43" s="50"/>
      <c r="N43" s="46">
        <f>'[1]SEF-6'!T31</f>
        <v>-27288647.120000005</v>
      </c>
      <c r="O43" s="46"/>
      <c r="P43" s="50"/>
      <c r="Q43" s="46"/>
      <c r="R43" s="46"/>
      <c r="S43" s="50"/>
      <c r="T43" s="68"/>
      <c r="U43" s="50"/>
      <c r="V43" s="50"/>
      <c r="W43" s="68"/>
      <c r="X43" s="50"/>
      <c r="Y43" s="50"/>
      <c r="Z43" s="50"/>
      <c r="AA43" s="50"/>
      <c r="AB43" s="50"/>
      <c r="AC43" s="68"/>
      <c r="AD43" s="68"/>
      <c r="AE43" s="68"/>
      <c r="AF43" s="68"/>
      <c r="AG43" s="68"/>
      <c r="AH43" s="46">
        <f t="shared" si="8"/>
        <v>-27288647.120000005</v>
      </c>
      <c r="AI43" s="50">
        <f t="shared" si="9"/>
        <v>38564775.619999997</v>
      </c>
      <c r="AJ43" s="2"/>
      <c r="AK43" s="2"/>
      <c r="AL43" s="2"/>
    </row>
    <row r="44" spans="1:38" x14ac:dyDescent="0.3">
      <c r="A44" s="37">
        <f t="shared" si="1"/>
        <v>30</v>
      </c>
      <c r="B44" s="43" t="s">
        <v>99</v>
      </c>
      <c r="C44" s="71">
        <f>SUM(C27:C43)</f>
        <v>776326829.72877812</v>
      </c>
      <c r="D44" s="71">
        <f>SUM(D29:D43)</f>
        <v>-113382447.31208976</v>
      </c>
      <c r="E44" s="71">
        <f>SUM(E29:E43)</f>
        <v>336551013.26668823</v>
      </c>
      <c r="F44" s="71">
        <f>SUM(F29:F43)</f>
        <v>8726829.943500001</v>
      </c>
      <c r="G44" s="71">
        <f>SUM(G29:G43)</f>
        <v>345277843.21018821</v>
      </c>
      <c r="H44" s="42"/>
      <c r="J44" s="71">
        <f>SUM(J27:J43)</f>
        <v>776326829.72877812</v>
      </c>
      <c r="K44" s="71">
        <f>SUM(K29:K43)</f>
        <v>-21186731.721145909</v>
      </c>
      <c r="L44" s="71">
        <f>SUM(L29:L43)</f>
        <v>11293877</v>
      </c>
      <c r="M44" s="71">
        <f>SUM(M29:M43)</f>
        <v>-78436122.469500005</v>
      </c>
      <c r="N44" s="71">
        <f>SUM(N29:N43)</f>
        <v>-700821.90807233378</v>
      </c>
      <c r="O44" s="71">
        <f t="shared" ref="O44:P44" si="12">SUM(O29:O43)</f>
        <v>-18425658.872162148</v>
      </c>
      <c r="P44" s="71">
        <f t="shared" si="12"/>
        <v>-13174097.538770448</v>
      </c>
      <c r="Q44" s="71">
        <f>SUM(Q27:Q43)</f>
        <v>57737.625337333404</v>
      </c>
      <c r="R44" s="71">
        <f>SUM(R29:R43)</f>
        <v>158835</v>
      </c>
      <c r="S44" s="71">
        <f>SUM(S29:S43)</f>
        <v>-213058.10290277333</v>
      </c>
      <c r="T44" s="71">
        <f>SUM(T29:T43)</f>
        <v>-11635.719098073176</v>
      </c>
      <c r="U44" s="71">
        <f>SUM(U27:U43)</f>
        <v>30708.659753503118</v>
      </c>
      <c r="V44" s="71">
        <f>SUM(V29:V43)</f>
        <v>280617.30621860002</v>
      </c>
      <c r="W44" s="71">
        <f>SUM(W29:W43)</f>
        <v>105089.82033333331</v>
      </c>
      <c r="X44" s="71">
        <f>SUM(X29:X43)</f>
        <v>-45174.25030059729</v>
      </c>
      <c r="Y44" s="71">
        <f>SUM(Y29:Y43)</f>
        <v>572091.09867787152</v>
      </c>
      <c r="Z44" s="71">
        <f>SUM(Z29:Z43)</f>
        <v>972167.48734617291</v>
      </c>
      <c r="AA44" s="71">
        <f>SUM(AA27:AA43)</f>
        <v>51438.487875506748</v>
      </c>
      <c r="AB44" s="71">
        <f t="shared" ref="AB44:AI44" si="13">SUM(AB29:AB43)</f>
        <v>58781.168112681989</v>
      </c>
      <c r="AC44" s="71">
        <f t="shared" si="13"/>
        <v>5564910.595592401</v>
      </c>
      <c r="AD44" s="71">
        <f t="shared" si="13"/>
        <v>2225700.0228582853</v>
      </c>
      <c r="AE44" s="71">
        <f t="shared" si="13"/>
        <v>-212048.29051128853</v>
      </c>
      <c r="AF44" s="71">
        <f t="shared" si="13"/>
        <v>-33509.156061998103</v>
      </c>
      <c r="AG44" s="71">
        <f t="shared" si="13"/>
        <v>-2315543.5556698707</v>
      </c>
      <c r="AH44" s="71">
        <f t="shared" si="13"/>
        <v>-113382447.31208976</v>
      </c>
      <c r="AI44" s="71">
        <f t="shared" si="13"/>
        <v>336551013.26668823</v>
      </c>
      <c r="AJ44" s="2"/>
      <c r="AK44" s="2"/>
      <c r="AL44" s="2"/>
    </row>
    <row r="45" spans="1:38" x14ac:dyDescent="0.3">
      <c r="A45" s="37">
        <f t="shared" si="1"/>
        <v>31</v>
      </c>
      <c r="C45" s="42"/>
      <c r="D45" s="42"/>
      <c r="E45" s="42" t="s">
        <v>79</v>
      </c>
      <c r="F45" s="42"/>
      <c r="G45" s="42"/>
      <c r="H45" s="6"/>
      <c r="J45" s="42"/>
      <c r="K45" s="82" t="s">
        <v>79</v>
      </c>
      <c r="L45" s="82" t="s">
        <v>79</v>
      </c>
      <c r="M45" s="67"/>
      <c r="N45" s="82" t="s">
        <v>79</v>
      </c>
      <c r="O45" s="82" t="s">
        <v>79</v>
      </c>
      <c r="P45" s="67"/>
      <c r="Q45" s="42"/>
      <c r="R45" s="82" t="s">
        <v>79</v>
      </c>
      <c r="S45" s="67"/>
      <c r="T45" s="67"/>
      <c r="U45" s="42"/>
      <c r="V45" s="63" t="s">
        <v>79</v>
      </c>
      <c r="W45" s="67"/>
      <c r="X45" s="63"/>
      <c r="Y45" s="63"/>
      <c r="Z45" s="67"/>
      <c r="AA45" s="42"/>
      <c r="AB45" s="67"/>
      <c r="AC45" s="67"/>
      <c r="AD45" s="67"/>
      <c r="AE45" s="67"/>
      <c r="AF45" s="67"/>
      <c r="AG45" s="67"/>
      <c r="AH45" s="39" t="s">
        <v>79</v>
      </c>
      <c r="AI45" s="39"/>
      <c r="AJ45" s="2"/>
      <c r="AK45" s="2"/>
      <c r="AL45" s="2"/>
    </row>
    <row r="46" spans="1:38" ht="15" thickBot="1" x14ac:dyDescent="0.35">
      <c r="A46" s="37">
        <f t="shared" si="1"/>
        <v>32</v>
      </c>
      <c r="B46" s="2" t="s">
        <v>100</v>
      </c>
      <c r="C46" s="58">
        <f>C18-C44</f>
        <v>119145768.85122192</v>
      </c>
      <c r="D46" s="58">
        <f>D18-D27-D44</f>
        <v>2866178.0712555498</v>
      </c>
      <c r="E46" s="58">
        <f>E18-E27-E44</f>
        <v>122011946.92247766</v>
      </c>
      <c r="F46" s="58">
        <f>F18-F27-F44</f>
        <v>14265740.056499999</v>
      </c>
      <c r="G46" s="58">
        <f>G18-G27-G44</f>
        <v>136277686.97897768</v>
      </c>
      <c r="H46" s="82"/>
      <c r="J46" s="83">
        <f>J18-J44</f>
        <v>119145768.85122192</v>
      </c>
      <c r="K46" s="83">
        <f t="shared" ref="K46:AI46" si="14">K18-K27-K44</f>
        <v>-32674131.179331075</v>
      </c>
      <c r="L46" s="83">
        <f t="shared" si="14"/>
        <v>16069958.616006494</v>
      </c>
      <c r="M46" s="83">
        <f t="shared" si="14"/>
        <v>736148.06664671004</v>
      </c>
      <c r="N46" s="83">
        <f t="shared" si="14"/>
        <v>700821.90807233378</v>
      </c>
      <c r="O46" s="83">
        <f t="shared" si="14"/>
        <v>18425658.872162148</v>
      </c>
      <c r="P46" s="83">
        <f t="shared" si="14"/>
        <v>13174097.538770448</v>
      </c>
      <c r="Q46" s="83">
        <f t="shared" si="14"/>
        <v>-57737.625337333404</v>
      </c>
      <c r="R46" s="83">
        <f t="shared" si="14"/>
        <v>-158835</v>
      </c>
      <c r="S46" s="83">
        <f t="shared" si="14"/>
        <v>213058.10290277333</v>
      </c>
      <c r="T46" s="83">
        <f t="shared" si="14"/>
        <v>11635.719098073176</v>
      </c>
      <c r="U46" s="83">
        <f t="shared" si="14"/>
        <v>-30708.659753503118</v>
      </c>
      <c r="V46" s="83">
        <f t="shared" si="14"/>
        <v>-280617.30621860002</v>
      </c>
      <c r="W46" s="83">
        <f t="shared" si="14"/>
        <v>-105089.82033333331</v>
      </c>
      <c r="X46" s="83">
        <f t="shared" si="14"/>
        <v>45174.25030059729</v>
      </c>
      <c r="Y46" s="83">
        <f t="shared" si="14"/>
        <v>-572091.09867787152</v>
      </c>
      <c r="Z46" s="83">
        <f t="shared" si="14"/>
        <v>-972167.48734617291</v>
      </c>
      <c r="AA46" s="83">
        <f t="shared" si="14"/>
        <v>-51438.487875506748</v>
      </c>
      <c r="AB46" s="83">
        <f t="shared" si="14"/>
        <v>-58781.168112681989</v>
      </c>
      <c r="AC46" s="83">
        <f t="shared" si="14"/>
        <v>-5564910.595592401</v>
      </c>
      <c r="AD46" s="83">
        <f t="shared" si="14"/>
        <v>-2225700.0228582853</v>
      </c>
      <c r="AE46" s="83">
        <f t="shared" si="14"/>
        <v>212048.29051128853</v>
      </c>
      <c r="AF46" s="83">
        <f t="shared" si="14"/>
        <v>33509.156061998103</v>
      </c>
      <c r="AG46" s="83">
        <f t="shared" si="14"/>
        <v>-4003723.99784054</v>
      </c>
      <c r="AH46" s="83">
        <f t="shared" si="14"/>
        <v>2866178.0712555498</v>
      </c>
      <c r="AI46" s="83">
        <f t="shared" si="14"/>
        <v>122011946.92247766</v>
      </c>
      <c r="AJ46" s="2"/>
      <c r="AK46" s="2"/>
      <c r="AL46" s="2"/>
    </row>
    <row r="47" spans="1:38" ht="15" thickTop="1" x14ac:dyDescent="0.3">
      <c r="A47" s="37">
        <f t="shared" si="1"/>
        <v>33</v>
      </c>
      <c r="B47" s="43"/>
      <c r="C47" s="82"/>
      <c r="D47" s="82"/>
      <c r="E47" s="82"/>
      <c r="F47" s="82"/>
      <c r="G47" s="82"/>
      <c r="H47" s="42"/>
      <c r="J47" s="42"/>
      <c r="K47" s="42"/>
      <c r="L47" s="42"/>
      <c r="M47" s="64" t="s">
        <v>79</v>
      </c>
      <c r="N47" s="42"/>
      <c r="O47" s="42"/>
      <c r="P47" s="64"/>
      <c r="Q47" s="42"/>
      <c r="R47" s="42"/>
      <c r="S47" s="64"/>
      <c r="T47" s="64"/>
      <c r="U47" s="64"/>
      <c r="W47" s="64"/>
      <c r="Z47" s="64" t="s">
        <v>79</v>
      </c>
      <c r="AA47" s="64" t="s">
        <v>79</v>
      </c>
      <c r="AB47" s="64" t="s">
        <v>79</v>
      </c>
      <c r="AC47" s="64"/>
      <c r="AD47" s="64"/>
      <c r="AE47" s="64"/>
      <c r="AF47" s="64"/>
      <c r="AG47" s="64"/>
      <c r="AH47" s="39"/>
      <c r="AI47" s="39"/>
      <c r="AJ47" s="2"/>
      <c r="AK47" s="2"/>
      <c r="AL47" s="2"/>
    </row>
    <row r="48" spans="1:38" ht="15" thickBot="1" x14ac:dyDescent="0.35">
      <c r="A48" s="37">
        <f t="shared" si="1"/>
        <v>34</v>
      </c>
      <c r="B48" s="43" t="s">
        <v>101</v>
      </c>
      <c r="C48" s="42">
        <f>'[1]SEF-4'!J48</f>
        <v>1727319760.395555</v>
      </c>
      <c r="D48" s="84">
        <f>'[1]SEF-4'!AH48</f>
        <v>33373872.873642456</v>
      </c>
      <c r="E48" s="42">
        <f>+C48+D48</f>
        <v>1760693633.2691975</v>
      </c>
      <c r="F48" s="42">
        <v>0</v>
      </c>
      <c r="G48" s="42">
        <f>+E48+F48</f>
        <v>1760693633.2691975</v>
      </c>
      <c r="J48" s="83">
        <f>J59</f>
        <v>1727319760.395555</v>
      </c>
      <c r="K48" s="83">
        <f>K59</f>
        <v>0</v>
      </c>
      <c r="L48" s="83">
        <f t="shared" ref="L48:AH48" si="15">L59</f>
        <v>0</v>
      </c>
      <c r="M48" s="83">
        <f t="shared" si="15"/>
        <v>0</v>
      </c>
      <c r="N48" s="83">
        <f t="shared" si="15"/>
        <v>0</v>
      </c>
      <c r="O48" s="83">
        <f t="shared" si="15"/>
        <v>0</v>
      </c>
      <c r="P48" s="83">
        <f t="shared" si="15"/>
        <v>6587048.7693852149</v>
      </c>
      <c r="Q48" s="83">
        <f t="shared" si="15"/>
        <v>0</v>
      </c>
      <c r="R48" s="83">
        <f t="shared" si="15"/>
        <v>0</v>
      </c>
      <c r="S48" s="83">
        <f t="shared" si="15"/>
        <v>0</v>
      </c>
      <c r="T48" s="83">
        <f t="shared" si="15"/>
        <v>0</v>
      </c>
      <c r="U48" s="83">
        <f t="shared" si="15"/>
        <v>0</v>
      </c>
      <c r="V48" s="83">
        <f t="shared" si="15"/>
        <v>0</v>
      </c>
      <c r="W48" s="83">
        <f t="shared" si="15"/>
        <v>0</v>
      </c>
      <c r="X48" s="83">
        <f t="shared" si="15"/>
        <v>0</v>
      </c>
      <c r="Y48" s="83">
        <f t="shared" si="15"/>
        <v>0</v>
      </c>
      <c r="Z48" s="83">
        <f t="shared" si="15"/>
        <v>0</v>
      </c>
      <c r="AA48" s="83">
        <f t="shared" si="15"/>
        <v>0</v>
      </c>
      <c r="AB48" s="83">
        <f t="shared" si="15"/>
        <v>0</v>
      </c>
      <c r="AC48" s="83">
        <f t="shared" si="15"/>
        <v>0</v>
      </c>
      <c r="AD48" s="83">
        <f t="shared" si="15"/>
        <v>0</v>
      </c>
      <c r="AE48" s="83">
        <f t="shared" si="15"/>
        <v>7775115.6953258077</v>
      </c>
      <c r="AF48" s="83">
        <f>AF59</f>
        <v>0</v>
      </c>
      <c r="AG48" s="83">
        <f t="shared" si="15"/>
        <v>19011708.408931427</v>
      </c>
      <c r="AH48" s="83">
        <f t="shared" si="15"/>
        <v>33373872.873642456</v>
      </c>
      <c r="AI48" s="85">
        <f>J48+AH48</f>
        <v>1760693633.2691975</v>
      </c>
      <c r="AJ48" s="2"/>
      <c r="AK48" s="2"/>
      <c r="AL48" s="2"/>
    </row>
    <row r="49" spans="1:39" ht="15" thickTop="1" x14ac:dyDescent="0.3">
      <c r="A49" s="37">
        <f t="shared" si="1"/>
        <v>35</v>
      </c>
      <c r="H49" s="86"/>
      <c r="M49" s="67"/>
      <c r="P49" s="32"/>
      <c r="S49" s="32"/>
      <c r="T49" s="32"/>
      <c r="U49" s="32"/>
      <c r="W49" s="32"/>
      <c r="Z49" s="32"/>
      <c r="AA49" s="32"/>
      <c r="AB49" s="32"/>
      <c r="AC49" s="32"/>
      <c r="AD49" s="32"/>
      <c r="AE49" s="32"/>
      <c r="AF49" s="32"/>
      <c r="AG49" s="32"/>
      <c r="AH49" s="39"/>
      <c r="AI49" s="39"/>
      <c r="AJ49" s="2"/>
      <c r="AK49" s="2"/>
      <c r="AL49" s="2"/>
    </row>
    <row r="50" spans="1:39" x14ac:dyDescent="0.3">
      <c r="A50" s="37">
        <f t="shared" si="1"/>
        <v>36</v>
      </c>
      <c r="B50" s="43" t="s">
        <v>102</v>
      </c>
      <c r="C50" s="86">
        <f>'[1]SEF-4'!J50</f>
        <v>6.8977251104878012E-2</v>
      </c>
      <c r="E50" s="86">
        <f>E46/E48</f>
        <v>6.9297658954971017E-2</v>
      </c>
      <c r="F50" s="86"/>
      <c r="G50" s="86">
        <f>G46/G48</f>
        <v>7.7399999865928854E-2</v>
      </c>
      <c r="H50" s="87"/>
      <c r="J50" s="88">
        <f>J46/J48</f>
        <v>6.8977251104878012E-2</v>
      </c>
      <c r="M50" s="32"/>
      <c r="P50" s="32"/>
      <c r="Q50" s="89"/>
      <c r="S50" s="32"/>
      <c r="T50" s="32"/>
      <c r="U50" s="32"/>
      <c r="W50" s="32"/>
      <c r="Z50" s="32"/>
      <c r="AA50" s="32"/>
      <c r="AB50" s="32"/>
      <c r="AC50" s="32"/>
      <c r="AD50" s="32"/>
      <c r="AE50" s="32"/>
      <c r="AF50" s="32"/>
      <c r="AG50" s="32"/>
      <c r="AI50" s="86">
        <f>AI46/AI48</f>
        <v>6.9297658954971017E-2</v>
      </c>
      <c r="AJ50" s="2"/>
      <c r="AK50" s="2"/>
      <c r="AL50" s="2"/>
    </row>
    <row r="51" spans="1:39" x14ac:dyDescent="0.3">
      <c r="A51" s="37">
        <f t="shared" si="1"/>
        <v>37</v>
      </c>
      <c r="C51" s="87"/>
      <c r="E51" s="87"/>
      <c r="F51" s="87"/>
      <c r="G51" s="87"/>
      <c r="AJ51" s="2"/>
      <c r="AK51" s="2"/>
      <c r="AL51" s="2"/>
    </row>
    <row r="52" spans="1:39" x14ac:dyDescent="0.3">
      <c r="A52" s="37">
        <f t="shared" si="1"/>
        <v>38</v>
      </c>
      <c r="B52" s="2" t="s">
        <v>103</v>
      </c>
      <c r="M52" s="32"/>
      <c r="P52" s="32"/>
      <c r="S52" s="32"/>
      <c r="T52" s="32"/>
      <c r="U52" s="32"/>
      <c r="W52" s="32"/>
      <c r="Z52" s="32"/>
      <c r="AA52" s="32"/>
      <c r="AB52" s="32"/>
      <c r="AC52" s="32"/>
      <c r="AD52" s="32"/>
      <c r="AE52" s="32"/>
      <c r="AF52" s="32"/>
      <c r="AG52" s="32"/>
      <c r="AI52" s="39"/>
      <c r="AJ52" s="2"/>
      <c r="AK52" s="2"/>
      <c r="AL52" s="2"/>
    </row>
    <row r="53" spans="1:39" x14ac:dyDescent="0.3">
      <c r="A53" s="37">
        <f t="shared" si="1"/>
        <v>39</v>
      </c>
      <c r="B53" s="90" t="s">
        <v>104</v>
      </c>
      <c r="C53" s="91">
        <f>J53</f>
        <v>3545031363</v>
      </c>
      <c r="D53" s="91">
        <f>+'[1]SEF-4'!AH53</f>
        <v>39696239.331701197</v>
      </c>
      <c r="E53" s="6">
        <f>+D53+C53</f>
        <v>3584727602.3317013</v>
      </c>
      <c r="G53" s="6">
        <f t="shared" ref="G53:G58" si="16">+E53+F53</f>
        <v>3584727602.3317013</v>
      </c>
      <c r="H53" s="92"/>
      <c r="J53" s="6">
        <v>3545031363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/>
      <c r="Q53" s="6">
        <v>0</v>
      </c>
      <c r="R53" s="6">
        <v>0</v>
      </c>
      <c r="S53" s="6">
        <v>0</v>
      </c>
      <c r="T53" s="6">
        <v>0</v>
      </c>
      <c r="U53" s="6">
        <f>'[1]SEF-6'!BC25</f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f>'[1]SEF-6'!CZ15+'[1]SEF-6'!CZ16</f>
        <v>7690286.2237249985</v>
      </c>
      <c r="AF53" s="6"/>
      <c r="AG53" s="6">
        <f>'[1]SEF-7'!F35</f>
        <v>32005953.107976198</v>
      </c>
      <c r="AH53" s="6">
        <f>SUM(K53:AG53)</f>
        <v>39696239.331701197</v>
      </c>
      <c r="AI53" s="6">
        <f>+AH53+J53</f>
        <v>3584727602.3317013</v>
      </c>
      <c r="AJ53" s="2"/>
      <c r="AK53" s="2"/>
      <c r="AL53" s="2"/>
    </row>
    <row r="54" spans="1:39" x14ac:dyDescent="0.3">
      <c r="A54" s="37">
        <f t="shared" si="1"/>
        <v>40</v>
      </c>
      <c r="B54" s="92" t="s">
        <v>105</v>
      </c>
      <c r="C54" s="11">
        <f>+'[1]SEF-4'!J54</f>
        <v>-1363034789</v>
      </c>
      <c r="D54" s="11">
        <f>+'[1]SEF-4'!AH54</f>
        <v>2736291.3136779414</v>
      </c>
      <c r="E54" s="11">
        <f>+D54+C54</f>
        <v>-1360298497.686322</v>
      </c>
      <c r="F54" s="92"/>
      <c r="G54" s="11">
        <f t="shared" si="16"/>
        <v>-1360298497.686322</v>
      </c>
      <c r="H54" s="93"/>
      <c r="J54" s="11">
        <v>-1363034789</v>
      </c>
      <c r="K54" s="11"/>
      <c r="L54" s="11"/>
      <c r="M54" s="11"/>
      <c r="N54" s="11"/>
      <c r="O54" s="11"/>
      <c r="P54" s="11">
        <f>'[1]SEF-6'!AC39</f>
        <v>10133921.183669562</v>
      </c>
      <c r="Q54" s="11">
        <f>'[1]SEF-6'!AH32</f>
        <v>0</v>
      </c>
      <c r="R54" s="11"/>
      <c r="S54" s="11"/>
      <c r="T54" s="11"/>
      <c r="U54" s="11">
        <f>'[1]SEF-6'!BC26</f>
        <v>0</v>
      </c>
      <c r="V54" s="11"/>
      <c r="W54" s="11"/>
      <c r="X54" s="11"/>
      <c r="Y54" s="11"/>
      <c r="Z54" s="11"/>
      <c r="AA54" s="11"/>
      <c r="AB54" s="11"/>
      <c r="AC54" s="11"/>
      <c r="AD54" s="11"/>
      <c r="AE54" s="11">
        <f>'[1]SEF-6'!CZ17+'[1]SEF-6'!CZ19+'[1]SEF-6'!CZ18</f>
        <v>-49519.887071927762</v>
      </c>
      <c r="AF54" s="11"/>
      <c r="AG54" s="11">
        <f>'[1]SEF-7'!F36+'[1]SEF-7'!F37</f>
        <v>-7348109.9829196921</v>
      </c>
      <c r="AH54" s="11">
        <f>SUM(K54:AG54)</f>
        <v>2736291.3136779414</v>
      </c>
      <c r="AI54" s="11">
        <f>+AH54+J54</f>
        <v>-1360298497.686322</v>
      </c>
      <c r="AJ54" s="2"/>
      <c r="AK54" s="2"/>
      <c r="AL54" s="2"/>
    </row>
    <row r="55" spans="1:39" x14ac:dyDescent="0.3">
      <c r="A55" s="37">
        <f t="shared" si="1"/>
        <v>41</v>
      </c>
      <c r="B55" s="92" t="s">
        <v>106</v>
      </c>
      <c r="C55" s="94">
        <f>+'[1]SEF-4'!J55</f>
        <v>-502155617.94390869</v>
      </c>
      <c r="D55" s="94">
        <f>+'[1]SEF-4'!AH55</f>
        <v>-9058657.7717366852</v>
      </c>
      <c r="E55" s="94">
        <f>+D55+C55</f>
        <v>-511214275.71564537</v>
      </c>
      <c r="F55" s="93"/>
      <c r="G55" s="94">
        <f t="shared" si="16"/>
        <v>-511214275.71564537</v>
      </c>
      <c r="H55" s="91"/>
      <c r="J55" s="94">
        <v>-502155617.94390869</v>
      </c>
      <c r="K55" s="94"/>
      <c r="L55" s="94"/>
      <c r="M55" s="94"/>
      <c r="N55" s="94"/>
      <c r="O55" s="94"/>
      <c r="P55" s="94">
        <f>'[1]SEF-6'!AC40</f>
        <v>-3546872.4142843462</v>
      </c>
      <c r="Q55" s="94">
        <f>'[1]SEF-6'!AH33</f>
        <v>0</v>
      </c>
      <c r="R55" s="94"/>
      <c r="S55" s="94"/>
      <c r="T55" s="11"/>
      <c r="U55" s="11">
        <f>'[1]SEF-6'!BC27</f>
        <v>0</v>
      </c>
      <c r="V55" s="94"/>
      <c r="W55" s="11"/>
      <c r="X55" s="94"/>
      <c r="Y55" s="94"/>
      <c r="Z55" s="94"/>
      <c r="AA55" s="94"/>
      <c r="AB55" s="94"/>
      <c r="AC55" s="94"/>
      <c r="AD55" s="94"/>
      <c r="AE55" s="94">
        <f>'[1]SEF-6'!CZ20+'[1]SEF-6'!CZ21</f>
        <v>134349.35867273732</v>
      </c>
      <c r="AF55" s="94"/>
      <c r="AG55" s="94">
        <f>'[1]SEF-7'!F38+'[1]SEF-7'!F39</f>
        <v>-5646134.7161250766</v>
      </c>
      <c r="AH55" s="11">
        <f>SUM(K55:AG55)</f>
        <v>-9058657.7717366852</v>
      </c>
      <c r="AI55" s="11">
        <f>+AH55+J55</f>
        <v>-511214275.71564537</v>
      </c>
      <c r="AJ55" s="2"/>
      <c r="AK55" s="2"/>
      <c r="AL55" s="2"/>
    </row>
    <row r="56" spans="1:39" x14ac:dyDescent="0.3">
      <c r="A56" s="37">
        <f t="shared" si="1"/>
        <v>42</v>
      </c>
      <c r="B56" s="92" t="s">
        <v>107</v>
      </c>
      <c r="C56" s="95">
        <f>+'[1]SEF-4'!J56</f>
        <v>-30161803</v>
      </c>
      <c r="D56" s="95">
        <f>+'[1]SEF-4'!AH56</f>
        <v>0</v>
      </c>
      <c r="E56" s="95">
        <f>+D56+C56</f>
        <v>-30161803</v>
      </c>
      <c r="F56" s="91"/>
      <c r="G56" s="95">
        <f t="shared" si="16"/>
        <v>-30161803</v>
      </c>
      <c r="H56" s="93"/>
      <c r="I56" s="96"/>
      <c r="J56" s="95">
        <v>-30161803</v>
      </c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7">
        <f>'[1]SEF-6'!BD21</f>
        <v>0</v>
      </c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>
        <f>SUM(K56:AG56)</f>
        <v>0</v>
      </c>
      <c r="AI56" s="95">
        <f>+AH56+J56</f>
        <v>-30161803</v>
      </c>
      <c r="AJ56" s="2"/>
      <c r="AK56" s="2"/>
      <c r="AL56" s="2"/>
    </row>
    <row r="57" spans="1:39" x14ac:dyDescent="0.3">
      <c r="A57" s="37">
        <f t="shared" si="1"/>
        <v>43</v>
      </c>
      <c r="B57" s="92" t="s">
        <v>108</v>
      </c>
      <c r="C57" s="91">
        <f>SUM(C53:C56)</f>
        <v>1649679153.0560913</v>
      </c>
      <c r="D57" s="91">
        <f>SUM(D53:D56)</f>
        <v>33373872.873642456</v>
      </c>
      <c r="E57" s="91">
        <f>SUM(E53:E56)</f>
        <v>1683053025.9297338</v>
      </c>
      <c r="F57" s="93"/>
      <c r="G57" s="91">
        <f>SUM(G53:G56)</f>
        <v>1683053025.9297338</v>
      </c>
      <c r="H57" s="96"/>
      <c r="I57" s="98"/>
      <c r="J57" s="91">
        <f t="shared" ref="J57:S57" si="17">SUM(J53:J56)</f>
        <v>1649679153.0560913</v>
      </c>
      <c r="K57" s="91">
        <f>SUM(K53:K56)</f>
        <v>0</v>
      </c>
      <c r="L57" s="91">
        <f>SUM(L53:L56)</f>
        <v>0</v>
      </c>
      <c r="M57" s="91">
        <f>SUM(M53:M56)</f>
        <v>0</v>
      </c>
      <c r="N57" s="91">
        <f>SUM(N53:N56)</f>
        <v>0</v>
      </c>
      <c r="O57" s="91">
        <f t="shared" si="17"/>
        <v>0</v>
      </c>
      <c r="P57" s="91">
        <f t="shared" si="17"/>
        <v>6587048.7693852149</v>
      </c>
      <c r="Q57" s="91">
        <f t="shared" si="17"/>
        <v>0</v>
      </c>
      <c r="R57" s="91">
        <f t="shared" si="17"/>
        <v>0</v>
      </c>
      <c r="S57" s="91">
        <f t="shared" si="17"/>
        <v>0</v>
      </c>
      <c r="T57" s="91">
        <f>SUM(T53:T56)</f>
        <v>0</v>
      </c>
      <c r="U57" s="91">
        <f t="shared" ref="U57:AI57" si="18">SUM(U53:U56)</f>
        <v>0</v>
      </c>
      <c r="V57" s="91">
        <f t="shared" si="18"/>
        <v>0</v>
      </c>
      <c r="W57" s="91">
        <f t="shared" si="18"/>
        <v>0</v>
      </c>
      <c r="X57" s="91">
        <f t="shared" si="18"/>
        <v>0</v>
      </c>
      <c r="Y57" s="91">
        <f t="shared" si="18"/>
        <v>0</v>
      </c>
      <c r="Z57" s="91">
        <f t="shared" si="18"/>
        <v>0</v>
      </c>
      <c r="AA57" s="91">
        <f t="shared" si="18"/>
        <v>0</v>
      </c>
      <c r="AB57" s="91">
        <f t="shared" si="18"/>
        <v>0</v>
      </c>
      <c r="AC57" s="91">
        <f t="shared" si="18"/>
        <v>0</v>
      </c>
      <c r="AD57" s="91">
        <f t="shared" si="18"/>
        <v>0</v>
      </c>
      <c r="AE57" s="91">
        <f t="shared" si="18"/>
        <v>7775115.6953258077</v>
      </c>
      <c r="AF57" s="91">
        <f t="shared" si="18"/>
        <v>0</v>
      </c>
      <c r="AG57" s="91">
        <f t="shared" si="18"/>
        <v>19011708.408931427</v>
      </c>
      <c r="AH57" s="91">
        <f t="shared" si="18"/>
        <v>33373872.873642456</v>
      </c>
      <c r="AI57" s="91">
        <f t="shared" si="18"/>
        <v>1683053025.9297338</v>
      </c>
      <c r="AJ57" s="2"/>
      <c r="AK57" s="2"/>
      <c r="AL57" s="2"/>
    </row>
    <row r="58" spans="1:39" x14ac:dyDescent="0.3">
      <c r="A58" s="37">
        <f t="shared" si="1"/>
        <v>44</v>
      </c>
      <c r="B58" s="92" t="s">
        <v>109</v>
      </c>
      <c r="C58" s="95">
        <f>+'[1]SEF-4'!J58</f>
        <v>77640607.339463621</v>
      </c>
      <c r="D58" s="95">
        <f>+'[1]SEF-4'!AH58</f>
        <v>0</v>
      </c>
      <c r="E58" s="95">
        <f>+D58+C58</f>
        <v>77640607.339463621</v>
      </c>
      <c r="F58" s="96"/>
      <c r="G58" s="95">
        <f t="shared" si="16"/>
        <v>77640607.339463621</v>
      </c>
      <c r="H58" s="99"/>
      <c r="I58" s="100"/>
      <c r="J58" s="95">
        <v>77640607.339463621</v>
      </c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>
        <f>'[1]SEF-6'!BD22</f>
        <v>0</v>
      </c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>
        <f>SUM(K58:AG58)</f>
        <v>0</v>
      </c>
      <c r="AI58" s="95">
        <f>+AH58+J58</f>
        <v>77640607.339463621</v>
      </c>
      <c r="AJ58" s="2"/>
      <c r="AK58" s="2"/>
      <c r="AL58" s="2"/>
    </row>
    <row r="59" spans="1:39" ht="15" thickBot="1" x14ac:dyDescent="0.35">
      <c r="A59" s="37">
        <v>46</v>
      </c>
      <c r="B59" s="90" t="s">
        <v>110</v>
      </c>
      <c r="C59" s="101">
        <f>SUM(C57:C58)</f>
        <v>1727319760.395555</v>
      </c>
      <c r="D59" s="101">
        <f>SUM(D57:D58)</f>
        <v>33373872.873642456</v>
      </c>
      <c r="E59" s="101">
        <f>SUM(E57:E58)</f>
        <v>1760693633.2691975</v>
      </c>
      <c r="F59" s="98"/>
      <c r="G59" s="102">
        <f>SUM(G57:G58)</f>
        <v>1760693633.2691975</v>
      </c>
      <c r="H59" s="100"/>
      <c r="J59" s="102">
        <f t="shared" ref="J59:S59" si="19">SUM(J57:J58)</f>
        <v>1727319760.395555</v>
      </c>
      <c r="K59" s="102">
        <f>SUM(K57:K58)</f>
        <v>0</v>
      </c>
      <c r="L59" s="102">
        <f>SUM(L57:L58)</f>
        <v>0</v>
      </c>
      <c r="M59" s="102">
        <f>SUM(M57:M58)</f>
        <v>0</v>
      </c>
      <c r="N59" s="102">
        <f>SUM(N57:N58)</f>
        <v>0</v>
      </c>
      <c r="O59" s="102">
        <f t="shared" si="19"/>
        <v>0</v>
      </c>
      <c r="P59" s="102">
        <f t="shared" si="19"/>
        <v>6587048.7693852149</v>
      </c>
      <c r="Q59" s="102">
        <f t="shared" si="19"/>
        <v>0</v>
      </c>
      <c r="R59" s="102">
        <f t="shared" si="19"/>
        <v>0</v>
      </c>
      <c r="S59" s="102">
        <f t="shared" si="19"/>
        <v>0</v>
      </c>
      <c r="T59" s="102">
        <f>SUM(T57:T58)</f>
        <v>0</v>
      </c>
      <c r="U59" s="102">
        <f t="shared" ref="U59:AI59" si="20">SUM(U57:U58)</f>
        <v>0</v>
      </c>
      <c r="V59" s="102">
        <f t="shared" si="20"/>
        <v>0</v>
      </c>
      <c r="W59" s="102">
        <f t="shared" si="20"/>
        <v>0</v>
      </c>
      <c r="X59" s="102">
        <f t="shared" si="20"/>
        <v>0</v>
      </c>
      <c r="Y59" s="102">
        <f t="shared" si="20"/>
        <v>0</v>
      </c>
      <c r="Z59" s="102">
        <f t="shared" si="20"/>
        <v>0</v>
      </c>
      <c r="AA59" s="102">
        <f t="shared" si="20"/>
        <v>0</v>
      </c>
      <c r="AB59" s="102">
        <f t="shared" si="20"/>
        <v>0</v>
      </c>
      <c r="AC59" s="102">
        <f t="shared" si="20"/>
        <v>0</v>
      </c>
      <c r="AD59" s="102">
        <f t="shared" si="20"/>
        <v>0</v>
      </c>
      <c r="AE59" s="102">
        <f t="shared" si="20"/>
        <v>7775115.6953258077</v>
      </c>
      <c r="AF59" s="102">
        <f t="shared" si="20"/>
        <v>0</v>
      </c>
      <c r="AG59" s="102">
        <f t="shared" si="20"/>
        <v>19011708.408931427</v>
      </c>
      <c r="AH59" s="102">
        <f t="shared" si="20"/>
        <v>33373872.873642456</v>
      </c>
      <c r="AI59" s="102">
        <f t="shared" si="20"/>
        <v>1760693633.2691975</v>
      </c>
      <c r="AJ59" s="2"/>
      <c r="AK59" s="2"/>
      <c r="AL59" s="2"/>
    </row>
    <row r="60" spans="1:39" ht="15" thickTop="1" x14ac:dyDescent="0.3">
      <c r="A60" s="37"/>
      <c r="F60" s="100"/>
      <c r="G60" s="100"/>
      <c r="AJ60" s="2"/>
      <c r="AK60" s="2"/>
      <c r="AL60" s="2"/>
    </row>
    <row r="61" spans="1:39" x14ac:dyDescent="0.3">
      <c r="A61" s="32"/>
      <c r="G61" s="8"/>
      <c r="H61" s="8"/>
      <c r="J61" s="103"/>
      <c r="K61" s="103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2"/>
      <c r="AK61" s="2"/>
      <c r="AL61" s="2"/>
      <c r="AM61" s="2"/>
    </row>
    <row r="62" spans="1:39" x14ac:dyDescent="0.3">
      <c r="G62" s="8"/>
      <c r="H62" s="8"/>
      <c r="M62" s="46"/>
    </row>
    <row r="63" spans="1:39" x14ac:dyDescent="0.3">
      <c r="G63" s="8"/>
      <c r="H63" s="8"/>
    </row>
    <row r="64" spans="1:39" x14ac:dyDescent="0.3">
      <c r="G64" s="8"/>
      <c r="H64" s="8"/>
    </row>
  </sheetData>
  <mergeCells count="8">
    <mergeCell ref="C7:F7"/>
    <mergeCell ref="J7:P7"/>
    <mergeCell ref="C4:F4"/>
    <mergeCell ref="J4:P4"/>
    <mergeCell ref="C5:F5"/>
    <mergeCell ref="J5:P5"/>
    <mergeCell ref="C6:F6"/>
    <mergeCell ref="J6:P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2017-01-13T08:00:00+00:00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33D9D1D-3494-48AB-8320-333870EFF555}"/>
</file>

<file path=customXml/itemProps2.xml><?xml version="1.0" encoding="utf-8"?>
<ds:datastoreItem xmlns:ds="http://schemas.openxmlformats.org/officeDocument/2006/customXml" ds:itemID="{6FBE1E1A-74D3-4D34-AED3-EB6DC81AEAEB}"/>
</file>

<file path=customXml/itemProps3.xml><?xml version="1.0" encoding="utf-8"?>
<ds:datastoreItem xmlns:ds="http://schemas.openxmlformats.org/officeDocument/2006/customXml" ds:itemID="{F4D0AC89-4979-474B-9D94-895E3116F77B}"/>
</file>

<file path=customXml/itemProps4.xml><?xml version="1.0" encoding="utf-8"?>
<ds:datastoreItem xmlns:ds="http://schemas.openxmlformats.org/officeDocument/2006/customXml" ds:itemID="{42A0BC02-B974-4EE4-B0D9-1B1985A0C4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SEF-4</vt:lpstr>
    </vt:vector>
  </TitlesOfParts>
  <Company>Perkins Coie LLP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Thomas</dc:creator>
  <cp:lastModifiedBy>Ryan Thomas</cp:lastModifiedBy>
  <dcterms:created xsi:type="dcterms:W3CDTF">2017-01-06T17:36:58Z</dcterms:created>
  <dcterms:modified xsi:type="dcterms:W3CDTF">2017-01-06T17:37:49Z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