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8.2022\"/>
    </mc:Choice>
  </mc:AlternateContent>
  <xr:revisionPtr revIDLastSave="0" documentId="13_ncr:1_{F9B8A958-F3E1-4375-B7D5-D24C8FBB71C4}" xr6:coauthVersionLast="47" xr6:coauthVersionMax="47" xr10:uidLastSave="{00000000-0000-0000-0000-000000000000}"/>
  <bookViews>
    <workbookView xWindow="-120" yWindow="-120" windowWidth="29040" windowHeight="15840" tabRatio="772" activeTab="7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Aug 22" sheetId="81" r:id="rId8"/>
    <sheet name="191010 WA DEF" sheetId="39" r:id="rId9"/>
    <sheet name="191000 WA Amort" sheetId="41" r:id="rId10"/>
  </sheets>
  <externalReferences>
    <externalReference r:id="rId11"/>
    <externalReference r:id="rId12"/>
    <externalReference r:id="rId13"/>
  </externalReferences>
  <definedNames>
    <definedName name="Actual_Cost_Per_MMBtu" localSheetId="9">'[1]Oregon Gas Costs - 1999'!#REF!</definedName>
    <definedName name="Actual_Cost_Per_MMBtu">'[1]Oregon Gas Costs - 1999'!#REF!</definedName>
    <definedName name="Actual_Gas_Costs" localSheetId="9">#REF!</definedName>
    <definedName name="Actual_Gas_Costs">#REF!</definedName>
    <definedName name="Actual_Volumes" localSheetId="9">#REF!</definedName>
    <definedName name="Actual_Volumes">#REF!</definedName>
    <definedName name="Analysis_of_Year_to_Date_Gas_Costs___WWP_System" localSheetId="9">#REF!</definedName>
    <definedName name="Analysis_of_Year_to_Date_Gas_Costs___WWP_System">#REF!</definedName>
    <definedName name="Balancing_Account_Summary" localSheetId="9">#REF!</definedName>
    <definedName name="Balancing_Account_Summary">#REF!</definedName>
    <definedName name="Budgeted_Costs_Volumes" localSheetId="9">#REF!</definedName>
    <definedName name="Budgeted_Costs_Volumes">#REF!</definedName>
    <definedName name="Commodity_Costs" localSheetId="9">#REF!</definedName>
    <definedName name="Commodity_Costs">#REF!</definedName>
    <definedName name="_xlnm.Database" localSheetId="9">'[2]May 2000'!#REF!</definedName>
    <definedName name="_xlnm.Database">'[2]May 2000'!#REF!</definedName>
    <definedName name="EIA857_Report_Info" localSheetId="9">#REF!</definedName>
    <definedName name="EIA857_Report_Info">#REF!</definedName>
    <definedName name="InputMonth">[3]Start!$B$2</definedName>
    <definedName name="JanJunPretaxRate">[3]Start!$C$7</definedName>
    <definedName name="jj" localSheetId="9">'[1]Oregon Gas Costs - 1999'!#REF!</definedName>
    <definedName name="jj">'[1]Oregon Gas Costs - 1999'!#REF!</definedName>
    <definedName name="Journal_Entry_Dollars" localSheetId="9">#REF!</definedName>
    <definedName name="Journal_Entry_Dollars">#REF!</definedName>
    <definedName name="Journal_Entry_Volumes" localSheetId="9">#REF!</definedName>
    <definedName name="Journal_Entry_Volumes">#REF!</definedName>
    <definedName name="JournalEntryPrintArea" localSheetId="9">#REF!</definedName>
    <definedName name="JournalEntryPrintArea">#REF!</definedName>
    <definedName name="JulDecPretaxRate">[3]Start!$C$8</definedName>
    <definedName name="Notes" localSheetId="9">#REF!</definedName>
    <definedName name="Notes">#REF!</definedName>
    <definedName name="_xlnm.Print_Area" localSheetId="9">'191000 WA Amort'!$A$1:$S$45</definedName>
    <definedName name="_xlnm.Print_Area" localSheetId="8">'191010 WA DEF'!$A$1:$L$45</definedName>
    <definedName name="_xlnm.Print_Area" localSheetId="3">'Apr 22'!$B$1:$R$48</definedName>
    <definedName name="_xlnm.Print_Area" localSheetId="7">'Aug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SPREADSHEET_DOCUMENTATION" localSheetId="9">#REF!</definedName>
    <definedName name="SPREADSHEET_DOCUMENTATION">#REF!</definedName>
    <definedName name="Summary_of_Off_system_Sales" localSheetId="9">'[1]Oregon Gas Costs - 1999'!#REF!</definedName>
    <definedName name="Summary_of_Off_system_Sales">'[1]Oregon Gas Costs - 1999'!#REF!</definedName>
    <definedName name="Transportation_Costs" localSheetId="9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1" l="1"/>
  <c r="D1396" i="81"/>
  <c r="N29" i="81"/>
  <c r="M36" i="81" s="1"/>
  <c r="R28" i="81"/>
  <c r="O36" i="81" s="1"/>
  <c r="L28" i="81"/>
  <c r="P27" i="81"/>
  <c r="L27" i="81"/>
  <c r="P26" i="81"/>
  <c r="L26" i="81"/>
  <c r="P25" i="81"/>
  <c r="L25" i="81"/>
  <c r="P24" i="81"/>
  <c r="L24" i="81"/>
  <c r="P23" i="81"/>
  <c r="L23" i="81"/>
  <c r="L17" i="81"/>
  <c r="L19" i="81" s="1"/>
  <c r="N16" i="81"/>
  <c r="P15" i="81"/>
  <c r="P17" i="81" s="1"/>
  <c r="N15" i="81"/>
  <c r="N14" i="81"/>
  <c r="N13" i="81"/>
  <c r="N12" i="81"/>
  <c r="Q11" i="81"/>
  <c r="R11" i="81" s="1"/>
  <c r="N11" i="81"/>
  <c r="R10" i="81"/>
  <c r="N10" i="81"/>
  <c r="E8" i="81"/>
  <c r="F25" i="41"/>
  <c r="L29" i="81" l="1"/>
  <c r="L31" i="81" s="1"/>
  <c r="N17" i="81"/>
  <c r="L36" i="81" s="1"/>
  <c r="P28" i="81"/>
  <c r="P30" i="81" s="1"/>
  <c r="I36" i="81"/>
  <c r="G35" i="81"/>
  <c r="G33" i="81"/>
  <c r="E13" i="81"/>
  <c r="E31" i="81" s="1"/>
  <c r="E32" i="81" s="1"/>
  <c r="E12" i="81"/>
  <c r="E14" i="81" s="1"/>
  <c r="I34" i="81"/>
  <c r="Q12" i="81"/>
  <c r="D1396" i="80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G8" i="81" l="1"/>
  <c r="I8" i="81" s="1"/>
  <c r="I32" i="81" s="1"/>
  <c r="I39" i="81" s="1"/>
  <c r="O35" i="81" s="1"/>
  <c r="O37" i="81" s="1"/>
  <c r="H14" i="81"/>
  <c r="H39" i="81" s="1"/>
  <c r="N35" i="81" s="1"/>
  <c r="F14" i="81"/>
  <c r="F39" i="81" s="1"/>
  <c r="L35" i="81" s="1"/>
  <c r="L37" i="81" s="1"/>
  <c r="G26" i="39" s="1"/>
  <c r="E37" i="81"/>
  <c r="E39" i="81" s="1"/>
  <c r="R12" i="81"/>
  <c r="Q13" i="81"/>
  <c r="P28" i="80"/>
  <c r="P30" i="80" s="1"/>
  <c r="N17" i="80"/>
  <c r="L36" i="80" s="1"/>
  <c r="L29" i="80"/>
  <c r="G35" i="80"/>
  <c r="E13" i="80"/>
  <c r="E31" i="80" s="1"/>
  <c r="E32" i="80" s="1"/>
  <c r="I36" i="80"/>
  <c r="G33" i="80"/>
  <c r="E12" i="80"/>
  <c r="E14" i="80" s="1"/>
  <c r="I34" i="80"/>
  <c r="R28" i="80"/>
  <c r="O36" i="80" s="1"/>
  <c r="Q12" i="80"/>
  <c r="N17" i="79"/>
  <c r="L36" i="79" s="1"/>
  <c r="L29" i="79"/>
  <c r="E13" i="79"/>
  <c r="E31" i="79" s="1"/>
  <c r="E32" i="79" s="1"/>
  <c r="R28" i="79"/>
  <c r="O36" i="79" s="1"/>
  <c r="N24" i="79"/>
  <c r="P28" i="79"/>
  <c r="P30" i="79" s="1"/>
  <c r="I36" i="79"/>
  <c r="G35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G32" i="81" l="1"/>
  <c r="G39" i="81" s="1"/>
  <c r="M35" i="81" s="1"/>
  <c r="M37" i="81" s="1"/>
  <c r="F26" i="39" s="1"/>
  <c r="Q14" i="81"/>
  <c r="R14" i="81" s="1"/>
  <c r="R13" i="81"/>
  <c r="R15" i="81" s="1"/>
  <c r="E42" i="81"/>
  <c r="G8" i="80"/>
  <c r="I8" i="80" s="1"/>
  <c r="I32" i="80" s="1"/>
  <c r="I39" i="80" s="1"/>
  <c r="O35" i="80" s="1"/>
  <c r="O37" i="80" s="1"/>
  <c r="L31" i="80"/>
  <c r="F14" i="80"/>
  <c r="F39" i="80" s="1"/>
  <c r="H14" i="80"/>
  <c r="H39" i="80" s="1"/>
  <c r="N35" i="80" s="1"/>
  <c r="N29" i="80"/>
  <c r="M36" i="80" s="1"/>
  <c r="E37" i="80"/>
  <c r="E39" i="80" s="1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9" l="1"/>
  <c r="P35" i="81"/>
  <c r="M39" i="81"/>
  <c r="N36" i="81"/>
  <c r="N37" i="81" s="1"/>
  <c r="L35" i="80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E39" i="77" l="1"/>
  <c r="H14" i="77"/>
  <c r="H39" i="77" s="1"/>
  <c r="N35" i="77" s="1"/>
  <c r="P36" i="81"/>
  <c r="O39" i="8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M28" i="77"/>
  <c r="N28" i="77" s="1"/>
  <c r="N27" i="77"/>
  <c r="P35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N37" i="80" l="1"/>
  <c r="P36" i="80"/>
  <c r="O39" i="79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M27" i="75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M35" i="74"/>
  <c r="M37" i="74" s="1"/>
  <c r="F19" i="39" s="1"/>
  <c r="M39" i="74"/>
  <c r="P35" i="74"/>
  <c r="A25" i="39" l="1"/>
  <c r="H17" i="41"/>
  <c r="A26" i="39" l="1"/>
  <c r="F17" i="41"/>
  <c r="A27" i="39" l="1"/>
  <c r="A28" i="39" s="1"/>
  <c r="A29" i="39" s="1"/>
  <c r="A30" i="39" s="1"/>
  <c r="F16" i="4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 l="1"/>
  <c r="S8" i="41"/>
  <c r="E9" i="41"/>
  <c r="O9" i="41" s="1"/>
  <c r="P9" i="41" s="1"/>
  <c r="I8" i="39"/>
  <c r="S9" i="41" l="1"/>
  <c r="E10" i="41"/>
  <c r="O10" i="41" s="1"/>
  <c r="P10" i="41" s="1"/>
  <c r="L8" i="39"/>
  <c r="E9" i="39"/>
  <c r="H9" i="39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O13" i="41" s="1"/>
  <c r="P13" i="41" s="1"/>
  <c r="I10" i="39"/>
  <c r="E14" i="41" l="1"/>
  <c r="O14" i="41" s="1"/>
  <c r="P14" i="41" s="1"/>
  <c r="S13" i="41"/>
  <c r="L10" i="39"/>
  <c r="E11" i="39"/>
  <c r="H11" i="39" s="1"/>
  <c r="E15" i="41" l="1"/>
  <c r="S14" i="41"/>
  <c r="I11" i="39"/>
  <c r="O15" i="41"/>
  <c r="P15" i="41" s="1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P24" i="41"/>
  <c r="E26" i="39" l="1"/>
  <c r="H26" i="39" s="1"/>
  <c r="L25" i="39"/>
  <c r="E25" i="41"/>
  <c r="O25" i="41" s="1"/>
  <c r="S24" i="41"/>
  <c r="I26" i="39" l="1"/>
  <c r="H31" i="39"/>
  <c r="P25" i="41"/>
  <c r="E27" i="39" l="1"/>
  <c r="H27" i="39" s="1"/>
  <c r="I27" i="39" s="1"/>
  <c r="E28" i="39" s="1"/>
  <c r="H28" i="39" s="1"/>
  <c r="I28" i="39" s="1"/>
  <c r="E29" i="39" s="1"/>
  <c r="H29" i="39" s="1"/>
  <c r="I29" i="39" s="1"/>
  <c r="E30" i="39" s="1"/>
  <c r="H30" i="39" s="1"/>
  <c r="I30" i="39" s="1"/>
  <c r="L26" i="39"/>
  <c r="E38" i="39"/>
  <c r="F38" i="39"/>
  <c r="F36" i="39"/>
  <c r="E37" i="39"/>
  <c r="E26" i="41"/>
  <c r="O26" i="41" s="1"/>
  <c r="S25" i="41"/>
  <c r="F41" i="39" l="1"/>
  <c r="P26" i="41"/>
  <c r="O31" i="41"/>
  <c r="E27" i="41" l="1"/>
  <c r="O27" i="41" s="1"/>
  <c r="P27" i="41" s="1"/>
  <c r="E28" i="41" s="1"/>
  <c r="O28" i="41" s="1"/>
  <c r="P28" i="41" s="1"/>
  <c r="E29" i="41" s="1"/>
  <c r="O29" i="41" s="1"/>
  <c r="P29" i="41" s="1"/>
  <c r="E30" i="41" s="1"/>
  <c r="O30" i="41" s="1"/>
  <c r="P30" i="41" s="1"/>
  <c r="S26" i="41"/>
  <c r="I38" i="41"/>
  <c r="H38" i="41"/>
  <c r="I36" i="41"/>
  <c r="H37" i="41"/>
  <c r="E47" i="81" s="1"/>
  <c r="E47" i="78" l="1"/>
  <c r="F47" i="78" s="1"/>
  <c r="E47" i="79"/>
  <c r="F47" i="79" s="1"/>
  <c r="E47" i="74"/>
  <c r="F47" i="74" s="1"/>
  <c r="E47" i="75"/>
  <c r="F47" i="75" s="1"/>
  <c r="E47" i="77"/>
  <c r="F47" i="77" s="1"/>
  <c r="E47" i="76"/>
  <c r="F47" i="76" s="1"/>
  <c r="E47" i="80"/>
  <c r="F47" i="80" s="1"/>
  <c r="F47" i="81"/>
  <c r="I41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811AA7A-E8DA-44A9-88CE-31250AC0697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78BF7E1-5A6A-4914-8662-DF9072BFD5E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<sst xmlns="http://schemas.openxmlformats.org/spreadsheetml/2006/main" count="1294" uniqueCount="158">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</sst>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5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1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H10" sqref="H10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 t="shared" ref="S19:S24" si="20"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1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2">F20*G20</f>
        <v>-399883.68286</v>
      </c>
      <c r="I20" s="257">
        <v>7967454</v>
      </c>
      <c r="J20" s="90">
        <v>-2.9020000000000001E-2</v>
      </c>
      <c r="K20" s="101">
        <f t="shared" ref="K20:K28" si="23">I20*J20</f>
        <v>-231215.51508000001</v>
      </c>
      <c r="L20" s="99"/>
      <c r="M20" s="90"/>
      <c r="N20" s="101">
        <f t="shared" ref="N20:N28" si="24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 t="shared" si="20"/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1"/>
        <v>7039422.3188469987</v>
      </c>
      <c r="F21" s="257">
        <f>14466885+38681</f>
        <v>14505566</v>
      </c>
      <c r="G21" s="90">
        <v>-2.0060000000000001E-2</v>
      </c>
      <c r="H21" s="101">
        <f t="shared" si="22"/>
        <v>-290981.65396000003</v>
      </c>
      <c r="I21" s="257">
        <v>6530840</v>
      </c>
      <c r="J21" s="90">
        <v>-2.9020000000000001E-2</v>
      </c>
      <c r="K21" s="101">
        <f t="shared" si="23"/>
        <v>-189524.9768</v>
      </c>
      <c r="L21" s="99"/>
      <c r="M21" s="90"/>
      <c r="N21" s="101">
        <f t="shared" si="24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 t="shared" si="20"/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1"/>
        <v>6577330.1080869986</v>
      </c>
      <c r="F22" s="257">
        <f>12130478+33753</f>
        <v>12164231</v>
      </c>
      <c r="G22" s="90">
        <v>-2.0060000000000001E-2</v>
      </c>
      <c r="H22" s="101">
        <f t="shared" si="22"/>
        <v>-244014.47386000003</v>
      </c>
      <c r="I22" s="257">
        <v>5534897</v>
      </c>
      <c r="J22" s="90">
        <v>-2.9020000000000001E-2</v>
      </c>
      <c r="K22" s="101">
        <f t="shared" si="23"/>
        <v>-160622.71093999999</v>
      </c>
      <c r="L22" s="99"/>
      <c r="M22" s="90"/>
      <c r="N22" s="101">
        <f t="shared" si="24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6189958.5700000003</v>
      </c>
      <c r="S22" s="81">
        <f t="shared" si="20"/>
        <v>-1.3286998495459557E-2</v>
      </c>
    </row>
    <row r="23" spans="1:23">
      <c r="A23" s="135" t="s">
        <v>133</v>
      </c>
      <c r="B23" s="89">
        <v>3.2500000000000001E-2</v>
      </c>
      <c r="C23" s="60">
        <v>0</v>
      </c>
      <c r="D23" s="60">
        <v>0</v>
      </c>
      <c r="E23" s="91">
        <f t="shared" si="21"/>
        <v>6189958.5832869988</v>
      </c>
      <c r="F23" s="257">
        <f>7528936+22516</f>
        <v>7551452</v>
      </c>
      <c r="G23" s="90">
        <v>-2.0060000000000001E-2</v>
      </c>
      <c r="H23" s="101">
        <f t="shared" si="22"/>
        <v>-151482.12712000002</v>
      </c>
      <c r="I23" s="257">
        <v>3861543</v>
      </c>
      <c r="J23" s="90">
        <v>-2.9020000000000001E-2</v>
      </c>
      <c r="K23" s="101">
        <f t="shared" si="23"/>
        <v>-112061.97786</v>
      </c>
      <c r="L23" s="99"/>
      <c r="M23" s="90"/>
      <c r="N23" s="101">
        <f t="shared" si="24"/>
        <v>0</v>
      </c>
      <c r="O23" s="98">
        <f t="shared" si="12"/>
        <v>16407.59</v>
      </c>
      <c r="P23" s="58">
        <f t="shared" si="18"/>
        <v>5942822.0683069983</v>
      </c>
      <c r="Q23" s="46"/>
      <c r="R23" s="80">
        <v>5942822.0599999996</v>
      </c>
      <c r="S23" s="81">
        <f t="shared" si="20"/>
        <v>-8.3069987595081329E-3</v>
      </c>
    </row>
    <row r="24" spans="1:23">
      <c r="A24" s="135" t="s">
        <v>134</v>
      </c>
      <c r="B24" s="89">
        <v>3.2500000000000001E-2</v>
      </c>
      <c r="C24" s="60">
        <v>0</v>
      </c>
      <c r="D24" s="60">
        <v>0</v>
      </c>
      <c r="E24" s="91">
        <f t="shared" si="21"/>
        <v>5942822.0683069983</v>
      </c>
      <c r="F24" s="257">
        <f>3513630+10109</f>
        <v>3523739</v>
      </c>
      <c r="G24" s="90">
        <v>-2.0060000000000001E-2</v>
      </c>
      <c r="H24" s="101">
        <f t="shared" si="22"/>
        <v>-70686.204340000011</v>
      </c>
      <c r="I24" s="257">
        <v>2400538</v>
      </c>
      <c r="J24" s="90">
        <v>-2.9020000000000001E-2</v>
      </c>
      <c r="K24" s="101">
        <f t="shared" si="23"/>
        <v>-69663.612760000004</v>
      </c>
      <c r="L24" s="99"/>
      <c r="M24" s="90"/>
      <c r="N24" s="101">
        <f t="shared" si="24"/>
        <v>0</v>
      </c>
      <c r="O24" s="98">
        <f>ROUND(((E24*(B24/12))+(H24+K24+N24)/2*(B24/12)),2)</f>
        <v>15905.09</v>
      </c>
      <c r="P24" s="58">
        <f t="shared" si="18"/>
        <v>5818377.3412069986</v>
      </c>
      <c r="Q24" s="46"/>
      <c r="R24" s="80">
        <v>5818377.3300000001</v>
      </c>
      <c r="S24" s="81">
        <f t="shared" si="20"/>
        <v>-1.1206998489797115E-2</v>
      </c>
    </row>
    <row r="25" spans="1:23">
      <c r="A25" s="135" t="s">
        <v>135</v>
      </c>
      <c r="B25" s="89">
        <v>3.5999999999999997E-2</v>
      </c>
      <c r="C25" s="60">
        <v>0</v>
      </c>
      <c r="D25" s="60">
        <v>0</v>
      </c>
      <c r="E25" s="91">
        <f t="shared" si="21"/>
        <v>5818377.3412069986</v>
      </c>
      <c r="F25" s="257">
        <f>2224703+5190</f>
        <v>2229893</v>
      </c>
      <c r="G25" s="90">
        <v>-2.0060000000000001E-2</v>
      </c>
      <c r="H25" s="101">
        <f t="shared" si="22"/>
        <v>-44731.653580000006</v>
      </c>
      <c r="I25" s="257">
        <v>1968103</v>
      </c>
      <c r="J25" s="90">
        <v>-2.9020000000000001E-2</v>
      </c>
      <c r="K25" s="101">
        <f t="shared" si="23"/>
        <v>-57114.34906</v>
      </c>
      <c r="L25" s="99"/>
      <c r="M25" s="90"/>
      <c r="N25" s="101">
        <f t="shared" si="24"/>
        <v>0</v>
      </c>
      <c r="O25" s="98">
        <f t="shared" ref="O25:O30" si="25">ROUND(((E25*(B25/12))+(H25+K25+N25)/2*(B25/12)),2)</f>
        <v>17302.36</v>
      </c>
      <c r="P25" s="58">
        <f t="shared" si="18"/>
        <v>5733833.6985669993</v>
      </c>
      <c r="Q25" s="46"/>
      <c r="R25" s="80">
        <v>5733833.6900000004</v>
      </c>
      <c r="S25" s="81">
        <f t="shared" ref="S25" si="26">R25-P25</f>
        <v>-8.5669988766312599E-3</v>
      </c>
    </row>
    <row r="26" spans="1:23">
      <c r="A26" s="135" t="s">
        <v>136</v>
      </c>
      <c r="B26" s="89">
        <v>3.5999999999999997E-2</v>
      </c>
      <c r="C26" s="60">
        <v>0</v>
      </c>
      <c r="D26" s="60">
        <v>0</v>
      </c>
      <c r="E26" s="91">
        <f t="shared" si="21"/>
        <v>5733833.6985669993</v>
      </c>
      <c r="F26" s="257">
        <f>1985915+4782</f>
        <v>1990697</v>
      </c>
      <c r="G26" s="90">
        <v>-2.0060000000000001E-2</v>
      </c>
      <c r="H26" s="101">
        <f t="shared" si="22"/>
        <v>-39933.381820000002</v>
      </c>
      <c r="I26" s="257">
        <v>1803204</v>
      </c>
      <c r="J26" s="90">
        <v>-2.9020000000000001E-2</v>
      </c>
      <c r="K26" s="101">
        <f t="shared" si="23"/>
        <v>-52328.980080000001</v>
      </c>
      <c r="L26" s="99"/>
      <c r="M26" s="90"/>
      <c r="N26" s="101">
        <f t="shared" si="24"/>
        <v>0</v>
      </c>
      <c r="O26" s="98">
        <f t="shared" si="25"/>
        <v>17063.11</v>
      </c>
      <c r="P26" s="58">
        <f t="shared" si="18"/>
        <v>5658634.4466669997</v>
      </c>
      <c r="Q26" s="46"/>
      <c r="R26" s="80">
        <v>5733833.6900000004</v>
      </c>
      <c r="S26" s="81">
        <f t="shared" ref="S26" si="27">R26-P26</f>
        <v>75199.24333300069</v>
      </c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1"/>
        <v>5658634.4466669997</v>
      </c>
      <c r="F27" s="257"/>
      <c r="G27" s="90"/>
      <c r="H27" s="101">
        <f t="shared" si="22"/>
        <v>0</v>
      </c>
      <c r="I27" s="257"/>
      <c r="J27" s="90"/>
      <c r="K27" s="101">
        <f t="shared" si="23"/>
        <v>0</v>
      </c>
      <c r="L27" s="99"/>
      <c r="M27" s="90"/>
      <c r="N27" s="101">
        <f t="shared" si="24"/>
        <v>0</v>
      </c>
      <c r="O27" s="98">
        <f t="shared" si="25"/>
        <v>0</v>
      </c>
      <c r="P27" s="58">
        <f t="shared" si="18"/>
        <v>5658634.4466669997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1"/>
        <v>5658634.4466669997</v>
      </c>
      <c r="F28" s="257"/>
      <c r="G28" s="90"/>
      <c r="H28" s="101">
        <f t="shared" si="22"/>
        <v>0</v>
      </c>
      <c r="I28" s="257"/>
      <c r="J28" s="90"/>
      <c r="K28" s="101">
        <f t="shared" si="23"/>
        <v>0</v>
      </c>
      <c r="L28" s="99"/>
      <c r="M28" s="90"/>
      <c r="N28" s="101">
        <f t="shared" si="24"/>
        <v>0</v>
      </c>
      <c r="O28" s="98">
        <f t="shared" si="25"/>
        <v>0</v>
      </c>
      <c r="P28" s="58">
        <f t="shared" si="18"/>
        <v>5658634.4466669997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1"/>
        <v>5658634.4466669997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5"/>
        <v>0</v>
      </c>
      <c r="P29" s="58">
        <f>E29+H29+K29+N29+O29</f>
        <v>5658634.4466669997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1"/>
        <v>5658634.4466669997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5"/>
        <v>0</v>
      </c>
      <c r="P30" s="63">
        <f t="shared" ref="P30" si="28">E30+H30+K30+N30+O30</f>
        <v>5658634.4466669997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-39933.381820000002</v>
      </c>
      <c r="I31" s="65"/>
      <c r="J31" s="109"/>
      <c r="K31" s="64">
        <f>SUMIF($A$7:$A$30,$G34,K$7:N$30)</f>
        <v>-52328.980080000001</v>
      </c>
      <c r="L31" s="68"/>
      <c r="M31" s="111"/>
      <c r="N31" s="64">
        <f>SUMIF($A$7:$A$18,$G34,N$7:N$18)</f>
        <v>0</v>
      </c>
      <c r="O31" s="64">
        <f>SUMIF($A$7:$A$30,$G34,O$7:O$30)</f>
        <v>17063.11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202208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17063.11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75199.251900000003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</f>
        <v>92262.361900000004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DEF'!#REF!-0.01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6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202205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61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61">
        <v>4002566</v>
      </c>
      <c r="Q10" s="182">
        <v>9.2030000000000001E-2</v>
      </c>
      <c r="R10" s="251">
        <f>P10*Q10</f>
        <v>368356.14898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61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61">
        <v>1773056</v>
      </c>
      <c r="Q11" s="182">
        <f>Q10</f>
        <v>9.2030000000000001E-2</v>
      </c>
      <c r="R11" s="251">
        <f>P11*Q11</f>
        <v>163174.34367999999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61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61">
        <v>84209</v>
      </c>
      <c r="Q12" s="182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3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3">
        <f>+P10</f>
        <v>4002566</v>
      </c>
      <c r="Q23" s="182">
        <v>0.26384000000000002</v>
      </c>
      <c r="R23" s="251">
        <f>P23*Q23</f>
        <v>1056037.0134400001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3">
        <f t="shared" ref="P24:P27" si="4">+P11</f>
        <v>1773056</v>
      </c>
      <c r="Q24" s="182">
        <v>0.26384000000000002</v>
      </c>
      <c r="R24" s="251">
        <f>P24*Q24</f>
        <v>467803.09504000004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3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3">
        <f t="shared" si="4"/>
        <v>84209</v>
      </c>
      <c r="Q25" s="182">
        <v>0.26384000000000002</v>
      </c>
      <c r="R25" s="251">
        <f>P25*Q25</f>
        <v>22217.702560000002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3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112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115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202206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0.65900000000000003</v>
      </c>
      <c r="H8" s="208">
        <v>0.31669999999999998</v>
      </c>
      <c r="I8" s="171">
        <f>1-G8</f>
        <v>0.34099999999999997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2249962.0699999998</v>
      </c>
      <c r="F10" s="210"/>
      <c r="G10" s="211"/>
      <c r="H10" s="210"/>
      <c r="I10" s="201"/>
      <c r="J10" s="31"/>
      <c r="K10" s="25" t="s">
        <v>10</v>
      </c>
      <c r="L10" s="261">
        <v>3513630</v>
      </c>
      <c r="M10" s="182">
        <v>9.3729999999999994E-2</v>
      </c>
      <c r="N10" s="159">
        <f t="shared" ref="N10:N16" si="0">L10*M10</f>
        <v>329332.53989999997</v>
      </c>
      <c r="O10" s="25" t="s">
        <v>10</v>
      </c>
      <c r="P10" s="261">
        <v>1848959</v>
      </c>
      <c r="Q10" s="182">
        <v>9.2030000000000001E-2</v>
      </c>
      <c r="R10" s="159">
        <f>P10*Q10</f>
        <v>170159.69677000001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26012.959999999999</v>
      </c>
      <c r="F11" s="210"/>
      <c r="G11" s="211"/>
      <c r="H11" s="210"/>
      <c r="I11" s="201"/>
      <c r="J11" s="31"/>
      <c r="K11" s="25" t="s">
        <v>42</v>
      </c>
      <c r="L11" s="261">
        <v>10109</v>
      </c>
      <c r="M11" s="182">
        <v>9.3729999999999994E-2</v>
      </c>
      <c r="N11" s="159">
        <f t="shared" si="0"/>
        <v>947.51656999999989</v>
      </c>
      <c r="O11" s="25" t="s">
        <v>11</v>
      </c>
      <c r="P11" s="261">
        <v>1190481</v>
      </c>
      <c r="Q11" s="182">
        <f>Q10</f>
        <v>9.2030000000000001E-2</v>
      </c>
      <c r="R11" s="159">
        <f>P11*Q11</f>
        <v>109559.96643</v>
      </c>
    </row>
    <row r="12" spans="2:20" ht="15.6" customHeight="1" thickBot="1">
      <c r="B12" s="172" t="s">
        <v>104</v>
      </c>
      <c r="C12" s="6"/>
      <c r="D12" s="6"/>
      <c r="E12" s="220">
        <f>SUM(E10:E11)</f>
        <v>2275975.0299999998</v>
      </c>
      <c r="F12" s="212"/>
      <c r="G12" s="213"/>
      <c r="H12" s="212"/>
      <c r="I12" s="202"/>
      <c r="J12" s="31"/>
      <c r="K12" s="25" t="s">
        <v>11</v>
      </c>
      <c r="L12" s="261">
        <v>2400538</v>
      </c>
      <c r="M12" s="182">
        <v>8.7319999999999995E-2</v>
      </c>
      <c r="N12" s="159">
        <f t="shared" si="0"/>
        <v>209614.97816</v>
      </c>
      <c r="O12" s="25" t="s">
        <v>12</v>
      </c>
      <c r="P12" s="261">
        <v>60747</v>
      </c>
      <c r="Q12" s="182">
        <f t="shared" ref="Q12:Q14" si="1">Q11</f>
        <v>9.2030000000000001E-2</v>
      </c>
      <c r="R12" s="159">
        <f>P12*Q12</f>
        <v>5590.5464099999999</v>
      </c>
    </row>
    <row r="13" spans="2:20" ht="15.6" customHeight="1" thickBot="1">
      <c r="B13" s="173" t="s">
        <v>25</v>
      </c>
      <c r="C13" s="1"/>
      <c r="D13" s="1"/>
      <c r="E13" s="221">
        <f>-E11</f>
        <v>-26012.959999999999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2249962.0699999998</v>
      </c>
      <c r="F14" s="227">
        <f>E14*F8</f>
        <v>1537399.082431</v>
      </c>
      <c r="G14" s="228"/>
      <c r="H14" s="227">
        <f>E14*H8</f>
        <v>712562.98756899987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66891</v>
      </c>
      <c r="M15" s="182">
        <v>5.4429999999999999E-2</v>
      </c>
      <c r="N15" s="159">
        <f t="shared" si="0"/>
        <v>3640.8771299999999</v>
      </c>
      <c r="O15" s="24" t="s">
        <v>29</v>
      </c>
      <c r="P15" s="131">
        <f>SUM(P10:P14)</f>
        <v>3100187</v>
      </c>
      <c r="Q15" s="132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2450070</v>
      </c>
      <c r="M16" s="182">
        <v>5.4000000000000001E-4</v>
      </c>
      <c r="N16" s="159">
        <f t="shared" si="0"/>
        <v>1323.0378000000001</v>
      </c>
      <c r="O16" s="25"/>
      <c r="P16" s="183">
        <v>3100187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23966515</v>
      </c>
      <c r="F17" s="233"/>
      <c r="G17" s="231"/>
      <c r="H17" s="230"/>
      <c r="I17" s="232"/>
      <c r="J17" s="31"/>
      <c r="K17" s="24" t="s">
        <v>29</v>
      </c>
      <c r="L17" s="131">
        <f>SUM(L10:L16)</f>
        <v>8441238</v>
      </c>
      <c r="M17" s="4"/>
      <c r="N17" s="22">
        <f>SUM(N10:N16)</f>
        <v>544858.94955999998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175199.84</v>
      </c>
      <c r="F18" s="230"/>
      <c r="G18" s="231"/>
      <c r="H18" s="230"/>
      <c r="I18" s="232"/>
      <c r="J18" s="31"/>
      <c r="K18" s="15"/>
      <c r="L18" s="183">
        <v>8441238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41623.9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16218.91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-3490993.11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851053.66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19804.14</v>
      </c>
      <c r="F23" s="230"/>
      <c r="G23" s="231"/>
      <c r="H23" s="230"/>
      <c r="I23" s="232"/>
      <c r="J23" s="31"/>
      <c r="K23" s="25" t="s">
        <v>10</v>
      </c>
      <c r="L23" s="253">
        <f>+L10</f>
        <v>3513630</v>
      </c>
      <c r="M23" s="182">
        <v>0.22319</v>
      </c>
      <c r="N23" s="159">
        <f t="shared" ref="N23" si="2">L23*M23</f>
        <v>784207.0797</v>
      </c>
      <c r="O23" s="25" t="s">
        <v>10</v>
      </c>
      <c r="P23" s="253">
        <f>+P10</f>
        <v>1848959</v>
      </c>
      <c r="Q23" s="182">
        <v>0.26384000000000002</v>
      </c>
      <c r="R23" s="159">
        <f>P23*Q23</f>
        <v>487829.34256000002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-13826538.439999999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10109</v>
      </c>
      <c r="M24" s="182">
        <f>M23</f>
        <v>0.22319</v>
      </c>
      <c r="N24" s="159">
        <f>L24*M24</f>
        <v>2256.2277100000001</v>
      </c>
      <c r="O24" s="25" t="s">
        <v>11</v>
      </c>
      <c r="P24" s="253">
        <f t="shared" ref="P24:P27" si="4">+P11</f>
        <v>1190481</v>
      </c>
      <c r="Q24" s="182">
        <v>0.26384000000000002</v>
      </c>
      <c r="R24" s="159">
        <f>P24*Q24</f>
        <v>314096.50704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-51440.58</v>
      </c>
      <c r="F25" s="230"/>
      <c r="G25" s="231"/>
      <c r="H25" s="230"/>
      <c r="I25" s="232"/>
      <c r="J25" s="31"/>
      <c r="K25" s="25" t="s">
        <v>11</v>
      </c>
      <c r="L25" s="253">
        <f t="shared" si="3"/>
        <v>2400538</v>
      </c>
      <c r="M25" s="182">
        <f t="shared" ref="M25:M28" si="5">M24</f>
        <v>0.22319</v>
      </c>
      <c r="N25" s="159">
        <f>L25*M25</f>
        <v>535776.07622000005</v>
      </c>
      <c r="O25" s="25" t="s">
        <v>12</v>
      </c>
      <c r="P25" s="253">
        <f t="shared" si="4"/>
        <v>60747</v>
      </c>
      <c r="Q25" s="182">
        <v>0.26384000000000002</v>
      </c>
      <c r="R25" s="159">
        <f>P25*Q25</f>
        <v>16027.488480000002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-2518596.36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15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652657.5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15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-2665988.52</v>
      </c>
      <c r="F28" s="230"/>
      <c r="G28" s="231"/>
      <c r="H28" s="230"/>
      <c r="I28" s="232"/>
      <c r="J28" s="31"/>
      <c r="K28" s="25" t="s">
        <v>14</v>
      </c>
      <c r="L28" s="253">
        <f t="shared" si="3"/>
        <v>66891</v>
      </c>
      <c r="M28" s="182">
        <f t="shared" si="5"/>
        <v>0.22319</v>
      </c>
      <c r="N28" s="159">
        <f>L28*M28</f>
        <v>14929.40229</v>
      </c>
      <c r="O28" s="24" t="s">
        <v>31</v>
      </c>
      <c r="P28" s="131">
        <f>SUM(P23:P27)</f>
        <v>3100187</v>
      </c>
      <c r="Q28" s="132"/>
      <c r="R28" s="22">
        <f>SUM(R23:R27)</f>
        <v>817953.33808000013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5991168</v>
      </c>
      <c r="M29" s="132"/>
      <c r="N29" s="139">
        <f>SUM(N23:N28)</f>
        <v>1337168.7859200002</v>
      </c>
      <c r="O29" s="24"/>
      <c r="P29" s="183">
        <v>3100187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5991168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26012.959999999999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2726778.9000000008</v>
      </c>
      <c r="F32" s="237"/>
      <c r="G32" s="211">
        <f>E32*G8</f>
        <v>1796947.2951000007</v>
      </c>
      <c r="H32" s="128"/>
      <c r="I32" s="201">
        <f>E32*I8</f>
        <v>929831.60490000015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-97742.06</v>
      </c>
      <c r="F35" s="230"/>
      <c r="G35" s="211">
        <f>E35</f>
        <v>-97742.06</v>
      </c>
      <c r="H35" s="128"/>
      <c r="I35" s="201"/>
      <c r="J35" s="31"/>
      <c r="K35" s="14" t="s">
        <v>112</v>
      </c>
      <c r="L35" s="129">
        <f>$F$39</f>
        <v>1537399.082431</v>
      </c>
      <c r="M35" s="129">
        <f>G39</f>
        <v>1699205.2351000006</v>
      </c>
      <c r="N35" s="129">
        <f>$H$39</f>
        <v>712562.98756899987</v>
      </c>
      <c r="O35" s="129">
        <f>I39</f>
        <v>880067.86490000016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-49763.74</v>
      </c>
      <c r="F36" s="230"/>
      <c r="G36" s="211"/>
      <c r="H36" s="128"/>
      <c r="I36" s="201">
        <f>E36</f>
        <v>-49763.74</v>
      </c>
      <c r="J36" s="31"/>
      <c r="K36" s="14" t="s">
        <v>115</v>
      </c>
      <c r="L36" s="184">
        <f>-$N$17</f>
        <v>-544858.94955999998</v>
      </c>
      <c r="M36" s="184">
        <f>-N29</f>
        <v>-1337168.7859200002</v>
      </c>
      <c r="N36" s="184">
        <f>-$R$15</f>
        <v>-285310.20961000002</v>
      </c>
      <c r="O36" s="184">
        <f>-R28</f>
        <v>-817953.33808000013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2579273.1000000006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992540.13287099998</v>
      </c>
      <c r="M37" s="134">
        <f>SUM(M35:M36)</f>
        <v>362036.44918000046</v>
      </c>
      <c r="N37" s="134">
        <f t="shared" si="6"/>
        <v>427252.77795899985</v>
      </c>
      <c r="O37" s="134">
        <f t="shared" si="6"/>
        <v>62114.526820000028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4829235.17</v>
      </c>
      <c r="F39" s="225">
        <f>SUM(F14:F37)</f>
        <v>1537399.082431</v>
      </c>
      <c r="G39" s="226">
        <f t="shared" ref="G39:I39" si="7">SUM(G14:G37)</f>
        <v>1699205.2351000006</v>
      </c>
      <c r="H39" s="225">
        <f t="shared" si="7"/>
        <v>712562.98756899987</v>
      </c>
      <c r="I39" s="181">
        <f t="shared" si="7"/>
        <v>880067.86490000016</v>
      </c>
      <c r="J39" s="31"/>
      <c r="K39" s="190"/>
      <c r="L39" s="193" t="s">
        <v>36</v>
      </c>
      <c r="M39" s="191">
        <f>SUM(L37:M37)</f>
        <v>1354576.5820510006</v>
      </c>
      <c r="N39" s="194" t="s">
        <v>37</v>
      </c>
      <c r="O39" s="191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4829235.17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topLeftCell="A13" zoomScale="60" zoomScaleNormal="60" workbookViewId="0">
      <selection activeCell="P20" sqref="P20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202207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0.66010000000000002</v>
      </c>
      <c r="H8" s="208">
        <v>0.31669999999999998</v>
      </c>
      <c r="I8" s="171">
        <f>1-G8</f>
        <v>0.33989999999999998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2343543.09</v>
      </c>
      <c r="F10" s="210"/>
      <c r="G10" s="211"/>
      <c r="H10" s="210"/>
      <c r="I10" s="201"/>
      <c r="J10" s="31"/>
      <c r="K10" s="25" t="s">
        <v>10</v>
      </c>
      <c r="L10" s="261">
        <v>2224703</v>
      </c>
      <c r="M10" s="182">
        <v>9.3729999999999994E-2</v>
      </c>
      <c r="N10" s="159">
        <f t="shared" ref="N10:N16" si="0">L10*M10</f>
        <v>208521.41218999997</v>
      </c>
      <c r="O10" s="25" t="s">
        <v>10</v>
      </c>
      <c r="P10" s="261">
        <v>1197969</v>
      </c>
      <c r="Q10" s="182">
        <v>9.2030000000000001E-2</v>
      </c>
      <c r="R10" s="159">
        <f>P10*Q10</f>
        <v>110249.08706999999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20224.349999999999</v>
      </c>
      <c r="F11" s="210"/>
      <c r="G11" s="211"/>
      <c r="H11" s="210"/>
      <c r="I11" s="201"/>
      <c r="J11" s="31"/>
      <c r="K11" s="25" t="s">
        <v>42</v>
      </c>
      <c r="L11" s="261">
        <v>5190</v>
      </c>
      <c r="M11" s="182">
        <v>9.3729999999999994E-2</v>
      </c>
      <c r="N11" s="159">
        <f t="shared" si="0"/>
        <v>486.45869999999996</v>
      </c>
      <c r="O11" s="25" t="s">
        <v>11</v>
      </c>
      <c r="P11" s="261">
        <v>933655</v>
      </c>
      <c r="Q11" s="182">
        <f>Q10</f>
        <v>9.2030000000000001E-2</v>
      </c>
      <c r="R11" s="159">
        <f>P11*Q11</f>
        <v>85924.269650000002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2363767.44</v>
      </c>
      <c r="F12" s="212"/>
      <c r="G12" s="213"/>
      <c r="H12" s="212"/>
      <c r="I12" s="202"/>
      <c r="J12" s="31"/>
      <c r="K12" s="25" t="s">
        <v>11</v>
      </c>
      <c r="L12" s="261">
        <v>1968103</v>
      </c>
      <c r="M12" s="182">
        <v>8.7319999999999995E-2</v>
      </c>
      <c r="N12" s="159">
        <f t="shared" si="0"/>
        <v>171854.75396</v>
      </c>
      <c r="O12" s="25" t="s">
        <v>12</v>
      </c>
      <c r="P12" s="261">
        <v>52381</v>
      </c>
      <c r="Q12" s="182">
        <f t="shared" ref="Q12:Q14" si="1">Q11</f>
        <v>9.2030000000000001E-2</v>
      </c>
      <c r="R12" s="159">
        <f>P12*Q12</f>
        <v>4820.6234299999996</v>
      </c>
    </row>
    <row r="13" spans="2:20" ht="15.6" customHeight="1" thickBot="1">
      <c r="B13" s="173" t="s">
        <v>25</v>
      </c>
      <c r="C13" s="1"/>
      <c r="D13" s="1"/>
      <c r="E13" s="221">
        <f>-E11</f>
        <v>-20224.349999999999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2343543.09</v>
      </c>
      <c r="F14" s="227">
        <f>E14*F8</f>
        <v>1601342.993397</v>
      </c>
      <c r="G14" s="228"/>
      <c r="H14" s="227">
        <f>E14*H8</f>
        <v>742200.09660299995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43650</v>
      </c>
      <c r="M15" s="182">
        <v>5.4429999999999999E-2</v>
      </c>
      <c r="N15" s="159">
        <f t="shared" si="0"/>
        <v>2375.8694999999998</v>
      </c>
      <c r="O15" s="24" t="s">
        <v>29</v>
      </c>
      <c r="P15" s="131">
        <f>SUM(P10:P14)</f>
        <v>2184005</v>
      </c>
      <c r="Q15" s="132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2120903</v>
      </c>
      <c r="M16" s="182">
        <v>5.4000000000000001E-4</v>
      </c>
      <c r="N16" s="159">
        <f t="shared" si="0"/>
        <v>1145.2876200000001</v>
      </c>
      <c r="O16" s="25"/>
      <c r="P16" s="183">
        <v>2184005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20395325.77</v>
      </c>
      <c r="F17" s="233"/>
      <c r="G17" s="231"/>
      <c r="H17" s="230"/>
      <c r="I17" s="232"/>
      <c r="J17" s="31"/>
      <c r="K17" s="24" t="s">
        <v>29</v>
      </c>
      <c r="L17" s="131">
        <f>SUM(L10:L16)</f>
        <v>6362549</v>
      </c>
      <c r="M17" s="4"/>
      <c r="N17" s="22">
        <f>SUM(N10:N16)</f>
        <v>384383.78196999995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-101905.24</v>
      </c>
      <c r="F18" s="230"/>
      <c r="G18" s="231"/>
      <c r="H18" s="230"/>
      <c r="I18" s="232"/>
      <c r="J18" s="31"/>
      <c r="K18" s="15"/>
      <c r="L18" s="183">
        <v>6362549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48228.3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17239.939999999999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-2388206.29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959122.23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97028.92</v>
      </c>
      <c r="F23" s="230"/>
      <c r="G23" s="231"/>
      <c r="H23" s="230"/>
      <c r="I23" s="232"/>
      <c r="J23" s="31"/>
      <c r="K23" s="25" t="s">
        <v>10</v>
      </c>
      <c r="L23" s="253">
        <f>+L10</f>
        <v>2224703</v>
      </c>
      <c r="M23" s="182" t="s">
        <v>141</v>
      </c>
      <c r="N23" s="262">
        <v>770483</v>
      </c>
      <c r="O23" s="25" t="s">
        <v>10</v>
      </c>
      <c r="P23" s="253">
        <f>+P10</f>
        <v>1197969</v>
      </c>
      <c r="Q23" s="182" t="s">
        <v>141</v>
      </c>
      <c r="R23" s="262">
        <v>434521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-11282821.470000001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5190</v>
      </c>
      <c r="M24" s="182" t="s">
        <v>141</v>
      </c>
      <c r="N24" s="262">
        <v>1875</v>
      </c>
      <c r="O24" s="25" t="s">
        <v>11</v>
      </c>
      <c r="P24" s="253">
        <f t="shared" ref="P24:P27" si="3">+P11</f>
        <v>933655</v>
      </c>
      <c r="Q24" s="182" t="s">
        <v>141</v>
      </c>
      <c r="R24" s="262">
        <v>324896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-55052.13</v>
      </c>
      <c r="F25" s="230"/>
      <c r="G25" s="231"/>
      <c r="H25" s="230"/>
      <c r="I25" s="232"/>
      <c r="J25" s="31"/>
      <c r="K25" s="25" t="s">
        <v>11</v>
      </c>
      <c r="L25" s="253">
        <f t="shared" si="2"/>
        <v>1968103</v>
      </c>
      <c r="M25" s="182" t="s">
        <v>141</v>
      </c>
      <c r="N25" s="262">
        <v>645580</v>
      </c>
      <c r="O25" s="25" t="s">
        <v>12</v>
      </c>
      <c r="P25" s="253">
        <f t="shared" si="3"/>
        <v>52381</v>
      </c>
      <c r="Q25" s="182" t="s">
        <v>141</v>
      </c>
      <c r="R25" s="262">
        <v>17153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-1977646.18</v>
      </c>
      <c r="F26" s="233"/>
      <c r="G26" s="231"/>
      <c r="H26" s="230"/>
      <c r="I26" s="232"/>
      <c r="J26" s="31"/>
      <c r="K26" s="25" t="s">
        <v>12</v>
      </c>
      <c r="L26" s="253">
        <f t="shared" si="2"/>
        <v>0</v>
      </c>
      <c r="M26" s="182" t="s">
        <v>141</v>
      </c>
      <c r="N26" s="262">
        <v>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898449.75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-5269743.13</v>
      </c>
      <c r="F28" s="230"/>
      <c r="G28" s="231"/>
      <c r="H28" s="230"/>
      <c r="I28" s="232"/>
      <c r="J28" s="31"/>
      <c r="K28" s="25" t="s">
        <v>14</v>
      </c>
      <c r="L28" s="253">
        <f t="shared" si="2"/>
        <v>43650</v>
      </c>
      <c r="M28" s="182" t="s">
        <v>141</v>
      </c>
      <c r="N28" s="262">
        <v>12903</v>
      </c>
      <c r="O28" s="24" t="s">
        <v>31</v>
      </c>
      <c r="P28" s="131">
        <f>SUM(P23:P27)</f>
        <v>2184005</v>
      </c>
      <c r="Q28" s="132"/>
      <c r="R28" s="22">
        <f>SUM(R23:R27)</f>
        <v>776570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4241646</v>
      </c>
      <c r="M29" s="132"/>
      <c r="N29" s="139">
        <f>SUM(N23:N28)</f>
        <v>1430841</v>
      </c>
      <c r="O29" s="24"/>
      <c r="P29" s="183">
        <v>2184005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4241646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20224.349999999999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891494.82000000624</v>
      </c>
      <c r="F32" s="237"/>
      <c r="G32" s="211">
        <f>E32*G8</f>
        <v>588475.73068200413</v>
      </c>
      <c r="H32" s="128"/>
      <c r="I32" s="201">
        <f>E32*I8</f>
        <v>303019.08931800211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-151290.91</v>
      </c>
      <c r="F35" s="230"/>
      <c r="G35" s="211">
        <f>E35</f>
        <v>-151290.91</v>
      </c>
      <c r="H35" s="128"/>
      <c r="I35" s="201"/>
      <c r="J35" s="31"/>
      <c r="K35" s="14" t="s">
        <v>112</v>
      </c>
      <c r="L35" s="129">
        <f>$F$39</f>
        <v>1601342.993397</v>
      </c>
      <c r="M35" s="129">
        <f>G39</f>
        <v>437184.82068200409</v>
      </c>
      <c r="N35" s="129">
        <f>$H$39</f>
        <v>742200.09660299995</v>
      </c>
      <c r="O35" s="129">
        <f>I39</f>
        <v>225156.56931800209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-77862.52</v>
      </c>
      <c r="F36" s="230"/>
      <c r="G36" s="211"/>
      <c r="H36" s="128"/>
      <c r="I36" s="201">
        <f>E36</f>
        <v>-77862.52</v>
      </c>
      <c r="J36" s="31"/>
      <c r="K36" s="14" t="s">
        <v>115</v>
      </c>
      <c r="L36" s="184">
        <f>-$N$17</f>
        <v>-384383.78196999995</v>
      </c>
      <c r="M36" s="184">
        <f>-N29</f>
        <v>-1430841</v>
      </c>
      <c r="N36" s="184">
        <f>-$R$15</f>
        <v>-200993.98014999999</v>
      </c>
      <c r="O36" s="184">
        <f>-R28</f>
        <v>-776570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662341.39000000618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1216959.2114270001</v>
      </c>
      <c r="M37" s="134">
        <f>SUM(M35:M36)</f>
        <v>-993656.17931799591</v>
      </c>
      <c r="N37" s="134">
        <f t="shared" si="4"/>
        <v>541206.116453</v>
      </c>
      <c r="O37" s="134">
        <f t="shared" si="4"/>
        <v>-551413.43068199791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3005884.480000006</v>
      </c>
      <c r="F39" s="225">
        <f>SUM(F14:F37)</f>
        <v>1601342.993397</v>
      </c>
      <c r="G39" s="226">
        <f t="shared" ref="G39:I39" si="5">SUM(G14:G37)</f>
        <v>437184.82068200409</v>
      </c>
      <c r="H39" s="225">
        <f t="shared" si="5"/>
        <v>742200.09660299995</v>
      </c>
      <c r="I39" s="181">
        <f t="shared" si="5"/>
        <v>225156.56931800209</v>
      </c>
      <c r="J39" s="31"/>
      <c r="K39" s="190"/>
      <c r="L39" s="193" t="s">
        <v>36</v>
      </c>
      <c r="M39" s="191">
        <f>SUM(L37:M37)</f>
        <v>223303.03210900421</v>
      </c>
      <c r="N39" s="194" t="s">
        <v>37</v>
      </c>
      <c r="O39" s="191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3005884.48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C7B-491B-487F-893C-B4029F47D6AC}">
  <sheetPr>
    <pageSetUpPr fitToPage="1"/>
  </sheetPr>
  <dimension ref="A1:T1396"/>
  <sheetViews>
    <sheetView tabSelected="1" topLeftCell="A10" zoomScale="60" zoomScaleNormal="60" workbookViewId="0">
      <selection activeCell="G37" sqref="G3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202208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0.62539999999999996</v>
      </c>
      <c r="H8" s="208">
        <v>0.31669999999999998</v>
      </c>
      <c r="I8" s="171">
        <f>1-G8</f>
        <v>0.37460000000000004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2242053.17</v>
      </c>
      <c r="F10" s="210"/>
      <c r="G10" s="211"/>
      <c r="H10" s="210"/>
      <c r="I10" s="201"/>
      <c r="J10" s="31"/>
      <c r="K10" s="25" t="s">
        <v>10</v>
      </c>
      <c r="L10" s="261">
        <v>1985915</v>
      </c>
      <c r="M10" s="182">
        <v>9.3729999999999994E-2</v>
      </c>
      <c r="N10" s="159">
        <f t="shared" ref="N10:N16" si="0">L10*M10</f>
        <v>186139.81294999999</v>
      </c>
      <c r="O10" s="25" t="s">
        <v>10</v>
      </c>
      <c r="P10" s="261">
        <v>1020601</v>
      </c>
      <c r="Q10" s="182">
        <v>9.2030000000000001E-2</v>
      </c>
      <c r="R10" s="159">
        <f>P10*Q10</f>
        <v>93925.910029999999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11960.31</v>
      </c>
      <c r="F11" s="210"/>
      <c r="G11" s="211"/>
      <c r="H11" s="210"/>
      <c r="I11" s="201"/>
      <c r="J11" s="31"/>
      <c r="K11" s="25" t="s">
        <v>42</v>
      </c>
      <c r="L11" s="261">
        <v>4782</v>
      </c>
      <c r="M11" s="182">
        <v>9.3729999999999994E-2</v>
      </c>
      <c r="N11" s="159">
        <f t="shared" si="0"/>
        <v>448.21686</v>
      </c>
      <c r="O11" s="25" t="s">
        <v>11</v>
      </c>
      <c r="P11" s="261">
        <v>1211431</v>
      </c>
      <c r="Q11" s="182">
        <f>Q10</f>
        <v>9.2030000000000001E-2</v>
      </c>
      <c r="R11" s="159">
        <f>P11*Q11</f>
        <v>111487.99493</v>
      </c>
    </row>
    <row r="12" spans="2:20" ht="15.6" customHeight="1" thickBot="1">
      <c r="B12" s="172" t="s">
        <v>104</v>
      </c>
      <c r="C12" s="6"/>
      <c r="D12" s="6"/>
      <c r="E12" s="220">
        <f>SUM(E10:E11)</f>
        <v>2254013.48</v>
      </c>
      <c r="F12" s="212"/>
      <c r="G12" s="213"/>
      <c r="H12" s="212"/>
      <c r="I12" s="202"/>
      <c r="J12" s="31"/>
      <c r="K12" s="25" t="s">
        <v>11</v>
      </c>
      <c r="L12" s="261">
        <v>1803204</v>
      </c>
      <c r="M12" s="182">
        <v>8.7319999999999995E-2</v>
      </c>
      <c r="N12" s="159">
        <f t="shared" si="0"/>
        <v>157455.77327999999</v>
      </c>
      <c r="O12" s="25" t="s">
        <v>12</v>
      </c>
      <c r="P12" s="261">
        <v>70612</v>
      </c>
      <c r="Q12" s="182">
        <f t="shared" ref="Q12:Q14" si="1">Q11</f>
        <v>9.2030000000000001E-2</v>
      </c>
      <c r="R12" s="159">
        <f>P12*Q12</f>
        <v>6498.4223600000005</v>
      </c>
    </row>
    <row r="13" spans="2:20" ht="15.6" customHeight="1" thickBot="1">
      <c r="B13" s="173" t="s">
        <v>25</v>
      </c>
      <c r="C13" s="1"/>
      <c r="D13" s="1"/>
      <c r="E13" s="221">
        <f>-E11</f>
        <v>-11960.31</v>
      </c>
      <c r="F13" s="210"/>
      <c r="G13" s="211"/>
      <c r="H13" s="210"/>
      <c r="I13" s="201"/>
      <c r="J13" s="31"/>
      <c r="K13" s="25" t="s">
        <v>12</v>
      </c>
      <c r="L13" s="261">
        <v>10449</v>
      </c>
      <c r="M13" s="182">
        <v>8.7319999999999995E-2</v>
      </c>
      <c r="N13" s="159">
        <f t="shared" si="0"/>
        <v>912.40667999999994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2242053.17</v>
      </c>
      <c r="F14" s="227">
        <f>E14*F8</f>
        <v>1531994.9310610001</v>
      </c>
      <c r="G14" s="228"/>
      <c r="H14" s="227">
        <f>E14*H8</f>
        <v>710058.23893899994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40664</v>
      </c>
      <c r="M15" s="182">
        <v>5.4429999999999999E-2</v>
      </c>
      <c r="N15" s="159">
        <f t="shared" si="0"/>
        <v>2213.3415199999999</v>
      </c>
      <c r="O15" s="24" t="s">
        <v>29</v>
      </c>
      <c r="P15" s="131">
        <f>SUM(P10:P14)</f>
        <v>2302644</v>
      </c>
      <c r="Q15" s="132"/>
      <c r="R15" s="22">
        <f>SUM(R10:R14)</f>
        <v>211912.32732000001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2117375</v>
      </c>
      <c r="M16" s="182">
        <v>5.4000000000000001E-4</v>
      </c>
      <c r="N16" s="159">
        <f t="shared" si="0"/>
        <v>1143.3824999999999</v>
      </c>
      <c r="O16" s="25"/>
      <c r="P16" s="183">
        <v>2302644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7225017.2400000002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5962389</v>
      </c>
      <c r="M17" s="4"/>
      <c r="N17" s="22">
        <f>SUM(N10:N16)</f>
        <v>348312.93378999998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126173.75</v>
      </c>
      <c r="F18" s="230"/>
      <c r="G18" s="231"/>
      <c r="H18" s="230"/>
      <c r="I18" s="232"/>
      <c r="J18" s="31"/>
      <c r="K18" s="15"/>
      <c r="L18" s="183">
        <v>5962389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35014.120000000003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16358.7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-3143949.89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367277.58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1880554.87</v>
      </c>
      <c r="F23" s="230"/>
      <c r="G23" s="231"/>
      <c r="H23" s="230"/>
      <c r="I23" s="232"/>
      <c r="J23" s="31"/>
      <c r="K23" s="25" t="s">
        <v>10</v>
      </c>
      <c r="L23" s="253">
        <f>+L10</f>
        <v>1985915</v>
      </c>
      <c r="M23" s="182" t="s">
        <v>141</v>
      </c>
      <c r="N23" s="262">
        <v>662507</v>
      </c>
      <c r="O23" s="25" t="s">
        <v>10</v>
      </c>
      <c r="P23" s="253">
        <f>+P10</f>
        <v>1020601</v>
      </c>
      <c r="Q23" s="182" t="s">
        <v>141</v>
      </c>
      <c r="R23" s="262">
        <v>357272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-1545888.91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4782</v>
      </c>
      <c r="M24" s="182" t="s">
        <v>141</v>
      </c>
      <c r="N24" s="262">
        <v>1596</v>
      </c>
      <c r="O24" s="25" t="s">
        <v>11</v>
      </c>
      <c r="P24" s="253">
        <f t="shared" ref="P24:P27" si="3">+P11</f>
        <v>1211431</v>
      </c>
      <c r="Q24" s="182" t="s">
        <v>141</v>
      </c>
      <c r="R24" s="262">
        <v>420628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-59830.99</v>
      </c>
      <c r="F25" s="230"/>
      <c r="G25" s="231"/>
      <c r="H25" s="230"/>
      <c r="I25" s="232"/>
      <c r="J25" s="31"/>
      <c r="K25" s="25" t="s">
        <v>11</v>
      </c>
      <c r="L25" s="253">
        <f t="shared" si="2"/>
        <v>1803204</v>
      </c>
      <c r="M25" s="182" t="s">
        <v>141</v>
      </c>
      <c r="N25" s="262">
        <v>600782</v>
      </c>
      <c r="O25" s="25" t="s">
        <v>12</v>
      </c>
      <c r="P25" s="253">
        <f t="shared" si="3"/>
        <v>70612</v>
      </c>
      <c r="Q25" s="182" t="s">
        <v>141</v>
      </c>
      <c r="R25" s="262">
        <v>24726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-2466988.9</v>
      </c>
      <c r="F26" s="233"/>
      <c r="G26" s="231"/>
      <c r="H26" s="230"/>
      <c r="I26" s="232"/>
      <c r="J26" s="31"/>
      <c r="K26" s="25" t="s">
        <v>12</v>
      </c>
      <c r="L26" s="253">
        <f t="shared" si="2"/>
        <v>10449</v>
      </c>
      <c r="M26" s="182" t="s">
        <v>141</v>
      </c>
      <c r="N26" s="262">
        <v>3490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2222151.2999999998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-4530966.92</v>
      </c>
      <c r="F28" s="230"/>
      <c r="G28" s="231"/>
      <c r="H28" s="230"/>
      <c r="I28" s="232"/>
      <c r="J28" s="31"/>
      <c r="K28" s="25" t="s">
        <v>14</v>
      </c>
      <c r="L28" s="253">
        <f t="shared" si="2"/>
        <v>40664</v>
      </c>
      <c r="M28" s="182" t="s">
        <v>141</v>
      </c>
      <c r="N28" s="262">
        <v>13572</v>
      </c>
      <c r="O28" s="24" t="s">
        <v>31</v>
      </c>
      <c r="P28" s="131">
        <f>SUM(P23:P27)</f>
        <v>2302644</v>
      </c>
      <c r="Q28" s="132"/>
      <c r="R28" s="22">
        <f>SUM(R23:R27)</f>
        <v>802626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3845014</v>
      </c>
      <c r="M29" s="132"/>
      <c r="N29" s="139">
        <f>SUM(N23:N28)</f>
        <v>1281947</v>
      </c>
      <c r="O29" s="24"/>
      <c r="P29" s="183">
        <v>2302644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3845014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11960.31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-331867.74000000075</v>
      </c>
      <c r="F32" s="237"/>
      <c r="G32" s="211">
        <f>E32*G8</f>
        <v>-207550.08459600047</v>
      </c>
      <c r="H32" s="128"/>
      <c r="I32" s="201">
        <f>E32*I8</f>
        <v>-124317.6554040003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122402.62</v>
      </c>
      <c r="F35" s="230"/>
      <c r="G35" s="211">
        <f>E35</f>
        <v>122402.62</v>
      </c>
      <c r="H35" s="128"/>
      <c r="I35" s="201"/>
      <c r="J35" s="31"/>
      <c r="K35" s="14" t="s">
        <v>112</v>
      </c>
      <c r="L35" s="129">
        <f>$F$39</f>
        <v>1531994.9310610001</v>
      </c>
      <c r="M35" s="129">
        <f>G39</f>
        <v>-85147.464596000471</v>
      </c>
      <c r="N35" s="129">
        <f>$H$39</f>
        <v>710058.23893899994</v>
      </c>
      <c r="O35" s="129">
        <f>I39</f>
        <v>-66822.645404000301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57495.01</v>
      </c>
      <c r="F36" s="230"/>
      <c r="G36" s="211"/>
      <c r="H36" s="128"/>
      <c r="I36" s="201">
        <f>E36</f>
        <v>57495.01</v>
      </c>
      <c r="J36" s="31"/>
      <c r="K36" s="14" t="s">
        <v>115</v>
      </c>
      <c r="L36" s="184">
        <f>-$N$17</f>
        <v>-348312.93378999998</v>
      </c>
      <c r="M36" s="184">
        <f>-N29</f>
        <v>-1281947</v>
      </c>
      <c r="N36" s="184">
        <f>-$R$15</f>
        <v>-211912.32732000001</v>
      </c>
      <c r="O36" s="184">
        <f>-R28</f>
        <v>-802626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-151970.11000000074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1183681.9972710002</v>
      </c>
      <c r="M37" s="134">
        <f>SUM(M35:M36)</f>
        <v>-1367094.4645960005</v>
      </c>
      <c r="N37" s="134">
        <f t="shared" si="4"/>
        <v>498145.9116189999</v>
      </c>
      <c r="O37" s="134">
        <f t="shared" si="4"/>
        <v>-869448.6454040003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2090083.0599999991</v>
      </c>
      <c r="F39" s="225">
        <f>SUM(F14:F37)</f>
        <v>1531994.9310610001</v>
      </c>
      <c r="G39" s="226">
        <f t="shared" ref="G39:I39" si="5">SUM(G14:G37)</f>
        <v>-85147.464596000471</v>
      </c>
      <c r="H39" s="225">
        <f t="shared" si="5"/>
        <v>710058.23893899994</v>
      </c>
      <c r="I39" s="181">
        <f t="shared" si="5"/>
        <v>-66822.645404000301</v>
      </c>
      <c r="J39" s="31"/>
      <c r="K39" s="190"/>
      <c r="L39" s="193" t="s">
        <v>36</v>
      </c>
      <c r="M39" s="191">
        <f>SUM(L37:M37)</f>
        <v>-183412.46732500033</v>
      </c>
      <c r="N39" s="194" t="s">
        <v>37</v>
      </c>
      <c r="O39" s="191">
        <f>SUM(N37:O37)</f>
        <v>-371302.7337850004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2090083.06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zoomScale="90" zoomScaleNormal="90" workbookViewId="0">
      <pane ySplit="6" topLeftCell="A7" activePane="bottomLeft" state="frozen"/>
      <selection activeCell="F26" sqref="F26"/>
      <selection pane="bottomLeft" activeCell="F8" sqref="F8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13046917.439999999</v>
      </c>
      <c r="L22" s="81">
        <f t="shared" ref="L22" si="26">K22-I22</f>
        <v>-7.4109956622123718E-3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>
        <v>3.2500000000000001E-2</v>
      </c>
      <c r="C23" s="57"/>
      <c r="D23" s="60">
        <v>0</v>
      </c>
      <c r="E23" s="79">
        <f t="shared" si="19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5"/>
        <v>39215.269999999997</v>
      </c>
      <c r="I23" s="98">
        <f t="shared" si="21"/>
        <v>15951267.432185991</v>
      </c>
      <c r="J23" s="59"/>
      <c r="K23" s="80">
        <v>15951267.42</v>
      </c>
      <c r="L23" s="81">
        <f t="shared" ref="L23" si="27">K23-I23</f>
        <v>-1.2185990810394287E-2</v>
      </c>
      <c r="M23" s="70"/>
      <c r="N23" s="242"/>
      <c r="O23" s="242"/>
    </row>
    <row r="24" spans="1:23" s="40" customFormat="1" ht="15.75">
      <c r="A24" s="72">
        <f t="shared" si="23"/>
        <v>202206</v>
      </c>
      <c r="B24" s="77">
        <v>3.2500000000000001E-2</v>
      </c>
      <c r="C24" s="57"/>
      <c r="D24" s="60">
        <v>0</v>
      </c>
      <c r="E24" s="79">
        <f t="shared" si="19"/>
        <v>15951267.432185991</v>
      </c>
      <c r="F24" s="78">
        <f>'Jun 22'!M$37</f>
        <v>362036.44918000046</v>
      </c>
      <c r="G24" s="78">
        <f>'Jun 22'!L$37</f>
        <v>992540.13287099998</v>
      </c>
      <c r="H24" s="58">
        <f t="shared" si="25"/>
        <v>45035.67</v>
      </c>
      <c r="I24" s="98">
        <f t="shared" si="21"/>
        <v>17350879.684236992</v>
      </c>
      <c r="J24" s="59"/>
      <c r="K24" s="80">
        <v>17350879.670000002</v>
      </c>
      <c r="L24" s="81">
        <f t="shared" ref="L24" si="28">K24-I24</f>
        <v>-1.4236990362405777E-2</v>
      </c>
      <c r="M24" s="70"/>
      <c r="N24" s="242"/>
      <c r="O24" s="242"/>
    </row>
    <row r="25" spans="1:23" s="40" customFormat="1" ht="15.75">
      <c r="A25" s="72">
        <f t="shared" si="23"/>
        <v>202207</v>
      </c>
      <c r="B25" s="77">
        <v>3.5999999999999997E-2</v>
      </c>
      <c r="C25" s="57"/>
      <c r="D25" s="60">
        <v>0</v>
      </c>
      <c r="E25" s="79">
        <f t="shared" si="19"/>
        <v>17350879.684236992</v>
      </c>
      <c r="F25" s="78">
        <f>'Jul 22'!M$37</f>
        <v>-993656.17931799591</v>
      </c>
      <c r="G25" s="78">
        <f>'Jul 22'!L$37</f>
        <v>1216959.2114270001</v>
      </c>
      <c r="H25" s="58">
        <f t="shared" si="25"/>
        <v>52387.59</v>
      </c>
      <c r="I25" s="98">
        <f>SUM(E25:H25)</f>
        <v>17626570.306345996</v>
      </c>
      <c r="J25" s="59"/>
      <c r="K25" s="80">
        <v>17626570.289999999</v>
      </c>
      <c r="L25" s="81">
        <f t="shared" ref="L25" si="29">K25-I25</f>
        <v>-1.6345996409654617E-2</v>
      </c>
      <c r="M25" s="70"/>
      <c r="N25" s="242"/>
    </row>
    <row r="26" spans="1:23" s="40" customFormat="1" ht="15.75">
      <c r="A26" s="72">
        <f t="shared" si="23"/>
        <v>202208</v>
      </c>
      <c r="B26" s="77">
        <v>3.5999999999999997E-2</v>
      </c>
      <c r="C26" s="57"/>
      <c r="D26" s="60">
        <v>0</v>
      </c>
      <c r="E26" s="79">
        <f t="shared" si="19"/>
        <v>17626570.306345996</v>
      </c>
      <c r="F26" s="78">
        <f>'Aug 22'!M$37</f>
        <v>-1367094.4645960005</v>
      </c>
      <c r="G26" s="78">
        <f>'Aug 22'!L$37</f>
        <v>1183681.9972710002</v>
      </c>
      <c r="H26" s="58">
        <f t="shared" si="25"/>
        <v>52604.59</v>
      </c>
      <c r="I26" s="98">
        <f>SUM(E26:H26)</f>
        <v>17495762.429020997</v>
      </c>
      <c r="J26" s="59"/>
      <c r="K26" s="80">
        <v>17626570.289999999</v>
      </c>
      <c r="L26" s="81">
        <f t="shared" ref="L26" si="30">K26-I26</f>
        <v>130807.86097900197</v>
      </c>
      <c r="M26" s="70"/>
    </row>
    <row r="27" spans="1:23" s="40" customFormat="1" ht="15.75">
      <c r="A27" s="72">
        <f t="shared" si="23"/>
        <v>202209</v>
      </c>
      <c r="B27" s="77"/>
      <c r="C27" s="57"/>
      <c r="D27" s="60">
        <v>0</v>
      </c>
      <c r="E27" s="79">
        <f t="shared" si="19"/>
        <v>17495762.429020997</v>
      </c>
      <c r="F27" s="78"/>
      <c r="G27" s="78"/>
      <c r="H27" s="58">
        <f t="shared" si="25"/>
        <v>0</v>
      </c>
      <c r="I27" s="98">
        <f t="shared" ref="I27:I28" si="31">SUM(E27:H27)</f>
        <v>17495762.429020997</v>
      </c>
      <c r="J27" s="59"/>
      <c r="K27" s="80"/>
      <c r="L27" s="81"/>
      <c r="M27" s="70"/>
    </row>
    <row r="28" spans="1:23" s="40" customFormat="1" ht="15.75">
      <c r="A28" s="72">
        <f t="shared" si="23"/>
        <v>202210</v>
      </c>
      <c r="B28" s="77"/>
      <c r="C28" s="57"/>
      <c r="D28" s="60">
        <v>0</v>
      </c>
      <c r="E28" s="79">
        <f t="shared" si="19"/>
        <v>17495762.429020997</v>
      </c>
      <c r="F28" s="78"/>
      <c r="G28" s="78"/>
      <c r="H28" s="58">
        <f t="shared" si="25"/>
        <v>0</v>
      </c>
      <c r="I28" s="98">
        <f t="shared" si="31"/>
        <v>17495762.429020997</v>
      </c>
      <c r="J28" s="59"/>
      <c r="K28" s="80"/>
      <c r="L28" s="81"/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17495762.429020997</v>
      </c>
      <c r="F29" s="78"/>
      <c r="G29" s="78"/>
      <c r="H29" s="58">
        <f t="shared" si="25"/>
        <v>0</v>
      </c>
      <c r="I29" s="98">
        <f>SUM(E29:H29)</f>
        <v>17495762.429020997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17495762.429020997</v>
      </c>
      <c r="F30" s="62"/>
      <c r="G30" s="62"/>
      <c r="H30" s="63">
        <f t="shared" si="25"/>
        <v>0</v>
      </c>
      <c r="I30" s="107">
        <f t="shared" ref="I30" si="32">SUM(E30:H30)</f>
        <v>17495762.429020997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-1367094.4645960005</v>
      </c>
      <c r="G31" s="64">
        <f>SUMIF($A$7:$A$30,$D34,G$7:G$30)</f>
        <v>1183681.9972710002</v>
      </c>
      <c r="H31" s="64">
        <f>SUMIF($A$7:$A$30,$D34,H$7:H$30)</f>
        <v>52604.59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202208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52604.59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 t="str">
        <f>IF($F$31+$G$31+H31&gt;0,ABS($F$31+$G$31+H31),"")</f>
        <v/>
      </c>
      <c r="F38" s="54">
        <f>IF($F$31+$G$31+H31&lt;0,ABS($F$31+$G$31+H31),"")</f>
        <v>130807.87732500033</v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>
        <f>IF($F$31+$G$31&lt;0,ABS($F$31+$G$31),"")</f>
        <v>183412.46732500033</v>
      </c>
      <c r="F39" s="54" t="str">
        <f>IF($F$31+$G$31&gt;0,ABS($F$31+$G$31),"")</f>
        <v/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</sheetData>
  <printOptions horizontalCentered="1"/>
  <pageMargins left="0.25" right="0.25" top="0.5" bottom="0.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2022-09-26T07:00:00+00:00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0B0B6F-3DD3-4FF3-98EA-C34136D0143E}"/>
</file>

<file path=customXml/itemProps2.xml><?xml version="1.0" encoding="utf-8"?>
<ds:datastoreItem xmlns:ds="http://schemas.openxmlformats.org/officeDocument/2006/customXml" ds:itemID="{F8457178-3913-4FFB-B01A-2D34DCDA943A}"/>
</file>

<file path=customXml/itemProps3.xml><?xml version="1.0" encoding="utf-8"?>
<ds:datastoreItem xmlns:ds="http://schemas.openxmlformats.org/officeDocument/2006/customXml" ds:itemID="{C1668A3C-35B6-45E6-8004-64FDE31C92DA}"/>
</file>

<file path=customXml/itemProps4.xml><?xml version="1.0" encoding="utf-8"?>
<ds:datastoreItem xmlns:ds="http://schemas.openxmlformats.org/officeDocument/2006/customXml" ds:itemID="{0AB37473-0744-499D-8B65-6DE668DCD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Jan 22</vt:lpstr>
      <vt:lpstr>Feb 22</vt:lpstr>
      <vt:lpstr>Mar 22</vt:lpstr>
      <vt:lpstr>Apr 22</vt:lpstr>
      <vt:lpstr>May 22</vt:lpstr>
      <vt:lpstr>Jun 22</vt:lpstr>
      <vt:lpstr>Jul 22</vt:lpstr>
      <vt:lpstr>Aug 22</vt:lpstr>
      <vt:lpstr>191010 WA DEF</vt:lpstr>
      <vt:lpstr>191000 WA Amort</vt:lpstr>
      <vt:lpstr>'191000 WA Amort'!Print_Area</vt:lpstr>
      <vt:lpstr>'191010 WA DEF'!Print_Area</vt:lpstr>
      <vt:lpstr>'Apr 22'!Print_Area</vt:lpstr>
      <vt:lpstr>'Aug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2022-09-22T16:51:15Z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