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WA Rate Case 2019\Testimony\Bulkley\"/>
    </mc:Choice>
  </mc:AlternateContent>
  <bookViews>
    <workbookView xWindow="-120" yWindow="-120" windowWidth="29040" windowHeight="15840" tabRatio="889" activeTab="2"/>
  </bookViews>
  <sheets>
    <sheet name="Cover Page AEB-2" sheetId="62" r:id="rId1"/>
    <sheet name="Index" sheetId="61" r:id="rId2"/>
    <sheet name="Schedule-1 Summary" sheetId="53" r:id="rId3"/>
    <sheet name="Schedule-2 Proxy Selection" sheetId="34" r:id="rId4"/>
    <sheet name="Schedule-3 Constant DCF" sheetId="20" r:id="rId5"/>
    <sheet name="Schedule-4 Beta" sheetId="42" r:id="rId6"/>
    <sheet name="Schedule-5 CAPM" sheetId="48" r:id="rId7"/>
    <sheet name="Schedule-5 CAPM 2" sheetId="49" r:id="rId8"/>
    <sheet name="Schedule-6 Risk Premium" sheetId="55" r:id="rId9"/>
    <sheet name="Schedule-7 Expected Earnings" sheetId="56" r:id="rId10"/>
    <sheet name="Schedule-8 Size Premium" sheetId="60" r:id="rId11"/>
    <sheet name="Schedule-9 Flotation Cost" sheetId="54" r:id="rId12"/>
    <sheet name="Schedule-10 CapEx 1" sheetId="58" r:id="rId13"/>
    <sheet name="Schedule-10 CapEx 2" sheetId="59" r:id="rId14"/>
    <sheet name="Schedule-11 Reg Risk" sheetId="57" r:id="rId15"/>
    <sheet name="Schedule-12 Capital Structure " sheetId="47" r:id="rId1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'Schedule-1 Summary'!$B$1:$E$30</definedName>
    <definedName name="_xlnm.Print_Area" localSheetId="12">'Schedule-10 CapEx 1'!$A$1:$J$61</definedName>
    <definedName name="_xlnm.Print_Area" localSheetId="13">'Schedule-10 CapEx 2'!$A$1:$G$45</definedName>
    <definedName name="_xlnm.Print_Area" localSheetId="14">'Schedule-11 Reg Risk'!$A$1:$K$45</definedName>
    <definedName name="_xlnm.Print_Area" localSheetId="15">'Schedule-12 Capital Structure '!$A$1:$U$34</definedName>
    <definedName name="_xlnm.Print_Area" localSheetId="3">'Schedule-2 Proxy Selection'!$B$2:$K$20</definedName>
    <definedName name="_xlnm.Print_Area" localSheetId="5">'Schedule-4 Beta'!$B$2:$D$20</definedName>
    <definedName name="_xlnm.Print_Area" localSheetId="6">'Schedule-5 CAPM'!$A$1:$G$24</definedName>
    <definedName name="_xlnm.Print_Area" localSheetId="7">'Schedule-5 CAPM 2'!$A$1:$G$539</definedName>
    <definedName name="_xlnm.Print_Area" localSheetId="8">'Schedule-6 Risk Premium'!$B$1:$E$114,'Schedule-6 Risk Premium'!$G$1:$O$66</definedName>
    <definedName name="_xlnm.Print_Area" localSheetId="9">'Schedule-7 Expected Earnings'!$A$1:$M$28</definedName>
    <definedName name="_xlnm.Print_Area" localSheetId="11">'Schedule-9 Flotation Cost'!$A$1:$M$47</definedName>
    <definedName name="_xlnm.Print_Titles" localSheetId="12">'Schedule-10 CapEx 1'!$2:$10</definedName>
    <definedName name="_xlnm.Print_Titles" localSheetId="14">'Schedule-11 Reg Risk'!$2:$8</definedName>
    <definedName name="_xlnm.Print_Titles" localSheetId="7">'Schedule-5 CAPM 2'!$15:$21</definedName>
    <definedName name="_xlnm.Print_Titles" localSheetId="8">'Schedule-6 Risk Premium'!$1:$5</definedName>
  </definedNames>
  <calcPr calcId="171027"/>
  <customWorkbookViews>
    <customWorkbookView name="nstandish - Personal View" guid="{1F34DDED-B51E-44E0-AD6B-5246B928E127}" mergeInterval="0" personalView="1" maximized="1" xWindow="1" yWindow="1" windowWidth="1280" windowHeight="773" tabRatio="891" activeSheetId="6"/>
    <customWorkbookView name="Dan Pierpont - Personal View" guid="{BF47D0F7-1A7D-4A79-931D-4B1E61172EDC}" mergeInterval="0" personalView="1" maximized="1" xWindow="1" yWindow="1" windowWidth="1280" windowHeight="806" tabRatio="891" activeSheetId="5"/>
    <customWorkbookView name="kmagee - Personal View" guid="{773A3075-9180-4458-84FE-72C154DAF670}" mergeInterval="0" personalView="1" maximized="1" xWindow="1" yWindow="1" windowWidth="1020" windowHeight="641" tabRatio="891" activeSheetId="5"/>
    <customWorkbookView name="bloomberg - Personal View" guid="{F14299BC-B812-4ED5-B22A-BF3A4DEDD777}" mergeInterval="0" personalView="1" maximized="1" xWindow="1" yWindow="1" windowWidth="1280" windowHeight="833" tabRatio="891" activeSheetId="5"/>
    <customWorkbookView name="jtrogonoski - Personal View" guid="{328E93EF-CF56-41D9-A705-130A0733E358}" mergeInterval="0" personalView="1" maximized="1" xWindow="1" yWindow="1" windowWidth="1276" windowHeight="803" tabRatio="891" activeSheetId="1"/>
    <customWorkbookView name="abulkley - Personal View" guid="{B2278675-1AE0-4BA3-A58C-22F29B602B69}" mergeInterval="0" personalView="1" maximized="1" xWindow="1" yWindow="1" windowWidth="923" windowHeight="542" tabRatio="891" activeSheetId="1"/>
    <customWorkbookView name="Josh Nowak - Personal View" guid="{BDD49110-6304-44A1-AFAE-128668B6055D}" mergeInterval="0" personalView="1" maximized="1" xWindow="1" yWindow="1" windowWidth="1280" windowHeight="751" tabRatio="891" activeSheetId="1"/>
    <customWorkbookView name="rlevins - Personal View" guid="{2D1F9A45-1870-4F6A-B30F-090507187986}" mergeInterval="0" personalView="1" maximized="1" xWindow="1" yWindow="1" windowWidth="1269" windowHeight="642" tabRatio="891" activeSheetId="5"/>
    <customWorkbookView name="Samuel Eaton - Personal View" guid="{370F9F18-4CC0-4A7D-A4C9-A746870BDEE5}" mergeInterval="0" personalView="1" maximized="1" xWindow="1" yWindow="1" windowWidth="1680" windowHeight="832" tabRatio="891" activeSheetId="1"/>
    <customWorkbookView name="Ann Bulkley - Personal View" guid="{C8C0177A-F45B-4271-AB92-5CCD9B122D09}" mergeInterval="0" personalView="1" maximized="1" xWindow="1" yWindow="1" windowWidth="1280" windowHeight="773" tabRatio="891" activeSheetId="4"/>
    <customWorkbookView name="Samuel G Eaton - Personal View" guid="{B647E11D-9874-42BF-A663-3CAF8AF9160C}" mergeInterval="0" personalView="1" maximized="1" xWindow="1" yWindow="1" windowWidth="1680" windowHeight="859" tabRatio="891" activeSheetId="1" showComments="commIndAndComment"/>
    <customWorkbookView name=" Bob Hevert - Personal View" guid="{5CEABE36-B9E7-4B6B-BAAA-2DD6E61685BC}" mergeInterval="0" personalView="1" maximized="1" windowWidth="1436" windowHeight="683" tabRatio="891" activeSheetId="2"/>
    <customWorkbookView name="  - Personal View" guid="{9C2252D0-D0CB-4DB4-97ED-D7C0B6420DEF}" mergeInterval="0" personalView="1" maximized="1" xWindow="1" yWindow="1" windowWidth="1280" windowHeight="803" tabRatio="891" activeSheetId="4"/>
    <customWorkbookView name="Vicki - Personal View" guid="{161A4958-F02C-45B9-A80E-3E878494D7FD}" mergeInterval="0" personalView="1" maximized="1" windowWidth="1436" windowHeight="697" tabRatio="891" activeSheetId="8"/>
    <customWorkbookView name="ahunt - Personal View" guid="{8088846E-D02C-487D-B1BD-2DF5E87A0E86}" mergeInterval="0" personalView="1" maximized="1" windowWidth="1396" windowHeight="913" tabRatio="891" activeSheetId="6"/>
    <customWorkbookView name="HP Authorized Customer - Personal View" guid="{B27B7288-A3C4-4ACD-AF10-032666B68A5E}" mergeInterval="0" personalView="1" maximized="1" windowWidth="1676" windowHeight="851" tabRatio="891" activeSheetId="2"/>
    <customWorkbookView name="bhevert - Personal View" guid="{AA9296DA-F798-4BDF-8CCC-9FA6FEF8FE4E}" mergeInterval="0" personalView="1" maximized="1" xWindow="1" yWindow="1" windowWidth="1440" windowHeight="682" tabRatio="891" activeSheetId="1"/>
    <customWorkbookView name="Nathaniel Standish - Personal View" guid="{6DCA7D95-7A1E-49BA-A4E1-D3B6898E10EF}" mergeInterval="0" personalView="1" maximized="1" xWindow="1" yWindow="1" windowWidth="1280" windowHeight="752" tabRatio="891" activeSheetId="5"/>
    <customWorkbookView name=" Dan Pierpont - Personal View" guid="{76396677-21DA-4339-A842-1F6B4D2C4746}" mergeInterval="0" personalView="1" maximized="1" xWindow="1" yWindow="1" windowWidth="1437" windowHeight="688" tabRatio="891" activeSheetId="5"/>
    <customWorkbookView name="aperry - Personal View" guid="{0B2A158F-9319-49AB-BC36-1FF8FF9E75F4}" mergeInterval="0" personalView="1" xWindow="1283" yWindow="29" windowWidth="1280" windowHeight="762" tabRatio="891" activeSheetId="1"/>
    <customWorkbookView name="matth - Personal View" guid="{ABAC90FE-DA5D-4868-B6CF-0932F3417AB9}" mergeInterval="0" personalView="1" maximized="1" xWindow="1" yWindow="1" windowWidth="1680" windowHeight="829" tabRatio="891" activeSheetId="1"/>
    <customWorkbookView name="JNowak - Personal View" guid="{F654C65A-64F6-48F8-8BC8-14AC60E1C162}" mergeInterval="0" personalView="1" maximized="1" xWindow="1" yWindow="1" windowWidth="1280" windowHeight="835" tabRatio="89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61" l="1"/>
  <c r="A21" i="61" s="1"/>
  <c r="A22" i="61" s="1"/>
  <c r="A23" i="61" s="1"/>
  <c r="A24" i="61" s="1"/>
  <c r="A25" i="61" s="1"/>
  <c r="A26" i="61" s="1"/>
  <c r="A13" i="61"/>
  <c r="A14" i="61" s="1"/>
  <c r="A15" i="61" s="1"/>
  <c r="A16" i="61" s="1"/>
  <c r="A17" i="61" s="1"/>
  <c r="A18" i="61" s="1"/>
  <c r="J10" i="53" l="1"/>
  <c r="J9" i="53"/>
  <c r="E20" i="53"/>
  <c r="C20" i="53"/>
  <c r="D51" i="58" l="1"/>
  <c r="E50" i="58"/>
  <c r="J53" i="58" s="1"/>
  <c r="G51" i="60"/>
  <c r="G49" i="60"/>
  <c r="G48" i="60"/>
  <c r="F49" i="60"/>
  <c r="F48" i="60"/>
  <c r="G25" i="60"/>
  <c r="J50" i="58" l="1"/>
  <c r="J52" i="58"/>
  <c r="G24" i="60"/>
  <c r="C12" i="48" l="1"/>
  <c r="B61" i="60" l="1"/>
  <c r="G20" i="60"/>
  <c r="G26" i="60" s="1"/>
  <c r="F20" i="60"/>
  <c r="F19" i="60" l="1"/>
  <c r="G19" i="60"/>
  <c r="I44" i="58" l="1"/>
  <c r="H44" i="58"/>
  <c r="G44" i="58"/>
  <c r="E44" i="58"/>
  <c r="F43" i="58"/>
  <c r="F42" i="58"/>
  <c r="F44" i="58" s="1"/>
  <c r="I39" i="58"/>
  <c r="H39" i="58"/>
  <c r="G39" i="58"/>
  <c r="E39" i="58"/>
  <c r="F38" i="58"/>
  <c r="F37" i="58"/>
  <c r="I34" i="58"/>
  <c r="H34" i="58"/>
  <c r="G34" i="58"/>
  <c r="E34" i="58"/>
  <c r="F33" i="58"/>
  <c r="F32" i="58"/>
  <c r="I29" i="58"/>
  <c r="H29" i="58"/>
  <c r="G29" i="58"/>
  <c r="E29" i="58"/>
  <c r="F28" i="58"/>
  <c r="F27" i="58"/>
  <c r="I24" i="58"/>
  <c r="H24" i="58"/>
  <c r="G24" i="58"/>
  <c r="E24" i="58"/>
  <c r="F23" i="58"/>
  <c r="F22" i="58"/>
  <c r="F24" i="58" s="1"/>
  <c r="I19" i="58"/>
  <c r="H19" i="58"/>
  <c r="G19" i="58"/>
  <c r="E19" i="58"/>
  <c r="F18" i="58"/>
  <c r="F17" i="58"/>
  <c r="I14" i="58"/>
  <c r="H14" i="58"/>
  <c r="G14" i="58"/>
  <c r="E14" i="58"/>
  <c r="F13" i="58"/>
  <c r="F12" i="58"/>
  <c r="F14" i="58" s="1"/>
  <c r="F9" i="58"/>
  <c r="G9" i="58" s="1"/>
  <c r="H9" i="58" s="1"/>
  <c r="F34" i="58" l="1"/>
  <c r="F29" i="58"/>
  <c r="F19" i="58"/>
  <c r="J19" i="58" s="1"/>
  <c r="E31" i="59" s="1"/>
  <c r="J24" i="58"/>
  <c r="E32" i="59" s="1"/>
  <c r="F39" i="58"/>
  <c r="J39" i="58" s="1"/>
  <c r="E38" i="59" s="1"/>
  <c r="J34" i="58"/>
  <c r="E36" i="59" s="1"/>
  <c r="J44" i="58"/>
  <c r="E34" i="59" s="1"/>
  <c r="J14" i="58"/>
  <c r="E35" i="59"/>
  <c r="J29" i="58"/>
  <c r="E33" i="59" s="1"/>
  <c r="J54" i="58" l="1"/>
  <c r="J55" i="58" s="1"/>
  <c r="E37" i="59"/>
  <c r="E40" i="59" s="1"/>
  <c r="E41" i="59" s="1"/>
  <c r="D50" i="59" l="1"/>
  <c r="D49" i="59"/>
  <c r="J36" i="57" l="1"/>
  <c r="I36" i="57"/>
  <c r="H36" i="57"/>
  <c r="G36" i="57"/>
  <c r="F36" i="57"/>
  <c r="E36" i="57"/>
  <c r="F35" i="57"/>
  <c r="E35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B38" i="57" l="1"/>
  <c r="H40" i="57"/>
  <c r="F40" i="57"/>
  <c r="E40" i="57"/>
  <c r="G40" i="57"/>
  <c r="I40" i="57"/>
  <c r="J40" i="57"/>
  <c r="J13" i="56" l="1"/>
  <c r="G13" i="56"/>
  <c r="J12" i="56"/>
  <c r="G12" i="56"/>
  <c r="J11" i="56"/>
  <c r="G11" i="56"/>
  <c r="J10" i="56"/>
  <c r="G10" i="56"/>
  <c r="J9" i="56"/>
  <c r="G9" i="56"/>
  <c r="J8" i="56"/>
  <c r="G8" i="56"/>
  <c r="J7" i="56"/>
  <c r="G7" i="56"/>
  <c r="K11" i="56" l="1"/>
  <c r="L11" i="56" s="1"/>
  <c r="M11" i="56" s="1"/>
  <c r="K13" i="56"/>
  <c r="L13" i="56" s="1"/>
  <c r="M13" i="56" s="1"/>
  <c r="K12" i="56"/>
  <c r="L12" i="56" s="1"/>
  <c r="M12" i="56" s="1"/>
  <c r="K10" i="56"/>
  <c r="L10" i="56" s="1"/>
  <c r="M10" i="56" s="1"/>
  <c r="K9" i="56"/>
  <c r="L9" i="56" s="1"/>
  <c r="M9" i="56" s="1"/>
  <c r="K8" i="56"/>
  <c r="L8" i="56" s="1"/>
  <c r="M8" i="56" s="1"/>
  <c r="K7" i="56"/>
  <c r="L7" i="56" s="1"/>
  <c r="M7" i="56" l="1"/>
  <c r="M16" i="56" s="1"/>
  <c r="M15" i="56" l="1"/>
  <c r="J53" i="55" l="1"/>
  <c r="J51" i="55"/>
  <c r="D113" i="55"/>
  <c r="C113" i="55"/>
  <c r="D112" i="55"/>
  <c r="C112" i="55"/>
  <c r="E110" i="55"/>
  <c r="E109" i="55"/>
  <c r="E108" i="55"/>
  <c r="E107" i="55"/>
  <c r="E106" i="55"/>
  <c r="E105" i="55"/>
  <c r="E104" i="55"/>
  <c r="E103" i="55"/>
  <c r="E102" i="55"/>
  <c r="E101" i="55"/>
  <c r="E100" i="55"/>
  <c r="E99" i="55"/>
  <c r="E98" i="55"/>
  <c r="E97" i="55"/>
  <c r="E96" i="55"/>
  <c r="E95" i="55"/>
  <c r="E94" i="55"/>
  <c r="E93" i="55"/>
  <c r="E92" i="55"/>
  <c r="E91" i="55"/>
  <c r="E90" i="55"/>
  <c r="E89" i="55"/>
  <c r="E88" i="55"/>
  <c r="E87" i="55"/>
  <c r="E86" i="55"/>
  <c r="E85" i="55"/>
  <c r="E84" i="55"/>
  <c r="E83" i="55"/>
  <c r="E82" i="55"/>
  <c r="E81" i="55"/>
  <c r="E80" i="55"/>
  <c r="E79" i="55"/>
  <c r="E78" i="55"/>
  <c r="E77" i="55"/>
  <c r="E76" i="55"/>
  <c r="E75" i="55"/>
  <c r="E74" i="55"/>
  <c r="E73" i="55"/>
  <c r="E72" i="55"/>
  <c r="E71" i="55"/>
  <c r="E70" i="55"/>
  <c r="E69" i="55"/>
  <c r="E68" i="55"/>
  <c r="E67" i="55"/>
  <c r="E66" i="55"/>
  <c r="G65" i="55"/>
  <c r="E65" i="55"/>
  <c r="E64" i="55"/>
  <c r="E63" i="55"/>
  <c r="E62" i="55"/>
  <c r="E61" i="55"/>
  <c r="E60" i="55"/>
  <c r="E59" i="55"/>
  <c r="E58" i="55"/>
  <c r="E57" i="55"/>
  <c r="E56" i="55"/>
  <c r="E55" i="55"/>
  <c r="E54" i="55"/>
  <c r="E53" i="55"/>
  <c r="E52" i="55"/>
  <c r="E51" i="55"/>
  <c r="E50" i="55"/>
  <c r="E49" i="55"/>
  <c r="E48" i="55"/>
  <c r="E47" i="55"/>
  <c r="E46" i="55"/>
  <c r="E45" i="55"/>
  <c r="E44" i="55"/>
  <c r="E43" i="55"/>
  <c r="E42" i="55"/>
  <c r="E41" i="55"/>
  <c r="E40" i="55"/>
  <c r="E39" i="55"/>
  <c r="E38" i="55"/>
  <c r="E37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E9" i="55"/>
  <c r="E8" i="55"/>
  <c r="E7" i="55"/>
  <c r="E6" i="55"/>
  <c r="J52" i="55"/>
  <c r="E113" i="55" l="1"/>
  <c r="E112" i="55"/>
  <c r="K51" i="55"/>
  <c r="L51" i="55" s="1"/>
  <c r="C16" i="53" s="1"/>
  <c r="K52" i="55"/>
  <c r="L52" i="55" s="1"/>
  <c r="D16" i="53" s="1"/>
  <c r="K53" i="55"/>
  <c r="L53" i="55" s="1"/>
  <c r="E16" i="53" s="1"/>
  <c r="L54" i="55" l="1"/>
  <c r="M29" i="47" l="1"/>
  <c r="M18" i="47"/>
  <c r="L12" i="47"/>
  <c r="L13" i="47"/>
  <c r="L14" i="47"/>
  <c r="H25" i="54" l="1"/>
  <c r="I25" i="54"/>
  <c r="J25" i="54"/>
  <c r="H26" i="54"/>
  <c r="I26" i="54"/>
  <c r="J26" i="54"/>
  <c r="H27" i="54"/>
  <c r="I27" i="54"/>
  <c r="J27" i="54"/>
  <c r="H28" i="54"/>
  <c r="I28" i="54"/>
  <c r="J28" i="54"/>
  <c r="H29" i="54"/>
  <c r="I29" i="54"/>
  <c r="J29" i="54"/>
  <c r="H30" i="54"/>
  <c r="I30" i="54"/>
  <c r="J30" i="54"/>
  <c r="I24" i="54"/>
  <c r="J24" i="54"/>
  <c r="H24" i="54"/>
  <c r="D25" i="54"/>
  <c r="D26" i="54"/>
  <c r="D27" i="54"/>
  <c r="D28" i="54"/>
  <c r="D29" i="54"/>
  <c r="D30" i="54"/>
  <c r="D24" i="54"/>
  <c r="C25" i="54"/>
  <c r="C26" i="54"/>
  <c r="C27" i="54"/>
  <c r="C28" i="54"/>
  <c r="C29" i="54"/>
  <c r="C30" i="54"/>
  <c r="C24" i="54"/>
  <c r="E24" i="54" s="1"/>
  <c r="E30" i="54" l="1"/>
  <c r="K30" i="54"/>
  <c r="E28" i="54"/>
  <c r="E27" i="54"/>
  <c r="K26" i="54"/>
  <c r="E26" i="54"/>
  <c r="K25" i="54"/>
  <c r="E25" i="54"/>
  <c r="F25" i="54" s="1"/>
  <c r="I7" i="54"/>
  <c r="H7" i="54"/>
  <c r="I6" i="54"/>
  <c r="H6" i="54"/>
  <c r="H8" i="54" l="1"/>
  <c r="K6" i="54"/>
  <c r="K7" i="54"/>
  <c r="J6" i="54"/>
  <c r="G6" i="54" s="1"/>
  <c r="K27" i="54"/>
  <c r="E29" i="54"/>
  <c r="F30" i="54"/>
  <c r="L30" i="54" s="1"/>
  <c r="F26" i="54"/>
  <c r="L26" i="54" s="1"/>
  <c r="K24" i="54"/>
  <c r="F24" i="54" s="1"/>
  <c r="K28" i="54"/>
  <c r="K29" i="54"/>
  <c r="L25" i="54"/>
  <c r="I8" i="54"/>
  <c r="J7" i="54"/>
  <c r="G7" i="54" s="1"/>
  <c r="J8" i="54" l="1"/>
  <c r="K8" i="54"/>
  <c r="G26" i="54" s="1"/>
  <c r="M26" i="54" s="1"/>
  <c r="F27" i="54"/>
  <c r="L27" i="54" s="1"/>
  <c r="F28" i="54"/>
  <c r="L28" i="54" s="1"/>
  <c r="F29" i="54"/>
  <c r="A14" i="54"/>
  <c r="G24" i="54"/>
  <c r="M24" i="54" s="1"/>
  <c r="L24" i="54"/>
  <c r="G30" i="54" l="1"/>
  <c r="M30" i="54" s="1"/>
  <c r="G29" i="54"/>
  <c r="M29" i="54" s="1"/>
  <c r="G25" i="54"/>
  <c r="M25" i="54" s="1"/>
  <c r="L29" i="54"/>
  <c r="L32" i="54" s="1"/>
  <c r="G27" i="54"/>
  <c r="M27" i="54" s="1"/>
  <c r="G28" i="54"/>
  <c r="M28" i="54" s="1"/>
  <c r="M32" i="54" l="1"/>
  <c r="M33" i="54" s="1"/>
  <c r="D16" i="42"/>
  <c r="Q78" i="20" l="1"/>
  <c r="P78" i="20"/>
  <c r="O78" i="20"/>
  <c r="Q46" i="20" l="1"/>
  <c r="P46" i="20"/>
  <c r="O46" i="20"/>
  <c r="G15" i="20"/>
  <c r="H15" i="20"/>
  <c r="I15" i="20"/>
  <c r="Q14" i="20" l="1"/>
  <c r="P14" i="20"/>
  <c r="O14" i="20"/>
  <c r="D10" i="49" l="1"/>
  <c r="C10" i="49"/>
  <c r="B10" i="49"/>
  <c r="G526" i="49"/>
  <c r="E526" i="49"/>
  <c r="G525" i="49"/>
  <c r="E525" i="49"/>
  <c r="G524" i="49"/>
  <c r="E524" i="49"/>
  <c r="G523" i="49"/>
  <c r="E523" i="49"/>
  <c r="G522" i="49"/>
  <c r="E522" i="49"/>
  <c r="G521" i="49"/>
  <c r="E521" i="49"/>
  <c r="G520" i="49"/>
  <c r="E520" i="49"/>
  <c r="G519" i="49"/>
  <c r="E519" i="49"/>
  <c r="G518" i="49"/>
  <c r="E518" i="49"/>
  <c r="G517" i="49"/>
  <c r="E517" i="49"/>
  <c r="G516" i="49"/>
  <c r="E516" i="49"/>
  <c r="G515" i="49"/>
  <c r="E515" i="49"/>
  <c r="G514" i="49"/>
  <c r="E514" i="49"/>
  <c r="G513" i="49"/>
  <c r="E513" i="49"/>
  <c r="G512" i="49"/>
  <c r="E512" i="49"/>
  <c r="G511" i="49"/>
  <c r="E511" i="49"/>
  <c r="G510" i="49"/>
  <c r="E510" i="49"/>
  <c r="G509" i="49"/>
  <c r="E509" i="49"/>
  <c r="G508" i="49"/>
  <c r="E508" i="49"/>
  <c r="G507" i="49"/>
  <c r="E507" i="49"/>
  <c r="G506" i="49"/>
  <c r="E506" i="49"/>
  <c r="G505" i="49"/>
  <c r="E505" i="49"/>
  <c r="G504" i="49"/>
  <c r="E504" i="49"/>
  <c r="G503" i="49"/>
  <c r="E503" i="49"/>
  <c r="G502" i="49"/>
  <c r="E502" i="49"/>
  <c r="G501" i="49"/>
  <c r="E501" i="49"/>
  <c r="G500" i="49"/>
  <c r="E500" i="49"/>
  <c r="G499" i="49"/>
  <c r="E499" i="49"/>
  <c r="G498" i="49"/>
  <c r="E498" i="49"/>
  <c r="G497" i="49"/>
  <c r="E497" i="49"/>
  <c r="G496" i="49"/>
  <c r="E496" i="49"/>
  <c r="G495" i="49"/>
  <c r="E495" i="49"/>
  <c r="G494" i="49"/>
  <c r="E494" i="49"/>
  <c r="G493" i="49"/>
  <c r="E493" i="49"/>
  <c r="G492" i="49"/>
  <c r="E492" i="49"/>
  <c r="G491" i="49"/>
  <c r="E491" i="49"/>
  <c r="G490" i="49"/>
  <c r="E490" i="49"/>
  <c r="G489" i="49"/>
  <c r="E489" i="49"/>
  <c r="G488" i="49"/>
  <c r="E488" i="49"/>
  <c r="G487" i="49"/>
  <c r="E487" i="49"/>
  <c r="G486" i="49"/>
  <c r="E486" i="49"/>
  <c r="G485" i="49"/>
  <c r="E485" i="49"/>
  <c r="G484" i="49"/>
  <c r="E484" i="49"/>
  <c r="G483" i="49"/>
  <c r="E483" i="49"/>
  <c r="G482" i="49"/>
  <c r="E482" i="49"/>
  <c r="G481" i="49"/>
  <c r="E481" i="49"/>
  <c r="G480" i="49"/>
  <c r="E480" i="49"/>
  <c r="G479" i="49"/>
  <c r="E479" i="49"/>
  <c r="G478" i="49"/>
  <c r="E478" i="49"/>
  <c r="G477" i="49"/>
  <c r="E477" i="49"/>
  <c r="G476" i="49"/>
  <c r="E476" i="49"/>
  <c r="G475" i="49"/>
  <c r="E475" i="49"/>
  <c r="G474" i="49"/>
  <c r="E474" i="49"/>
  <c r="G473" i="49"/>
  <c r="E473" i="49"/>
  <c r="G472" i="49"/>
  <c r="E472" i="49"/>
  <c r="G471" i="49"/>
  <c r="E471" i="49"/>
  <c r="G470" i="49"/>
  <c r="E470" i="49"/>
  <c r="G469" i="49"/>
  <c r="E469" i="49"/>
  <c r="G468" i="49"/>
  <c r="E468" i="49"/>
  <c r="G467" i="49"/>
  <c r="E467" i="49"/>
  <c r="G466" i="49"/>
  <c r="E466" i="49"/>
  <c r="G465" i="49"/>
  <c r="E465" i="49"/>
  <c r="G464" i="49"/>
  <c r="E464" i="49"/>
  <c r="G463" i="49"/>
  <c r="E463" i="49"/>
  <c r="G462" i="49"/>
  <c r="E462" i="49"/>
  <c r="G461" i="49"/>
  <c r="E461" i="49"/>
  <c r="G460" i="49"/>
  <c r="E460" i="49"/>
  <c r="G459" i="49"/>
  <c r="E459" i="49"/>
  <c r="G458" i="49"/>
  <c r="E458" i="49"/>
  <c r="G457" i="49"/>
  <c r="E457" i="49"/>
  <c r="G456" i="49"/>
  <c r="E456" i="49"/>
  <c r="G455" i="49"/>
  <c r="E455" i="49"/>
  <c r="G454" i="49"/>
  <c r="E454" i="49"/>
  <c r="G453" i="49"/>
  <c r="E453" i="49"/>
  <c r="G452" i="49"/>
  <c r="E452" i="49"/>
  <c r="G451" i="49"/>
  <c r="E451" i="49"/>
  <c r="G450" i="49"/>
  <c r="E450" i="49"/>
  <c r="G449" i="49"/>
  <c r="E449" i="49"/>
  <c r="G448" i="49"/>
  <c r="E448" i="49"/>
  <c r="G447" i="49"/>
  <c r="E447" i="49"/>
  <c r="G446" i="49"/>
  <c r="E446" i="49"/>
  <c r="G445" i="49"/>
  <c r="E445" i="49"/>
  <c r="G444" i="49"/>
  <c r="E444" i="49"/>
  <c r="G443" i="49"/>
  <c r="E443" i="49"/>
  <c r="G442" i="49"/>
  <c r="E442" i="49"/>
  <c r="G441" i="49"/>
  <c r="E441" i="49"/>
  <c r="G440" i="49"/>
  <c r="E440" i="49"/>
  <c r="G439" i="49"/>
  <c r="E439" i="49"/>
  <c r="G438" i="49"/>
  <c r="E438" i="49"/>
  <c r="G437" i="49"/>
  <c r="E437" i="49"/>
  <c r="G436" i="49"/>
  <c r="E436" i="49"/>
  <c r="G435" i="49"/>
  <c r="E435" i="49"/>
  <c r="G434" i="49"/>
  <c r="E434" i="49"/>
  <c r="G433" i="49"/>
  <c r="E433" i="49"/>
  <c r="G432" i="49"/>
  <c r="E432" i="49"/>
  <c r="G431" i="49"/>
  <c r="E431" i="49"/>
  <c r="G430" i="49"/>
  <c r="E430" i="49"/>
  <c r="G429" i="49"/>
  <c r="E429" i="49"/>
  <c r="G428" i="49"/>
  <c r="E428" i="49"/>
  <c r="G427" i="49"/>
  <c r="E427" i="49"/>
  <c r="G426" i="49"/>
  <c r="E426" i="49"/>
  <c r="G425" i="49"/>
  <c r="E425" i="49"/>
  <c r="G424" i="49"/>
  <c r="E424" i="49"/>
  <c r="G423" i="49"/>
  <c r="E423" i="49"/>
  <c r="G422" i="49"/>
  <c r="E422" i="49"/>
  <c r="G421" i="49"/>
  <c r="E421" i="49"/>
  <c r="G420" i="49"/>
  <c r="E420" i="49"/>
  <c r="G419" i="49"/>
  <c r="E419" i="49"/>
  <c r="G418" i="49"/>
  <c r="E418" i="49"/>
  <c r="G417" i="49"/>
  <c r="E417" i="49"/>
  <c r="G416" i="49"/>
  <c r="E416" i="49"/>
  <c r="G415" i="49"/>
  <c r="E415" i="49"/>
  <c r="G414" i="49"/>
  <c r="E414" i="49"/>
  <c r="G413" i="49"/>
  <c r="E413" i="49"/>
  <c r="G412" i="49"/>
  <c r="E412" i="49"/>
  <c r="G411" i="49"/>
  <c r="E411" i="49"/>
  <c r="G410" i="49"/>
  <c r="E410" i="49"/>
  <c r="G409" i="49"/>
  <c r="E409" i="49"/>
  <c r="G408" i="49"/>
  <c r="E408" i="49"/>
  <c r="G407" i="49"/>
  <c r="E407" i="49"/>
  <c r="G406" i="49"/>
  <c r="E406" i="49"/>
  <c r="G405" i="49"/>
  <c r="E405" i="49"/>
  <c r="G404" i="49"/>
  <c r="E404" i="49"/>
  <c r="G403" i="49"/>
  <c r="E403" i="49"/>
  <c r="G402" i="49"/>
  <c r="E402" i="49"/>
  <c r="G401" i="49"/>
  <c r="E401" i="49"/>
  <c r="G400" i="49"/>
  <c r="E400" i="49"/>
  <c r="G399" i="49"/>
  <c r="E399" i="49"/>
  <c r="G398" i="49"/>
  <c r="E398" i="49"/>
  <c r="G397" i="49"/>
  <c r="E397" i="49"/>
  <c r="G396" i="49"/>
  <c r="E396" i="49"/>
  <c r="G395" i="49"/>
  <c r="E395" i="49"/>
  <c r="G394" i="49"/>
  <c r="E394" i="49"/>
  <c r="G393" i="49"/>
  <c r="E393" i="49"/>
  <c r="G392" i="49"/>
  <c r="E392" i="49"/>
  <c r="G391" i="49"/>
  <c r="E391" i="49"/>
  <c r="G390" i="49"/>
  <c r="E390" i="49"/>
  <c r="G389" i="49"/>
  <c r="E389" i="49"/>
  <c r="G388" i="49"/>
  <c r="E388" i="49"/>
  <c r="G387" i="49"/>
  <c r="E387" i="49"/>
  <c r="G386" i="49"/>
  <c r="E386" i="49"/>
  <c r="G385" i="49"/>
  <c r="E385" i="49"/>
  <c r="G384" i="49"/>
  <c r="E384" i="49"/>
  <c r="G383" i="49"/>
  <c r="E383" i="49"/>
  <c r="G382" i="49"/>
  <c r="E382" i="49"/>
  <c r="G381" i="49"/>
  <c r="E381" i="49"/>
  <c r="G380" i="49"/>
  <c r="E380" i="49"/>
  <c r="G379" i="49"/>
  <c r="E379" i="49"/>
  <c r="G378" i="49"/>
  <c r="E378" i="49"/>
  <c r="G377" i="49"/>
  <c r="E377" i="49"/>
  <c r="G376" i="49"/>
  <c r="E376" i="49"/>
  <c r="G375" i="49"/>
  <c r="E375" i="49"/>
  <c r="G374" i="49"/>
  <c r="E374" i="49"/>
  <c r="G373" i="49"/>
  <c r="E373" i="49"/>
  <c r="G372" i="49"/>
  <c r="E372" i="49"/>
  <c r="G371" i="49"/>
  <c r="E371" i="49"/>
  <c r="G370" i="49"/>
  <c r="E370" i="49"/>
  <c r="G369" i="49"/>
  <c r="E369" i="49"/>
  <c r="G368" i="49"/>
  <c r="E368" i="49"/>
  <c r="G367" i="49"/>
  <c r="E367" i="49"/>
  <c r="G366" i="49"/>
  <c r="E366" i="49"/>
  <c r="G365" i="49"/>
  <c r="E365" i="49"/>
  <c r="G364" i="49"/>
  <c r="E364" i="49"/>
  <c r="G363" i="49"/>
  <c r="E363" i="49"/>
  <c r="G362" i="49"/>
  <c r="E362" i="49"/>
  <c r="G361" i="49"/>
  <c r="E361" i="49"/>
  <c r="G360" i="49"/>
  <c r="E360" i="49"/>
  <c r="G359" i="49"/>
  <c r="E359" i="49"/>
  <c r="G358" i="49"/>
  <c r="E358" i="49"/>
  <c r="G357" i="49"/>
  <c r="E357" i="49"/>
  <c r="G356" i="49"/>
  <c r="E356" i="49"/>
  <c r="G355" i="49"/>
  <c r="E355" i="49"/>
  <c r="G354" i="49"/>
  <c r="E354" i="49"/>
  <c r="G353" i="49"/>
  <c r="E353" i="49"/>
  <c r="G352" i="49"/>
  <c r="E352" i="49"/>
  <c r="G351" i="49"/>
  <c r="E351" i="49"/>
  <c r="G350" i="49"/>
  <c r="E350" i="49"/>
  <c r="G349" i="49"/>
  <c r="E349" i="49"/>
  <c r="G348" i="49"/>
  <c r="E348" i="49"/>
  <c r="G347" i="49"/>
  <c r="E347" i="49"/>
  <c r="G346" i="49"/>
  <c r="E346" i="49"/>
  <c r="G345" i="49"/>
  <c r="E345" i="49"/>
  <c r="G344" i="49"/>
  <c r="E344" i="49"/>
  <c r="G343" i="49"/>
  <c r="E343" i="49"/>
  <c r="G342" i="49"/>
  <c r="E342" i="49"/>
  <c r="G341" i="49"/>
  <c r="E341" i="49"/>
  <c r="G340" i="49"/>
  <c r="E340" i="49"/>
  <c r="G339" i="49"/>
  <c r="E339" i="49"/>
  <c r="G338" i="49"/>
  <c r="E338" i="49"/>
  <c r="G337" i="49"/>
  <c r="E337" i="49"/>
  <c r="G336" i="49"/>
  <c r="E336" i="49"/>
  <c r="G335" i="49"/>
  <c r="E335" i="49"/>
  <c r="G334" i="49"/>
  <c r="E334" i="49"/>
  <c r="G333" i="49"/>
  <c r="E333" i="49"/>
  <c r="G332" i="49"/>
  <c r="E332" i="49"/>
  <c r="G331" i="49"/>
  <c r="E331" i="49"/>
  <c r="G330" i="49"/>
  <c r="E330" i="49"/>
  <c r="G329" i="49"/>
  <c r="E329" i="49"/>
  <c r="G328" i="49"/>
  <c r="E328" i="49"/>
  <c r="G327" i="49"/>
  <c r="E327" i="49"/>
  <c r="G326" i="49"/>
  <c r="E326" i="49"/>
  <c r="G325" i="49"/>
  <c r="E325" i="49"/>
  <c r="G324" i="49"/>
  <c r="E324" i="49"/>
  <c r="G323" i="49"/>
  <c r="E323" i="49"/>
  <c r="G322" i="49"/>
  <c r="E322" i="49"/>
  <c r="G321" i="49"/>
  <c r="E321" i="49"/>
  <c r="G320" i="49"/>
  <c r="E320" i="49"/>
  <c r="G319" i="49"/>
  <c r="E319" i="49"/>
  <c r="G318" i="49"/>
  <c r="E318" i="49"/>
  <c r="G317" i="49"/>
  <c r="E317" i="49"/>
  <c r="G316" i="49"/>
  <c r="E316" i="49"/>
  <c r="G315" i="49"/>
  <c r="E315" i="49"/>
  <c r="G314" i="49"/>
  <c r="E314" i="49"/>
  <c r="G313" i="49"/>
  <c r="E313" i="49"/>
  <c r="G312" i="49"/>
  <c r="E312" i="49"/>
  <c r="G311" i="49"/>
  <c r="E311" i="49"/>
  <c r="G310" i="49"/>
  <c r="E310" i="49"/>
  <c r="G309" i="49"/>
  <c r="E309" i="49"/>
  <c r="G308" i="49"/>
  <c r="E308" i="49"/>
  <c r="G307" i="49"/>
  <c r="E307" i="49"/>
  <c r="G306" i="49"/>
  <c r="E306" i="49"/>
  <c r="G305" i="49"/>
  <c r="E305" i="49"/>
  <c r="G304" i="49"/>
  <c r="E304" i="49"/>
  <c r="G303" i="49"/>
  <c r="E303" i="49"/>
  <c r="G302" i="49"/>
  <c r="E302" i="49"/>
  <c r="G301" i="49"/>
  <c r="E301" i="49"/>
  <c r="G300" i="49"/>
  <c r="E300" i="49"/>
  <c r="G299" i="49"/>
  <c r="E299" i="49"/>
  <c r="G298" i="49"/>
  <c r="E298" i="49"/>
  <c r="G297" i="49"/>
  <c r="E297" i="49"/>
  <c r="G296" i="49"/>
  <c r="E296" i="49"/>
  <c r="G295" i="49"/>
  <c r="E295" i="49"/>
  <c r="G294" i="49"/>
  <c r="E294" i="49"/>
  <c r="G293" i="49"/>
  <c r="E293" i="49"/>
  <c r="G292" i="49"/>
  <c r="E292" i="49"/>
  <c r="G291" i="49"/>
  <c r="E291" i="49"/>
  <c r="G290" i="49"/>
  <c r="E290" i="49"/>
  <c r="G289" i="49"/>
  <c r="E289" i="49"/>
  <c r="G288" i="49"/>
  <c r="E288" i="49"/>
  <c r="G287" i="49"/>
  <c r="E287" i="49"/>
  <c r="G286" i="49"/>
  <c r="E286" i="49"/>
  <c r="G285" i="49"/>
  <c r="E285" i="49"/>
  <c r="G284" i="49"/>
  <c r="E284" i="49"/>
  <c r="G283" i="49"/>
  <c r="E283" i="49"/>
  <c r="G282" i="49"/>
  <c r="E282" i="49"/>
  <c r="G281" i="49"/>
  <c r="E281" i="49"/>
  <c r="G280" i="49"/>
  <c r="E280" i="49"/>
  <c r="G279" i="49"/>
  <c r="E279" i="49"/>
  <c r="G278" i="49"/>
  <c r="E278" i="49"/>
  <c r="G277" i="49"/>
  <c r="E277" i="49"/>
  <c r="G276" i="49"/>
  <c r="E276" i="49"/>
  <c r="G275" i="49"/>
  <c r="E275" i="49"/>
  <c r="G274" i="49"/>
  <c r="E274" i="49"/>
  <c r="G273" i="49"/>
  <c r="E273" i="49"/>
  <c r="G272" i="49"/>
  <c r="E272" i="49"/>
  <c r="G271" i="49"/>
  <c r="E271" i="49"/>
  <c r="G270" i="49"/>
  <c r="E270" i="49"/>
  <c r="G269" i="49"/>
  <c r="E269" i="49"/>
  <c r="G268" i="49"/>
  <c r="E268" i="49"/>
  <c r="G267" i="49"/>
  <c r="E267" i="49"/>
  <c r="G266" i="49"/>
  <c r="E266" i="49"/>
  <c r="G265" i="49"/>
  <c r="E265" i="49"/>
  <c r="G264" i="49"/>
  <c r="E264" i="49"/>
  <c r="G263" i="49"/>
  <c r="E263" i="49"/>
  <c r="G262" i="49"/>
  <c r="E262" i="49"/>
  <c r="G261" i="49"/>
  <c r="E261" i="49"/>
  <c r="G260" i="49"/>
  <c r="E260" i="49"/>
  <c r="G259" i="49"/>
  <c r="E259" i="49"/>
  <c r="G258" i="49"/>
  <c r="E258" i="49"/>
  <c r="G257" i="49"/>
  <c r="E257" i="49"/>
  <c r="G256" i="49"/>
  <c r="E256" i="49"/>
  <c r="G255" i="49"/>
  <c r="E255" i="49"/>
  <c r="G254" i="49"/>
  <c r="E254" i="49"/>
  <c r="G253" i="49"/>
  <c r="E253" i="49"/>
  <c r="G252" i="49"/>
  <c r="E252" i="49"/>
  <c r="G251" i="49"/>
  <c r="E251" i="49"/>
  <c r="G250" i="49"/>
  <c r="E250" i="49"/>
  <c r="G249" i="49"/>
  <c r="E249" i="49"/>
  <c r="G248" i="49"/>
  <c r="E248" i="49"/>
  <c r="G247" i="49"/>
  <c r="E247" i="49"/>
  <c r="G246" i="49"/>
  <c r="E246" i="49"/>
  <c r="G245" i="49"/>
  <c r="E245" i="49"/>
  <c r="G244" i="49"/>
  <c r="E244" i="49"/>
  <c r="G243" i="49"/>
  <c r="E243" i="49"/>
  <c r="G242" i="49"/>
  <c r="E242" i="49"/>
  <c r="G241" i="49"/>
  <c r="E241" i="49"/>
  <c r="G240" i="49"/>
  <c r="E240" i="49"/>
  <c r="G239" i="49"/>
  <c r="E239" i="49"/>
  <c r="G238" i="49"/>
  <c r="E238" i="49"/>
  <c r="G237" i="49"/>
  <c r="E237" i="49"/>
  <c r="G236" i="49"/>
  <c r="E236" i="49"/>
  <c r="G235" i="49"/>
  <c r="E235" i="49"/>
  <c r="G234" i="49"/>
  <c r="E234" i="49"/>
  <c r="G233" i="49"/>
  <c r="E233" i="49"/>
  <c r="G232" i="49"/>
  <c r="E232" i="49"/>
  <c r="G231" i="49"/>
  <c r="E231" i="49"/>
  <c r="G230" i="49"/>
  <c r="E230" i="49"/>
  <c r="G229" i="49"/>
  <c r="E229" i="49"/>
  <c r="G228" i="49"/>
  <c r="E228" i="49"/>
  <c r="G227" i="49"/>
  <c r="E227" i="49"/>
  <c r="G226" i="49"/>
  <c r="E226" i="49"/>
  <c r="G225" i="49"/>
  <c r="E225" i="49"/>
  <c r="G224" i="49"/>
  <c r="E224" i="49"/>
  <c r="G223" i="49"/>
  <c r="E223" i="49"/>
  <c r="G222" i="49"/>
  <c r="E222" i="49"/>
  <c r="G221" i="49"/>
  <c r="E221" i="49"/>
  <c r="G220" i="49"/>
  <c r="E220" i="49"/>
  <c r="G219" i="49"/>
  <c r="E219" i="49"/>
  <c r="G218" i="49"/>
  <c r="E218" i="49"/>
  <c r="G217" i="49"/>
  <c r="E217" i="49"/>
  <c r="G216" i="49"/>
  <c r="E216" i="49"/>
  <c r="G215" i="49"/>
  <c r="E215" i="49"/>
  <c r="G214" i="49"/>
  <c r="E214" i="49"/>
  <c r="G213" i="49"/>
  <c r="E213" i="49"/>
  <c r="G212" i="49"/>
  <c r="E212" i="49"/>
  <c r="G211" i="49"/>
  <c r="E211" i="49"/>
  <c r="G210" i="49"/>
  <c r="E210" i="49"/>
  <c r="G209" i="49"/>
  <c r="E209" i="49"/>
  <c r="G208" i="49"/>
  <c r="E208" i="49"/>
  <c r="G207" i="49"/>
  <c r="E207" i="49"/>
  <c r="G206" i="49"/>
  <c r="E206" i="49"/>
  <c r="G205" i="49"/>
  <c r="E205" i="49"/>
  <c r="G204" i="49"/>
  <c r="E204" i="49"/>
  <c r="G203" i="49"/>
  <c r="E203" i="49"/>
  <c r="G202" i="49"/>
  <c r="E202" i="49"/>
  <c r="G201" i="49"/>
  <c r="E201" i="49"/>
  <c r="G200" i="49"/>
  <c r="E200" i="49"/>
  <c r="G199" i="49"/>
  <c r="E199" i="49"/>
  <c r="G198" i="49"/>
  <c r="E198" i="49"/>
  <c r="G197" i="49"/>
  <c r="E197" i="49"/>
  <c r="G196" i="49"/>
  <c r="E196" i="49"/>
  <c r="G195" i="49"/>
  <c r="E195" i="49"/>
  <c r="G194" i="49"/>
  <c r="E194" i="49"/>
  <c r="G193" i="49"/>
  <c r="E193" i="49"/>
  <c r="G192" i="49"/>
  <c r="E192" i="49"/>
  <c r="G191" i="49"/>
  <c r="E191" i="49"/>
  <c r="G190" i="49"/>
  <c r="E190" i="49"/>
  <c r="G189" i="49"/>
  <c r="E189" i="49"/>
  <c r="G188" i="49"/>
  <c r="E188" i="49"/>
  <c r="G187" i="49"/>
  <c r="E187" i="49"/>
  <c r="G186" i="49"/>
  <c r="E186" i="49"/>
  <c r="G185" i="49"/>
  <c r="E185" i="49"/>
  <c r="G184" i="49"/>
  <c r="E184" i="49"/>
  <c r="G183" i="49"/>
  <c r="E183" i="49"/>
  <c r="G182" i="49"/>
  <c r="E182" i="49"/>
  <c r="G181" i="49"/>
  <c r="E181" i="49"/>
  <c r="G180" i="49"/>
  <c r="E180" i="49"/>
  <c r="G179" i="49"/>
  <c r="E179" i="49"/>
  <c r="G178" i="49"/>
  <c r="E178" i="49"/>
  <c r="G177" i="49"/>
  <c r="E177" i="49"/>
  <c r="G176" i="49"/>
  <c r="E176" i="49"/>
  <c r="G175" i="49"/>
  <c r="E175" i="49"/>
  <c r="G174" i="49"/>
  <c r="E174" i="49"/>
  <c r="G173" i="49"/>
  <c r="E173" i="49"/>
  <c r="G172" i="49"/>
  <c r="E172" i="49"/>
  <c r="G171" i="49"/>
  <c r="E171" i="49"/>
  <c r="G170" i="49"/>
  <c r="E170" i="49"/>
  <c r="G169" i="49"/>
  <c r="E169" i="49"/>
  <c r="G168" i="49"/>
  <c r="E168" i="49"/>
  <c r="G167" i="49"/>
  <c r="E167" i="49"/>
  <c r="G166" i="49"/>
  <c r="E166" i="49"/>
  <c r="G165" i="49"/>
  <c r="E165" i="49"/>
  <c r="G164" i="49"/>
  <c r="E164" i="49"/>
  <c r="G163" i="49"/>
  <c r="E163" i="49"/>
  <c r="G162" i="49"/>
  <c r="E162" i="49"/>
  <c r="G161" i="49"/>
  <c r="E161" i="49"/>
  <c r="G160" i="49"/>
  <c r="E160" i="49"/>
  <c r="G159" i="49"/>
  <c r="E159" i="49"/>
  <c r="G158" i="49"/>
  <c r="E158" i="49"/>
  <c r="G157" i="49"/>
  <c r="E157" i="49"/>
  <c r="G156" i="49"/>
  <c r="E156" i="49"/>
  <c r="G155" i="49"/>
  <c r="E155" i="49"/>
  <c r="G154" i="49"/>
  <c r="E154" i="49"/>
  <c r="G153" i="49"/>
  <c r="E153" i="49"/>
  <c r="G152" i="49"/>
  <c r="E152" i="49"/>
  <c r="G151" i="49"/>
  <c r="E151" i="49"/>
  <c r="G150" i="49"/>
  <c r="E150" i="49"/>
  <c r="G149" i="49"/>
  <c r="E149" i="49"/>
  <c r="G148" i="49"/>
  <c r="E148" i="49"/>
  <c r="G147" i="49"/>
  <c r="E147" i="49"/>
  <c r="G146" i="49"/>
  <c r="E146" i="49"/>
  <c r="G145" i="49"/>
  <c r="E145" i="49"/>
  <c r="G144" i="49"/>
  <c r="E144" i="49"/>
  <c r="G143" i="49"/>
  <c r="E143" i="49"/>
  <c r="G142" i="49"/>
  <c r="E142" i="49"/>
  <c r="G141" i="49"/>
  <c r="E141" i="49"/>
  <c r="G140" i="49"/>
  <c r="E140" i="49"/>
  <c r="G139" i="49"/>
  <c r="E139" i="49"/>
  <c r="G138" i="49"/>
  <c r="E138" i="49"/>
  <c r="G137" i="49"/>
  <c r="E137" i="49"/>
  <c r="G136" i="49"/>
  <c r="E136" i="49"/>
  <c r="G135" i="49"/>
  <c r="E135" i="49"/>
  <c r="G134" i="49"/>
  <c r="E134" i="49"/>
  <c r="G133" i="49"/>
  <c r="E133" i="49"/>
  <c r="G132" i="49"/>
  <c r="E132" i="49"/>
  <c r="G131" i="49"/>
  <c r="E131" i="49"/>
  <c r="G130" i="49"/>
  <c r="E130" i="49"/>
  <c r="G129" i="49"/>
  <c r="E129" i="49"/>
  <c r="G128" i="49"/>
  <c r="E128" i="49"/>
  <c r="G127" i="49"/>
  <c r="E127" i="49"/>
  <c r="G126" i="49"/>
  <c r="E126" i="49"/>
  <c r="G125" i="49"/>
  <c r="E125" i="49"/>
  <c r="G124" i="49"/>
  <c r="E124" i="49"/>
  <c r="G123" i="49"/>
  <c r="E123" i="49"/>
  <c r="G122" i="49"/>
  <c r="E122" i="49"/>
  <c r="G121" i="49"/>
  <c r="E121" i="49"/>
  <c r="G120" i="49"/>
  <c r="E120" i="49"/>
  <c r="G119" i="49"/>
  <c r="E119" i="49"/>
  <c r="G118" i="49"/>
  <c r="E118" i="49"/>
  <c r="G117" i="49"/>
  <c r="E117" i="49"/>
  <c r="G116" i="49"/>
  <c r="E116" i="49"/>
  <c r="G115" i="49"/>
  <c r="E115" i="49"/>
  <c r="G114" i="49"/>
  <c r="E114" i="49"/>
  <c r="G113" i="49"/>
  <c r="E113" i="49"/>
  <c r="G112" i="49"/>
  <c r="E112" i="49"/>
  <c r="G111" i="49"/>
  <c r="E111" i="49"/>
  <c r="G110" i="49"/>
  <c r="E110" i="49"/>
  <c r="G109" i="49"/>
  <c r="E109" i="49"/>
  <c r="G108" i="49"/>
  <c r="E108" i="49"/>
  <c r="G107" i="49"/>
  <c r="E107" i="49"/>
  <c r="G106" i="49"/>
  <c r="E106" i="49"/>
  <c r="G105" i="49"/>
  <c r="E105" i="49"/>
  <c r="G104" i="49"/>
  <c r="E104" i="49"/>
  <c r="G103" i="49"/>
  <c r="E103" i="49"/>
  <c r="G102" i="49"/>
  <c r="E102" i="49"/>
  <c r="G101" i="49"/>
  <c r="E101" i="49"/>
  <c r="G100" i="49"/>
  <c r="E100" i="49"/>
  <c r="G99" i="49"/>
  <c r="E99" i="49"/>
  <c r="G98" i="49"/>
  <c r="E98" i="49"/>
  <c r="G97" i="49"/>
  <c r="E97" i="49"/>
  <c r="G96" i="49"/>
  <c r="E96" i="49"/>
  <c r="G95" i="49"/>
  <c r="E95" i="49"/>
  <c r="G94" i="49"/>
  <c r="E94" i="49"/>
  <c r="G93" i="49"/>
  <c r="E93" i="49"/>
  <c r="G92" i="49"/>
  <c r="E92" i="49"/>
  <c r="G91" i="49"/>
  <c r="E91" i="49"/>
  <c r="G90" i="49"/>
  <c r="E90" i="49"/>
  <c r="G89" i="49"/>
  <c r="E89" i="49"/>
  <c r="G88" i="49"/>
  <c r="E88" i="49"/>
  <c r="G87" i="49"/>
  <c r="E87" i="49"/>
  <c r="G86" i="49"/>
  <c r="E86" i="49"/>
  <c r="G85" i="49"/>
  <c r="E85" i="49"/>
  <c r="G84" i="49"/>
  <c r="E84" i="49"/>
  <c r="G83" i="49"/>
  <c r="E83" i="49"/>
  <c r="G82" i="49"/>
  <c r="E82" i="49"/>
  <c r="G81" i="49"/>
  <c r="E81" i="49"/>
  <c r="G80" i="49"/>
  <c r="E80" i="49"/>
  <c r="G79" i="49"/>
  <c r="E79" i="49"/>
  <c r="G78" i="49"/>
  <c r="E78" i="49"/>
  <c r="G77" i="49"/>
  <c r="E77" i="49"/>
  <c r="G76" i="49"/>
  <c r="E76" i="49"/>
  <c r="G75" i="49"/>
  <c r="E75" i="49"/>
  <c r="G74" i="49"/>
  <c r="E74" i="49"/>
  <c r="G73" i="49"/>
  <c r="E73" i="49"/>
  <c r="G72" i="49"/>
  <c r="E72" i="49"/>
  <c r="G71" i="49"/>
  <c r="E71" i="49"/>
  <c r="G70" i="49"/>
  <c r="E70" i="49"/>
  <c r="G69" i="49"/>
  <c r="E69" i="49"/>
  <c r="G68" i="49"/>
  <c r="E68" i="49"/>
  <c r="G67" i="49"/>
  <c r="E67" i="49"/>
  <c r="G66" i="49"/>
  <c r="E66" i="49"/>
  <c r="G65" i="49"/>
  <c r="E65" i="49"/>
  <c r="G64" i="49"/>
  <c r="E64" i="49"/>
  <c r="G63" i="49"/>
  <c r="E63" i="49"/>
  <c r="G62" i="49"/>
  <c r="E62" i="49"/>
  <c r="G61" i="49"/>
  <c r="E61" i="49"/>
  <c r="G60" i="49"/>
  <c r="E60" i="49"/>
  <c r="G59" i="49"/>
  <c r="E59" i="49"/>
  <c r="G58" i="49"/>
  <c r="E58" i="49"/>
  <c r="G57" i="49"/>
  <c r="E57" i="49"/>
  <c r="G56" i="49"/>
  <c r="E56" i="49"/>
  <c r="G55" i="49"/>
  <c r="E55" i="49"/>
  <c r="G54" i="49"/>
  <c r="E54" i="49"/>
  <c r="G53" i="49"/>
  <c r="E53" i="49"/>
  <c r="G52" i="49"/>
  <c r="E52" i="49"/>
  <c r="G51" i="49"/>
  <c r="E51" i="49"/>
  <c r="G50" i="49"/>
  <c r="E50" i="49"/>
  <c r="G49" i="49"/>
  <c r="E49" i="49"/>
  <c r="G48" i="49"/>
  <c r="E48" i="49"/>
  <c r="G47" i="49"/>
  <c r="E47" i="49"/>
  <c r="G46" i="49"/>
  <c r="E46" i="49"/>
  <c r="G45" i="49"/>
  <c r="E45" i="49"/>
  <c r="G44" i="49"/>
  <c r="E44" i="49"/>
  <c r="G43" i="49"/>
  <c r="E43" i="49"/>
  <c r="G42" i="49"/>
  <c r="E42" i="49"/>
  <c r="G41" i="49"/>
  <c r="E41" i="49"/>
  <c r="G40" i="49"/>
  <c r="E40" i="49"/>
  <c r="G39" i="49"/>
  <c r="E39" i="49"/>
  <c r="G38" i="49"/>
  <c r="E38" i="49"/>
  <c r="G37" i="49"/>
  <c r="E37" i="49"/>
  <c r="G36" i="49"/>
  <c r="E36" i="49"/>
  <c r="G35" i="49"/>
  <c r="E35" i="49"/>
  <c r="G34" i="49"/>
  <c r="E34" i="49"/>
  <c r="G33" i="49"/>
  <c r="E33" i="49"/>
  <c r="G32" i="49"/>
  <c r="E32" i="49"/>
  <c r="G31" i="49"/>
  <c r="E31" i="49"/>
  <c r="G30" i="49"/>
  <c r="E30" i="49"/>
  <c r="G29" i="49"/>
  <c r="E29" i="49"/>
  <c r="G28" i="49"/>
  <c r="E28" i="49"/>
  <c r="G27" i="49"/>
  <c r="E27" i="49"/>
  <c r="G26" i="49"/>
  <c r="E26" i="49"/>
  <c r="G25" i="49"/>
  <c r="E25" i="49"/>
  <c r="G24" i="49"/>
  <c r="E24" i="49"/>
  <c r="G23" i="49"/>
  <c r="E23" i="49"/>
  <c r="G22" i="49"/>
  <c r="E22" i="49"/>
  <c r="T29" i="47"/>
  <c r="J29" i="47"/>
  <c r="Q29" i="47" s="1"/>
  <c r="I29" i="47"/>
  <c r="P29" i="47" s="1"/>
  <c r="F29" i="47"/>
  <c r="T28" i="47"/>
  <c r="M28" i="47"/>
  <c r="J28" i="47"/>
  <c r="Q28" i="47" s="1"/>
  <c r="I28" i="47"/>
  <c r="P28" i="47" s="1"/>
  <c r="F28" i="47"/>
  <c r="T27" i="47"/>
  <c r="M27" i="47"/>
  <c r="J27" i="47"/>
  <c r="Q27" i="47" s="1"/>
  <c r="I27" i="47"/>
  <c r="P27" i="47" s="1"/>
  <c r="F27" i="47"/>
  <c r="T26" i="47"/>
  <c r="M26" i="47"/>
  <c r="J26" i="47"/>
  <c r="Q26" i="47" s="1"/>
  <c r="I26" i="47"/>
  <c r="P26" i="47" s="1"/>
  <c r="F26" i="47"/>
  <c r="T25" i="47"/>
  <c r="M25" i="47"/>
  <c r="J25" i="47"/>
  <c r="Q25" i="47" s="1"/>
  <c r="I25" i="47"/>
  <c r="P25" i="47" s="1"/>
  <c r="F25" i="47"/>
  <c r="T24" i="47"/>
  <c r="M24" i="47"/>
  <c r="J24" i="47"/>
  <c r="Q24" i="47" s="1"/>
  <c r="I24" i="47"/>
  <c r="P24" i="47" s="1"/>
  <c r="F24" i="47"/>
  <c r="T23" i="47"/>
  <c r="M23" i="47"/>
  <c r="J23" i="47"/>
  <c r="Q23" i="47" s="1"/>
  <c r="I23" i="47"/>
  <c r="P23" i="47" s="1"/>
  <c r="F23" i="47"/>
  <c r="T22" i="47"/>
  <c r="M22" i="47"/>
  <c r="J22" i="47"/>
  <c r="Q22" i="47" s="1"/>
  <c r="I22" i="47"/>
  <c r="P22" i="47" s="1"/>
  <c r="F22" i="47"/>
  <c r="T21" i="47"/>
  <c r="M21" i="47"/>
  <c r="J21" i="47"/>
  <c r="Q21" i="47" s="1"/>
  <c r="I21" i="47"/>
  <c r="P21" i="47" s="1"/>
  <c r="F21" i="47"/>
  <c r="T20" i="47"/>
  <c r="M20" i="47"/>
  <c r="J20" i="47"/>
  <c r="Q20" i="47" s="1"/>
  <c r="I20" i="47"/>
  <c r="P20" i="47" s="1"/>
  <c r="F20" i="47"/>
  <c r="T19" i="47"/>
  <c r="M19" i="47"/>
  <c r="J19" i="47"/>
  <c r="Q19" i="47" s="1"/>
  <c r="I19" i="47"/>
  <c r="P19" i="47" s="1"/>
  <c r="F19" i="47"/>
  <c r="T18" i="47"/>
  <c r="J18" i="47"/>
  <c r="Q18" i="47" s="1"/>
  <c r="I18" i="47"/>
  <c r="P18" i="47" s="1"/>
  <c r="F18" i="47"/>
  <c r="S14" i="47"/>
  <c r="R14" i="47"/>
  <c r="K14" i="47"/>
  <c r="E14" i="47"/>
  <c r="D14" i="47"/>
  <c r="S13" i="47"/>
  <c r="R13" i="47"/>
  <c r="K13" i="47"/>
  <c r="E13" i="47"/>
  <c r="D13" i="47"/>
  <c r="S12" i="47"/>
  <c r="R12" i="47"/>
  <c r="K12" i="47"/>
  <c r="E12" i="47"/>
  <c r="D12" i="47"/>
  <c r="T11" i="47"/>
  <c r="M11" i="47"/>
  <c r="J11" i="47"/>
  <c r="Q11" i="47" s="1"/>
  <c r="I11" i="47"/>
  <c r="P11" i="47" s="1"/>
  <c r="F11" i="47"/>
  <c r="T10" i="47"/>
  <c r="M10" i="47"/>
  <c r="J10" i="47"/>
  <c r="Q10" i="47" s="1"/>
  <c r="I10" i="47"/>
  <c r="P10" i="47" s="1"/>
  <c r="F10" i="47"/>
  <c r="T9" i="47"/>
  <c r="M9" i="47"/>
  <c r="J9" i="47"/>
  <c r="Q9" i="47" s="1"/>
  <c r="I9" i="47"/>
  <c r="P9" i="47" s="1"/>
  <c r="F9" i="47"/>
  <c r="T8" i="47"/>
  <c r="M8" i="47"/>
  <c r="J8" i="47"/>
  <c r="Q8" i="47" s="1"/>
  <c r="I8" i="47"/>
  <c r="P8" i="47" s="1"/>
  <c r="F8" i="47"/>
  <c r="T7" i="47"/>
  <c r="M7" i="47"/>
  <c r="J7" i="47"/>
  <c r="Q7" i="47" s="1"/>
  <c r="I7" i="47"/>
  <c r="P7" i="47" s="1"/>
  <c r="F7" i="47"/>
  <c r="T6" i="47"/>
  <c r="M6" i="47"/>
  <c r="J6" i="47"/>
  <c r="Q6" i="47" s="1"/>
  <c r="I6" i="47"/>
  <c r="P6" i="47" s="1"/>
  <c r="F6" i="47"/>
  <c r="T5" i="47"/>
  <c r="M5" i="47"/>
  <c r="J5" i="47"/>
  <c r="Q5" i="47" s="1"/>
  <c r="I5" i="47"/>
  <c r="P5" i="47" s="1"/>
  <c r="F5" i="47"/>
  <c r="J4" i="47"/>
  <c r="Q4" i="47" s="1"/>
  <c r="I4" i="47"/>
  <c r="P4" i="47" s="1"/>
  <c r="M12" i="47" l="1"/>
  <c r="M13" i="47"/>
  <c r="M14" i="47"/>
  <c r="T14" i="47"/>
  <c r="F14" i="47"/>
  <c r="B4" i="49"/>
  <c r="B6" i="49"/>
  <c r="B8" i="49" s="1"/>
  <c r="T12" i="47"/>
  <c r="T13" i="47"/>
  <c r="F12" i="47"/>
  <c r="F13" i="47"/>
  <c r="B12" i="49" l="1"/>
  <c r="E11" i="48"/>
  <c r="D12" i="49"/>
  <c r="C12" i="49"/>
  <c r="J8" i="53"/>
  <c r="C17" i="53" l="1"/>
  <c r="J7" i="53"/>
  <c r="F11" i="48"/>
  <c r="E12" i="48"/>
  <c r="G45" i="20"/>
  <c r="G44" i="20"/>
  <c r="G43" i="20"/>
  <c r="G42" i="20"/>
  <c r="G41" i="20"/>
  <c r="G40" i="20"/>
  <c r="G39" i="20"/>
  <c r="G47" i="20" l="1"/>
  <c r="E13" i="48"/>
  <c r="F13" i="48" s="1"/>
  <c r="F12" i="48"/>
  <c r="D11" i="48" l="1"/>
  <c r="G11" i="48" l="1"/>
  <c r="C12" i="53" s="1"/>
  <c r="D12" i="48"/>
  <c r="J5" i="53" l="1"/>
  <c r="D13" i="48"/>
  <c r="G13" i="48" s="1"/>
  <c r="E12" i="53" s="1"/>
  <c r="J6" i="53" s="1"/>
  <c r="G12" i="48"/>
  <c r="D12" i="53" s="1"/>
  <c r="C13" i="53" s="1"/>
  <c r="G14" i="48" l="1"/>
  <c r="C42" i="20"/>
  <c r="C74" i="20" s="1"/>
  <c r="I42" i="20"/>
  <c r="I74" i="20" s="1"/>
  <c r="H42" i="20"/>
  <c r="H74" i="20" s="1"/>
  <c r="G74" i="20"/>
  <c r="J10" i="20"/>
  <c r="E10" i="20"/>
  <c r="M10" i="20" s="1"/>
  <c r="Q10" i="20" s="1"/>
  <c r="K10" i="20" l="1"/>
  <c r="O10" i="20" s="1"/>
  <c r="E42" i="20"/>
  <c r="M42" i="20" s="1"/>
  <c r="Q42" i="20" s="1"/>
  <c r="J42" i="20"/>
  <c r="F10" i="20"/>
  <c r="L10" i="20" s="1"/>
  <c r="P10" i="20" s="1"/>
  <c r="K42" i="20" l="1"/>
  <c r="O42" i="20" s="1"/>
  <c r="F42" i="20"/>
  <c r="L42" i="20" s="1"/>
  <c r="P42" i="20" s="1"/>
  <c r="E7" i="20" l="1"/>
  <c r="J7" i="20"/>
  <c r="E8" i="20"/>
  <c r="K8" i="20" s="1"/>
  <c r="O8" i="20" s="1"/>
  <c r="J8" i="20"/>
  <c r="E9" i="20"/>
  <c r="K9" i="20" s="1"/>
  <c r="O9" i="20" s="1"/>
  <c r="J9" i="20"/>
  <c r="E11" i="20"/>
  <c r="K11" i="20" s="1"/>
  <c r="O11" i="20" s="1"/>
  <c r="J11" i="20"/>
  <c r="E12" i="20"/>
  <c r="K12" i="20" s="1"/>
  <c r="O12" i="20" s="1"/>
  <c r="J12" i="20"/>
  <c r="E13" i="20"/>
  <c r="K13" i="20" s="1"/>
  <c r="O13" i="20" s="1"/>
  <c r="J13" i="20"/>
  <c r="B39" i="20"/>
  <c r="B71" i="20" s="1"/>
  <c r="C39" i="20"/>
  <c r="G71" i="20"/>
  <c r="H39" i="20"/>
  <c r="I39" i="20"/>
  <c r="B40" i="20"/>
  <c r="B72" i="20" s="1"/>
  <c r="C40" i="20"/>
  <c r="C72" i="20" s="1"/>
  <c r="G72" i="20"/>
  <c r="H40" i="20"/>
  <c r="H72" i="20" s="1"/>
  <c r="I40" i="20"/>
  <c r="I72" i="20" s="1"/>
  <c r="B41" i="20"/>
  <c r="B73" i="20" s="1"/>
  <c r="C41" i="20"/>
  <c r="C73" i="20" s="1"/>
  <c r="G73" i="20"/>
  <c r="H41" i="20"/>
  <c r="H73" i="20" s="1"/>
  <c r="I41" i="20"/>
  <c r="I73" i="20" s="1"/>
  <c r="B43" i="20"/>
  <c r="B75" i="20" s="1"/>
  <c r="C43" i="20"/>
  <c r="G75" i="20"/>
  <c r="H43" i="20"/>
  <c r="H75" i="20" s="1"/>
  <c r="I43" i="20"/>
  <c r="I75" i="20" s="1"/>
  <c r="B44" i="20"/>
  <c r="B76" i="20" s="1"/>
  <c r="C44" i="20"/>
  <c r="G76" i="20"/>
  <c r="H44" i="20"/>
  <c r="H76" i="20" s="1"/>
  <c r="I44" i="20"/>
  <c r="I76" i="20" s="1"/>
  <c r="B45" i="20"/>
  <c r="B77" i="20" s="1"/>
  <c r="C45" i="20"/>
  <c r="G77" i="20"/>
  <c r="H45" i="20"/>
  <c r="I45" i="20"/>
  <c r="I77" i="20" s="1"/>
  <c r="G79" i="20" l="1"/>
  <c r="C71" i="20"/>
  <c r="E71" i="20" s="1"/>
  <c r="E39" i="20"/>
  <c r="M39" i="20" s="1"/>
  <c r="H71" i="20"/>
  <c r="H47" i="20"/>
  <c r="J39" i="20"/>
  <c r="H77" i="20"/>
  <c r="J45" i="20"/>
  <c r="I71" i="20"/>
  <c r="I47" i="20"/>
  <c r="J15" i="20"/>
  <c r="K7" i="20"/>
  <c r="E15" i="20"/>
  <c r="E43" i="20"/>
  <c r="M43" i="20" s="1"/>
  <c r="Q43" i="20" s="1"/>
  <c r="C75" i="20"/>
  <c r="E75" i="20" s="1"/>
  <c r="E45" i="20"/>
  <c r="M45" i="20" s="1"/>
  <c r="Q45" i="20" s="1"/>
  <c r="C77" i="20"/>
  <c r="E77" i="20" s="1"/>
  <c r="K77" i="20" s="1"/>
  <c r="O77" i="20" s="1"/>
  <c r="E44" i="20"/>
  <c r="M44" i="20" s="1"/>
  <c r="Q44" i="20" s="1"/>
  <c r="C76" i="20"/>
  <c r="E76" i="20" s="1"/>
  <c r="K76" i="20" s="1"/>
  <c r="O76" i="20" s="1"/>
  <c r="J75" i="20"/>
  <c r="E41" i="20"/>
  <c r="K41" i="20" s="1"/>
  <c r="O41" i="20" s="1"/>
  <c r="E74" i="20"/>
  <c r="J73" i="20"/>
  <c r="J77" i="20"/>
  <c r="E40" i="20"/>
  <c r="M40" i="20" s="1"/>
  <c r="Q40" i="20" s="1"/>
  <c r="E73" i="20"/>
  <c r="J72" i="20"/>
  <c r="J76" i="20"/>
  <c r="M76" i="20"/>
  <c r="Q76" i="20" s="1"/>
  <c r="J74" i="20"/>
  <c r="E72" i="20"/>
  <c r="J43" i="20"/>
  <c r="M7" i="20"/>
  <c r="M11" i="20"/>
  <c r="Q11" i="20" s="1"/>
  <c r="M13" i="20"/>
  <c r="Q13" i="20" s="1"/>
  <c r="M12" i="20"/>
  <c r="Q12" i="20" s="1"/>
  <c r="F12" i="20"/>
  <c r="L12" i="20" s="1"/>
  <c r="P12" i="20" s="1"/>
  <c r="M8" i="20"/>
  <c r="Q8" i="20" s="1"/>
  <c r="M9" i="20"/>
  <c r="Q9" i="20" s="1"/>
  <c r="F9" i="20"/>
  <c r="J44" i="20"/>
  <c r="J41" i="20"/>
  <c r="F7" i="20"/>
  <c r="L7" i="20" s="1"/>
  <c r="J40" i="20"/>
  <c r="F13" i="20"/>
  <c r="L13" i="20" s="1"/>
  <c r="P13" i="20" s="1"/>
  <c r="F11" i="20"/>
  <c r="L11" i="20" s="1"/>
  <c r="P11" i="20" s="1"/>
  <c r="F8" i="20"/>
  <c r="L8" i="20" s="1"/>
  <c r="P8" i="20" s="1"/>
  <c r="K39" i="20" l="1"/>
  <c r="J71" i="20"/>
  <c r="J79" i="20" s="1"/>
  <c r="I79" i="20"/>
  <c r="H79" i="20"/>
  <c r="E79" i="20"/>
  <c r="F44" i="20"/>
  <c r="L44" i="20" s="1"/>
  <c r="P44" i="20" s="1"/>
  <c r="F39" i="20"/>
  <c r="L39" i="20" s="1"/>
  <c r="P39" i="20" s="1"/>
  <c r="M71" i="20"/>
  <c r="K71" i="20"/>
  <c r="J47" i="20"/>
  <c r="O39" i="20"/>
  <c r="K43" i="20"/>
  <c r="O43" i="20" s="1"/>
  <c r="K44" i="20"/>
  <c r="O44" i="20" s="1"/>
  <c r="K45" i="20"/>
  <c r="O45" i="20" s="1"/>
  <c r="E47" i="20"/>
  <c r="K40" i="20"/>
  <c r="O40" i="20" s="1"/>
  <c r="Q39" i="20"/>
  <c r="Q7" i="20"/>
  <c r="Q15" i="20" s="1"/>
  <c r="E6" i="53" s="1"/>
  <c r="M15" i="20"/>
  <c r="P7" i="20"/>
  <c r="O7" i="20"/>
  <c r="K15" i="20"/>
  <c r="L9" i="20"/>
  <c r="P9" i="20" s="1"/>
  <c r="F15" i="20"/>
  <c r="F43" i="20"/>
  <c r="L43" i="20" s="1"/>
  <c r="P43" i="20" s="1"/>
  <c r="M41" i="20"/>
  <c r="Q41" i="20" s="1"/>
  <c r="F41" i="20"/>
  <c r="L41" i="20" s="1"/>
  <c r="P41" i="20" s="1"/>
  <c r="F45" i="20"/>
  <c r="F76" i="20"/>
  <c r="L76" i="20" s="1"/>
  <c r="P76" i="20" s="1"/>
  <c r="M77" i="20"/>
  <c r="Q77" i="20" s="1"/>
  <c r="M75" i="20"/>
  <c r="Q75" i="20" s="1"/>
  <c r="K75" i="20"/>
  <c r="O75" i="20" s="1"/>
  <c r="F75" i="20"/>
  <c r="L75" i="20" s="1"/>
  <c r="P75" i="20" s="1"/>
  <c r="F71" i="20"/>
  <c r="K72" i="20"/>
  <c r="O72" i="20" s="1"/>
  <c r="M72" i="20"/>
  <c r="Q72" i="20" s="1"/>
  <c r="F72" i="20"/>
  <c r="L72" i="20" s="1"/>
  <c r="P72" i="20" s="1"/>
  <c r="M73" i="20"/>
  <c r="Q73" i="20" s="1"/>
  <c r="K73" i="20"/>
  <c r="O73" i="20" s="1"/>
  <c r="F73" i="20"/>
  <c r="L73" i="20" s="1"/>
  <c r="P73" i="20" s="1"/>
  <c r="F77" i="20"/>
  <c r="L77" i="20" s="1"/>
  <c r="P77" i="20" s="1"/>
  <c r="F74" i="20"/>
  <c r="L74" i="20" s="1"/>
  <c r="P74" i="20" s="1"/>
  <c r="M74" i="20"/>
  <c r="Q74" i="20" s="1"/>
  <c r="K74" i="20"/>
  <c r="O74" i="20" s="1"/>
  <c r="F40" i="20"/>
  <c r="O15" i="20" l="1"/>
  <c r="C6" i="53" s="1"/>
  <c r="O47" i="20"/>
  <c r="Q71" i="20"/>
  <c r="Q79" i="20" s="1"/>
  <c r="E8" i="53" s="1"/>
  <c r="M79" i="20"/>
  <c r="O71" i="20"/>
  <c r="K79" i="20"/>
  <c r="L71" i="20"/>
  <c r="F79" i="20"/>
  <c r="M47" i="20"/>
  <c r="Q47" i="20"/>
  <c r="E7" i="53" s="1"/>
  <c r="K47" i="20"/>
  <c r="C7" i="53"/>
  <c r="L45" i="20"/>
  <c r="F47" i="20"/>
  <c r="L15" i="20"/>
  <c r="P15" i="20"/>
  <c r="D6" i="53" s="1"/>
  <c r="L40" i="20"/>
  <c r="O79" i="20" l="1"/>
  <c r="C8" i="53" s="1"/>
  <c r="C9" i="53" s="1"/>
  <c r="J3" i="53" s="1"/>
  <c r="E9" i="53"/>
  <c r="J4" i="53" s="1"/>
  <c r="P71" i="20"/>
  <c r="P79" i="20" s="1"/>
  <c r="D8" i="53" s="1"/>
  <c r="L79" i="20"/>
  <c r="P40" i="20"/>
  <c r="L47" i="20"/>
  <c r="P45" i="20"/>
  <c r="P47" i="20" l="1"/>
  <c r="D7" i="53" s="1"/>
  <c r="D9" i="53" s="1"/>
</calcChain>
</file>

<file path=xl/sharedStrings.xml><?xml version="1.0" encoding="utf-8"?>
<sst xmlns="http://schemas.openxmlformats.org/spreadsheetml/2006/main" count="2182" uniqueCount="1534">
  <si>
    <t>Company</t>
  </si>
  <si>
    <t>Ticker</t>
  </si>
  <si>
    <t>MEAN</t>
  </si>
  <si>
    <t>Total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</si>
  <si>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</si>
  <si>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</si>
  <si>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</si>
  <si>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</si>
  <si>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</si>
  <si>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</si>
  <si>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</si>
  <si>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</si>
  <si>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</si>
  <si>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</si>
  <si>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Annualized Dividend</t>
  </si>
  <si>
    <t>Stock Price</t>
  </si>
  <si>
    <t>Dividend Yield</t>
  </si>
  <si>
    <t>Expected Dividend Yield</t>
  </si>
  <si>
    <t>Notes</t>
  </si>
  <si>
    <t>[11]</t>
  </si>
  <si>
    <t>CAPM</t>
  </si>
  <si>
    <t>ATO</t>
  </si>
  <si>
    <t>NJR</t>
  </si>
  <si>
    <t>NWN</t>
  </si>
  <si>
    <t>SJI</t>
  </si>
  <si>
    <t>SWX</t>
  </si>
  <si>
    <t>Average Growth</t>
  </si>
  <si>
    <t>Notes:</t>
  </si>
  <si>
    <t>F</t>
  </si>
  <si>
    <t>MS</t>
  </si>
  <si>
    <t>30-Day Average</t>
  </si>
  <si>
    <t>90-Day Average</t>
  </si>
  <si>
    <t>Risk Premium</t>
  </si>
  <si>
    <t>Average Authorized Gas ROE</t>
  </si>
  <si>
    <t>AVERAGE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</si>
  <si>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</si>
  <si>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</si>
  <si>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</si>
  <si>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</si>
  <si>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</si>
  <si>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</si>
  <si>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</si>
  <si>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</si>
  <si>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</si>
  <si>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</si>
  <si>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Significance F</t>
  </si>
  <si>
    <t>Regression</t>
  </si>
  <si>
    <t>Residual</t>
  </si>
  <si>
    <t>Coefficients</t>
  </si>
  <si>
    <t>t Stat</t>
  </si>
  <si>
    <t>P-value</t>
  </si>
  <si>
    <t>Lower 95%</t>
  </si>
  <si>
    <t>Upper 95%</t>
  </si>
  <si>
    <t>Intercept</t>
  </si>
  <si>
    <t>Risk</t>
  </si>
  <si>
    <t>Premium</t>
  </si>
  <si>
    <t>ROE</t>
  </si>
  <si>
    <t>[1] Source: Bloomberg Professional</t>
  </si>
  <si>
    <t>Atmos Energy Corporation</t>
  </si>
  <si>
    <t>New Jersey Resources Corporation</t>
  </si>
  <si>
    <t>South Jersey Industries, Inc.</t>
  </si>
  <si>
    <t>Southwest Gas Corporation</t>
  </si>
  <si>
    <t>Northwest Natural Gas Company</t>
  </si>
  <si>
    <t>MEDIAN</t>
  </si>
  <si>
    <t>[3] Equals [1] / [2]</t>
  </si>
  <si>
    <t>Risk Premium Analysis</t>
  </si>
  <si>
    <t>Yahoo! Finance Earnings Growth</t>
  </si>
  <si>
    <t>Zacks Earnings Growth</t>
  </si>
  <si>
    <t>[4] Equals [3] x (1 + 0.50 x [8])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</si>
  <si>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</si>
  <si>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</si>
  <si>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</si>
  <si>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</si>
  <si>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</si>
  <si>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</si>
  <si>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PROXY GROUP SCREENING DATA AND RESULTS - FINAL PROXY GROUP</t>
  </si>
  <si>
    <t>Dividends</t>
  </si>
  <si>
    <t>Covered by More Than 1 Analyst</t>
  </si>
  <si>
    <t>Postive Growth Rates from at least two sources (Value Line, Yahoo! First Call, and Zacks)</t>
  </si>
  <si>
    <t>Announced Merger</t>
  </si>
  <si>
    <t>YES</t>
  </si>
  <si>
    <t>BBB+</t>
  </si>
  <si>
    <t>A-</t>
  </si>
  <si>
    <t>A</t>
  </si>
  <si>
    <t>[1] Source: SNL Financial</t>
  </si>
  <si>
    <t>[2] Source: SNL Financial</t>
  </si>
  <si>
    <t>[3] Source: Yahoo! Finance and Zacks</t>
  </si>
  <si>
    <t>[4] Source: Yahoo! Finance, Value Line Investment Survey, and Zacks</t>
  </si>
  <si>
    <t>Lower 95.0%</t>
  </si>
  <si>
    <t>Upper 95.0%</t>
  </si>
  <si>
    <t>U.S. Govt.</t>
  </si>
  <si>
    <t>30-year</t>
  </si>
  <si>
    <t>Treasury</t>
  </si>
  <si>
    <t>[3] Equals Column [1] − Column [2]</t>
  </si>
  <si>
    <t>No</t>
  </si>
  <si>
    <t>A+</t>
  </si>
  <si>
    <t>S&amp;P Credit Rating Between BBB- and AAA</t>
  </si>
  <si>
    <t>% Regulated Operating Income &gt; 70%</t>
  </si>
  <si>
    <t>[7] SNL Financial News Releases</t>
  </si>
  <si>
    <t xml:space="preserve"> </t>
  </si>
  <si>
    <t>One Gas Inc.</t>
  </si>
  <si>
    <t>OGS</t>
  </si>
  <si>
    <t>Spire, Inc.</t>
  </si>
  <si>
    <t>SR</t>
  </si>
  <si>
    <t>One Gas, Inc.</t>
  </si>
  <si>
    <t>Value Line</t>
  </si>
  <si>
    <t>ONE Gas, Inc.</t>
  </si>
  <si>
    <t>U.S. Govt. 30-year Treasury</t>
  </si>
  <si>
    <t>Spire Inc.</t>
  </si>
  <si>
    <t>180-Day Average</t>
  </si>
  <si>
    <t>Proxy Group Average Value Line Beta</t>
  </si>
  <si>
    <t>Beta</t>
  </si>
  <si>
    <t>Treasury Yield Plus Risk Premium</t>
  </si>
  <si>
    <t/>
  </si>
  <si>
    <t>X</t>
  </si>
  <si>
    <t>Value Line Earnings Growth</t>
  </si>
  <si>
    <t>[5] Source: Value Line Investment Survey</t>
  </si>
  <si>
    <t>BBB</t>
  </si>
  <si>
    <t>[5] to [6] Source: Form 10-Ks for 2017, 2016 &amp; 2015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</si>
  <si>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</si>
  <si>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</si>
  <si>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</si>
  <si>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</si>
  <si>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</si>
  <si>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</si>
  <si>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</si>
  <si>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</si>
  <si>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</si>
  <si>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</si>
  <si>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</si>
  <si>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</si>
  <si>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</si>
  <si>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</si>
  <si>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</si>
  <si>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</si>
  <si>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</si>
  <si>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</si>
  <si>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1996.4</t>
  </si>
  <si>
    <t>1997.1</t>
  </si>
  <si>
    <t>1997.2</t>
  </si>
  <si>
    <t>1997.3</t>
  </si>
  <si>
    <t>1997.4</t>
  </si>
  <si>
    <t>1998.2</t>
  </si>
  <si>
    <t>1998.3</t>
  </si>
  <si>
    <t>1998.4</t>
  </si>
  <si>
    <t>1999.1</t>
  </si>
  <si>
    <t>1999.2</t>
  </si>
  <si>
    <t>1999.4</t>
  </si>
  <si>
    <t>2000.1</t>
  </si>
  <si>
    <t>2000.2</t>
  </si>
  <si>
    <t>2000.3</t>
  </si>
  <si>
    <t>2000.4</t>
  </si>
  <si>
    <t>2001.1</t>
  </si>
  <si>
    <t>2001.2</t>
  </si>
  <si>
    <t>2001.4</t>
  </si>
  <si>
    <t>2002.1</t>
  </si>
  <si>
    <t>2002.2</t>
  </si>
  <si>
    <t>2002.3</t>
  </si>
  <si>
    <t>2002.4</t>
  </si>
  <si>
    <t>2003.1</t>
  </si>
  <si>
    <t>2003.2</t>
  </si>
  <si>
    <t>2003.3</t>
  </si>
  <si>
    <t>2003.4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</si>
  <si>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</si>
  <si>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</si>
  <si>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</si>
  <si>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</si>
  <si>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</si>
  <si>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</si>
  <si>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</si>
  <si>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</si>
  <si>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</si>
  <si>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[2] Source: Bloomberg Professional, quarterly bond yields are the average of each trading day in the quarter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</si>
  <si>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</si>
  <si>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</si>
  <si>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</si>
  <si>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</si>
  <si>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</si>
  <si>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</si>
  <si>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</si>
  <si>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</si>
  <si>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</si>
  <si>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</si>
  <si>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</si>
  <si>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</si>
  <si>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</si>
  <si>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</si>
  <si>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</si>
  <si>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</si>
  <si>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</si>
  <si>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</si>
  <si>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</si>
  <si>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</si>
  <si>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</si>
  <si>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</si>
  <si>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</si>
  <si>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</si>
  <si>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</si>
  <si>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</si>
  <si>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</si>
  <si>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</si>
  <si>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</si>
  <si>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</si>
  <si>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</si>
  <si>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</si>
  <si>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</si>
  <si>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</si>
  <si>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</si>
  <si>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</si>
  <si>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</si>
  <si>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</si>
  <si>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</si>
  <si>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</si>
  <si>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</si>
  <si>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</si>
  <si>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</si>
  <si>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</si>
  <si>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</si>
  <si>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</si>
  <si>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</si>
  <si>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</si>
  <si>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</si>
  <si>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</si>
  <si>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CAPITAL STRUCTURE ANALYSIS</t>
  </si>
  <si>
    <t>COMMON EQUITY RATIO [1]</t>
  </si>
  <si>
    <t>LONG-TERM DEBT RATIO [1]</t>
  </si>
  <si>
    <t>PREFERRED EQUITY RATIO [1]</t>
  </si>
  <si>
    <t>Proxy Group Company</t>
  </si>
  <si>
    <t>MRY</t>
  </si>
  <si>
    <t>LOW</t>
  </si>
  <si>
    <t>HIGH</t>
  </si>
  <si>
    <t>COMMON EQUITY RATIO - UTILITY OPERATING COMPANIES [2]</t>
  </si>
  <si>
    <t>LONG-TERM DEBT RATIO - UTILITY OPERATING COMPANIES [2]</t>
  </si>
  <si>
    <t>PREFERRED EQUITY RATIO - UTILITY OPERATING COMPANIES [2]</t>
  </si>
  <si>
    <t>Company Name</t>
  </si>
  <si>
    <t>New Jersey Natural Gas Company</t>
  </si>
  <si>
    <t>Kansas Gas Service Company</t>
  </si>
  <si>
    <t>Oklahoma Natural Gas Company</t>
  </si>
  <si>
    <t>Texas Gas Service Company</t>
  </si>
  <si>
    <t>South Jersey Gas Company</t>
  </si>
  <si>
    <t>Spire Alabama Inc.</t>
  </si>
  <si>
    <t>Spire Gulf Inc.</t>
  </si>
  <si>
    <t>Spire Mississippi Inc.</t>
  </si>
  <si>
    <t>Spire Missouri Inc.</t>
  </si>
  <si>
    <t>[1] Ratios are weighted by actual common capital and long-term debt of Operating Subsidiaries</t>
  </si>
  <si>
    <t>Market</t>
  </si>
  <si>
    <t>Risk-Free</t>
  </si>
  <si>
    <t>Rate</t>
  </si>
  <si>
    <t>Return</t>
  </si>
  <si>
    <t>(Rf)</t>
  </si>
  <si>
    <t>(β)</t>
  </si>
  <si>
    <t>(Rm)</t>
  </si>
  <si>
    <t>(Rm − Rf)</t>
  </si>
  <si>
    <t>(K)</t>
  </si>
  <si>
    <t>Current 30-day average of 30-year U.S. Treasury bond yield [1]</t>
  </si>
  <si>
    <t>Projected 30-year U.S. Treasury bond yield (2020 - 2024) [3]</t>
  </si>
  <si>
    <t>[3] Source: Blue Chip Financial Forecasts, Vol. 37, No. 12, December 1, 2018, at 14</t>
  </si>
  <si>
    <t>[4] See Notes [1], [2] and [3]</t>
  </si>
  <si>
    <t>[7] Equals [6] - [4]</t>
  </si>
  <si>
    <t>[8] Equals [4] + ([5] x [7])</t>
  </si>
  <si>
    <t>MARKET RISK PREMIUM DERIVED FROM ANALYSTS LONG-TERM GROWTH ESTIMATES</t>
  </si>
  <si>
    <t>[9] Estimated Weighted Average Dividend Yield</t>
  </si>
  <si>
    <t>[10] Estimated Weighted Average Long-Term Growth Rate</t>
  </si>
  <si>
    <t>[11] S&amp;P 500 Estimated Required Market Return</t>
  </si>
  <si>
    <t>[12] Risk-Free Rate</t>
  </si>
  <si>
    <t>[13] Implied Market Risk Premium</t>
  </si>
  <si>
    <t>STANDARD AND POOR'S 500 INDEX</t>
  </si>
  <si>
    <t>[14]</t>
  </si>
  <si>
    <t>[15]</t>
  </si>
  <si>
    <t>[16]</t>
  </si>
  <si>
    <t>[17]</t>
  </si>
  <si>
    <t>[18]</t>
  </si>
  <si>
    <t xml:space="preserve">Cap-Weighted </t>
  </si>
  <si>
    <t>Weight in</t>
  </si>
  <si>
    <t>Estimated</t>
  </si>
  <si>
    <t>Cap-Weighted</t>
  </si>
  <si>
    <t>Long-Term</t>
  </si>
  <si>
    <t>Name</t>
  </si>
  <si>
    <t>Index</t>
  </si>
  <si>
    <t>Growth Est.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</si>
  <si>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</si>
  <si>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</si>
  <si>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</si>
  <si>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</si>
  <si>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</si>
  <si>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</si>
  <si>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</si>
  <si>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</si>
  <si>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</si>
  <si>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</si>
  <si>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</si>
  <si>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</si>
  <si>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</si>
  <si>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</si>
  <si>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</si>
  <si>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</si>
  <si>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</si>
  <si>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</si>
  <si>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</si>
  <si>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</si>
  <si>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</si>
  <si>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</si>
  <si>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</si>
  <si>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</si>
  <si>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</si>
  <si>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</si>
  <si>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</si>
  <si>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</si>
  <si>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</si>
  <si>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</si>
  <si>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</si>
  <si>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</si>
  <si>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</si>
  <si>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</si>
  <si>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</si>
  <si>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</si>
  <si>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International Business Machines Corp</t>
  </si>
  <si>
    <t>IBM</t>
  </si>
  <si>
    <t>Concho Resources Inc</t>
  </si>
  <si>
    <t>CXO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</si>
  <si>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</si>
  <si>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</si>
  <si>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</si>
  <si>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</si>
  <si>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</si>
  <si>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</si>
  <si>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</si>
  <si>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</si>
  <si>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</si>
  <si>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</si>
  <si>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</si>
  <si>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</si>
  <si>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Brighthouse Financial Inc</t>
  </si>
  <si>
    <t>BHF</t>
  </si>
  <si>
    <t>Baker Hughes a GE Co</t>
  </si>
  <si>
    <t>BHGE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</si>
  <si>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</si>
  <si>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</si>
  <si>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</si>
  <si>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</si>
  <si>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</si>
  <si>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</si>
  <si>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</si>
  <si>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</si>
  <si>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United Technologies Corp</t>
  </si>
  <si>
    <t>UTX</t>
  </si>
  <si>
    <t>Analog Devices Inc</t>
  </si>
  <si>
    <t>ADI</t>
  </si>
  <si>
    <t>Walmart Inc</t>
  </si>
  <si>
    <t>WMT</t>
  </si>
  <si>
    <t>Cisco Systems Inc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</si>
  <si>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</si>
  <si>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</si>
  <si>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</si>
  <si>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</si>
  <si>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</si>
  <si>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</si>
  <si>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</si>
  <si>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</si>
  <si>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</si>
  <si>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Kinder Morgan Inc/DE</t>
  </si>
  <si>
    <t>KMI</t>
  </si>
  <si>
    <t>Citigroup Inc</t>
  </si>
  <si>
    <t>C</t>
  </si>
  <si>
    <t>American International Group Inc</t>
  </si>
  <si>
    <t>AIG</t>
  </si>
  <si>
    <t>Honeywell International Inc</t>
  </si>
  <si>
    <t>HON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</si>
  <si>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</si>
  <si>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</si>
  <si>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</si>
  <si>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</si>
  <si>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</si>
  <si>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</si>
  <si>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</si>
  <si>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</si>
  <si>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</si>
  <si>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</si>
  <si>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</si>
  <si>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</si>
  <si>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</si>
  <si>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</si>
  <si>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&amp; Chemicals Inc</t>
  </si>
  <si>
    <t>APD</t>
  </si>
  <si>
    <t>Royal Caribbean Cruises Ltd</t>
  </si>
  <si>
    <t>RCL</t>
  </si>
  <si>
    <t>American Electric Power Co Inc</t>
  </si>
  <si>
    <t>AEP</t>
  </si>
  <si>
    <t>Hess Corp</t>
  </si>
  <si>
    <t>HES</t>
  </si>
  <si>
    <t>Anadarko Petroleum Corp</t>
  </si>
  <si>
    <t>APC</t>
  </si>
  <si>
    <t>Aon PLC</t>
  </si>
  <si>
    <t>AON</t>
  </si>
  <si>
    <t>Apache Corp</t>
  </si>
  <si>
    <t>APA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</si>
  <si>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</si>
  <si>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</si>
  <si>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</si>
  <si>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</si>
  <si>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</si>
  <si>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</si>
  <si>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</si>
  <si>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</si>
  <si>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</si>
  <si>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</si>
  <si>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MSCI Inc</t>
  </si>
  <si>
    <t>MSCI</t>
  </si>
  <si>
    <t>Ball Corp</t>
  </si>
  <si>
    <t>BLL</t>
  </si>
  <si>
    <t>Bank of New York Mellon Corp/The</t>
  </si>
  <si>
    <t>BK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</si>
  <si>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</si>
  <si>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</si>
  <si>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</si>
  <si>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</si>
  <si>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</si>
  <si>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</si>
  <si>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</si>
  <si>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</si>
  <si>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H&amp;R Block Inc</t>
  </si>
  <si>
    <t>HRB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</si>
  <si>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</si>
  <si>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</si>
  <si>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</si>
  <si>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</si>
  <si>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</si>
  <si>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</si>
  <si>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</si>
  <si>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</si>
  <si>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Cabot Oil &amp; Gas Corp</t>
  </si>
  <si>
    <t>COG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</si>
  <si>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</si>
  <si>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</si>
  <si>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</si>
  <si>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</si>
  <si>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</si>
  <si>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</si>
  <si>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</si>
  <si>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</si>
  <si>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</si>
  <si>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</si>
  <si>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CenturyLink Inc</t>
  </si>
  <si>
    <t>CTL</t>
  </si>
  <si>
    <t>Cigna Corp</t>
  </si>
  <si>
    <t>CI</t>
  </si>
  <si>
    <t>UDR Inc</t>
  </si>
  <si>
    <t>UDR</t>
  </si>
  <si>
    <t>Clorox Co/The</t>
  </si>
  <si>
    <t>CLX</t>
  </si>
  <si>
    <t>CMS Energy Corp</t>
  </si>
  <si>
    <t>CMS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</si>
  <si>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</si>
  <si>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</si>
  <si>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</si>
  <si>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</si>
  <si>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</si>
  <si>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</si>
  <si>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</si>
  <si>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</si>
  <si>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</si>
  <si>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</si>
  <si>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SL Green Realty Corp</t>
  </si>
  <si>
    <t>SLG</t>
  </si>
  <si>
    <t>Corning Inc</t>
  </si>
  <si>
    <t>GLW</t>
  </si>
  <si>
    <t>Cummins Inc</t>
  </si>
  <si>
    <t>CMI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</si>
  <si>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</si>
  <si>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</si>
  <si>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</si>
  <si>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</si>
  <si>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</si>
  <si>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</si>
  <si>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</si>
  <si>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</si>
  <si>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</si>
  <si>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</si>
  <si>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Duke Energy Corp</t>
  </si>
  <si>
    <t>DUK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</si>
  <si>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</si>
  <si>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</si>
  <si>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</si>
  <si>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</si>
  <si>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</si>
  <si>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</si>
  <si>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</si>
  <si>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</si>
  <si>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</si>
  <si>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</si>
  <si>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</si>
  <si>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</si>
  <si>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</si>
  <si>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</si>
  <si>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</si>
  <si>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</si>
  <si>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</si>
  <si>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</si>
  <si>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</si>
  <si>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</si>
  <si>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</si>
  <si>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</si>
  <si>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Macy's Inc</t>
  </si>
  <si>
    <t>M</t>
  </si>
  <si>
    <t>FMC Corp</t>
  </si>
  <si>
    <t>FMC</t>
  </si>
  <si>
    <t>Ford Motor Co</t>
  </si>
  <si>
    <t>NextEra Energy Inc</t>
  </si>
  <si>
    <t>NEE</t>
  </si>
  <si>
    <t>Franklin Resources Inc</t>
  </si>
  <si>
    <t>BEN</t>
  </si>
  <si>
    <t>Freeport-McMoRan Inc</t>
  </si>
  <si>
    <t>FCX</t>
  </si>
  <si>
    <t>Gap Inc/The</t>
  </si>
  <si>
    <t>GPS</t>
  </si>
  <si>
    <t>General Dynamics Corp</t>
  </si>
  <si>
    <t>GD</t>
  </si>
  <si>
    <t>General Mills Inc</t>
  </si>
  <si>
    <t>GIS</t>
  </si>
  <si>
    <t>Genuine Parts Co</t>
  </si>
  <si>
    <t>GPC</t>
  </si>
  <si>
    <t>WW Grainger Inc</t>
  </si>
  <si>
    <t>GWW</t>
  </si>
  <si>
    <t>Halliburton Co</t>
  </si>
  <si>
    <t>HAL</t>
  </si>
  <si>
    <t>Harley-Davidson Inc</t>
  </si>
  <si>
    <t>HOG</t>
  </si>
  <si>
    <t>Harris Corp</t>
  </si>
  <si>
    <t>HRS</t>
  </si>
  <si>
    <t>HCP Inc</t>
  </si>
  <si>
    <t>HCP</t>
  </si>
  <si>
    <t>Helmerich &amp; Payne Inc</t>
  </si>
  <si>
    <t>HP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</si>
  <si>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</si>
  <si>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</si>
  <si>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</si>
  <si>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</si>
  <si>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</si>
  <si>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</si>
  <si>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</si>
  <si>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</si>
  <si>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</si>
  <si>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</si>
  <si>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</si>
  <si>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</si>
  <si>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</si>
  <si>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</si>
  <si>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</si>
  <si>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</si>
  <si>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</si>
  <si>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</si>
  <si>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</si>
  <si>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</si>
  <si>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Ingersoll-Rand PLC</t>
  </si>
  <si>
    <t>IR</t>
  </si>
  <si>
    <t>Foot Locker Inc</t>
  </si>
  <si>
    <t>FL</t>
  </si>
  <si>
    <t>Interpublic Group of Cos Inc/The</t>
  </si>
  <si>
    <t>IPG</t>
  </si>
  <si>
    <t>International Flavors &amp; Fragrances Inc</t>
  </si>
  <si>
    <t>IFF</t>
  </si>
  <si>
    <t>Jacobs Engineering Group Inc</t>
  </si>
  <si>
    <t>JEC</t>
  </si>
  <si>
    <t>Hanesbrands Inc</t>
  </si>
  <si>
    <t>HBI</t>
  </si>
  <si>
    <t>Kellogg Co</t>
  </si>
  <si>
    <t>K</t>
  </si>
  <si>
    <t>Broadridge Financial Solutions Inc</t>
  </si>
  <si>
    <t>BR</t>
  </si>
  <si>
    <t>Perrigo Co PLC</t>
  </si>
  <si>
    <t>PRGO</t>
  </si>
  <si>
    <t>Kimberly-Clark Corp</t>
  </si>
  <si>
    <t>KMB</t>
  </si>
  <si>
    <t>Kimco Realty Corp</t>
  </si>
  <si>
    <t>KIM</t>
  </si>
  <si>
    <t>Kohl's Corp</t>
  </si>
  <si>
    <t>KSS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</si>
  <si>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</si>
  <si>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</si>
  <si>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</si>
  <si>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</si>
  <si>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</si>
  <si>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</si>
  <si>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</si>
  <si>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</si>
  <si>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Jefferies Financial Group Inc</t>
  </si>
  <si>
    <t>JEF</t>
  </si>
  <si>
    <t>Eli Lilly &amp; Co</t>
  </si>
  <si>
    <t>LLY</t>
  </si>
  <si>
    <t>L Brands Inc</t>
  </si>
  <si>
    <t>LB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</si>
  <si>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</si>
  <si>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</si>
  <si>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</si>
  <si>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</si>
  <si>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</si>
  <si>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</si>
  <si>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</si>
  <si>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Host Hotels &amp; Resorts Inc</t>
  </si>
  <si>
    <t>HST</t>
  </si>
  <si>
    <t>Marsh &amp; McLennan Cos Inc</t>
  </si>
  <si>
    <t>MMC</t>
  </si>
  <si>
    <t>Masco Corp</t>
  </si>
  <si>
    <t>MAS</t>
  </si>
  <si>
    <t>Mattel Inc</t>
  </si>
  <si>
    <t>MAT</t>
  </si>
  <si>
    <t>S&amp;P Global Inc</t>
  </si>
  <si>
    <t>SPGI</t>
  </si>
  <si>
    <t>Medtronic PLC</t>
  </si>
  <si>
    <t>MDT</t>
  </si>
  <si>
    <t>CVS Health Corp</t>
  </si>
  <si>
    <t>CVS</t>
  </si>
  <si>
    <t>DowDuPont Inc</t>
  </si>
  <si>
    <t>DWDP</t>
  </si>
  <si>
    <t>Micron Technology Inc</t>
  </si>
  <si>
    <t>MU</t>
  </si>
  <si>
    <t>Motorola Solutions Inc</t>
  </si>
  <si>
    <t>MSI</t>
  </si>
  <si>
    <t>Cboe Global Markets Inc</t>
  </si>
  <si>
    <t>CBOE</t>
  </si>
  <si>
    <t>Mylan NV</t>
  </si>
  <si>
    <t>MYL</t>
  </si>
  <si>
    <t>Laboratory Corp of America Holdings</t>
  </si>
  <si>
    <t>LH</t>
  </si>
  <si>
    <t>Newell Brands Inc</t>
  </si>
  <si>
    <t>NWL</t>
  </si>
  <si>
    <t>Newmont Mining Corp</t>
  </si>
  <si>
    <t>NEM</t>
  </si>
  <si>
    <t>Twenty-First Century Fox Inc</t>
  </si>
  <si>
    <t>FOXA</t>
  </si>
  <si>
    <t>NIKE Inc</t>
  </si>
  <si>
    <t>NKE</t>
  </si>
  <si>
    <t>NiSource Inc</t>
  </si>
  <si>
    <t>NI</t>
  </si>
  <si>
    <t>Noble Energy Inc</t>
  </si>
  <si>
    <t>NBL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</si>
  <si>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</si>
  <si>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</si>
  <si>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</si>
  <si>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</si>
  <si>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</si>
  <si>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</si>
  <si>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</si>
  <si>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</si>
  <si>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</si>
  <si>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</si>
  <si>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</si>
  <si>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</si>
  <si>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</si>
  <si>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</si>
  <si>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</si>
  <si>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</si>
  <si>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</si>
  <si>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</si>
  <si>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</si>
  <si>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</si>
  <si>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</si>
  <si>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</si>
  <si>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</si>
  <si>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</si>
  <si>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</si>
  <si>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</si>
  <si>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</si>
  <si>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</si>
  <si>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Exelon Corp</t>
  </si>
  <si>
    <t>EXC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</si>
  <si>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</si>
  <si>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</si>
  <si>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</si>
  <si>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</si>
  <si>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</si>
  <si>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</si>
  <si>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</si>
  <si>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</si>
  <si>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</si>
  <si>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</si>
  <si>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</si>
  <si>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</si>
  <si>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</si>
  <si>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</si>
  <si>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Raytheon Co</t>
  </si>
  <si>
    <t>RTN</t>
  </si>
  <si>
    <t>Robert Half International Inc</t>
  </si>
  <si>
    <t>RHI</t>
  </si>
  <si>
    <t>Edison International</t>
  </si>
  <si>
    <t>EIX</t>
  </si>
  <si>
    <t>Schlumberger Ltd</t>
  </si>
  <si>
    <t>SLB</t>
  </si>
  <si>
    <t>Charles Schwab Corp/The</t>
  </si>
  <si>
    <t>SCHW</t>
  </si>
  <si>
    <t>Sherwin-Williams Co/The</t>
  </si>
  <si>
    <t>SHW</t>
  </si>
  <si>
    <t>JM Smucker Co/The</t>
  </si>
  <si>
    <t>SJM</t>
  </si>
  <si>
    <t>Snap-on Inc</t>
  </si>
  <si>
    <t>SNA</t>
  </si>
  <si>
    <t>AMETEK Inc</t>
  </si>
  <si>
    <t>AME</t>
  </si>
  <si>
    <t>Southern Co/The</t>
  </si>
  <si>
    <t>SO</t>
  </si>
  <si>
    <t>BB&amp;T Corp</t>
  </si>
  <si>
    <t>BBT</t>
  </si>
  <si>
    <t>Southwest Airlines Co</t>
  </si>
  <si>
    <t>LUV</t>
  </si>
  <si>
    <t>Stanley Black &amp; Decker Inc</t>
  </si>
  <si>
    <t>SWK</t>
  </si>
  <si>
    <t>Public Storage</t>
  </si>
  <si>
    <t>PSA</t>
  </si>
  <si>
    <t>Arista Networks Inc</t>
  </si>
  <si>
    <t>ANET</t>
  </si>
  <si>
    <t>SunTrust Banks Inc</t>
  </si>
  <si>
    <t>STI</t>
  </si>
  <si>
    <t>Sysco Corp</t>
  </si>
  <si>
    <t>SYY</t>
  </si>
  <si>
    <t>Texas Instruments Inc</t>
  </si>
  <si>
    <t>TXN</t>
  </si>
  <si>
    <t>Textron Inc</t>
  </si>
  <si>
    <t>TXT</t>
  </si>
  <si>
    <t>Thermo Fisher Scientific Inc</t>
  </si>
  <si>
    <t>TMO</t>
  </si>
  <si>
    <t>Tiffany &amp; Co</t>
  </si>
  <si>
    <t>TIF</t>
  </si>
  <si>
    <t>TJX Cos Inc/The</t>
  </si>
  <si>
    <t>TJX</t>
  </si>
  <si>
    <t>Torchmark Corp</t>
  </si>
  <si>
    <t>TMK</t>
  </si>
  <si>
    <t>Total System Services Inc</t>
  </si>
  <si>
    <t>TSS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</si>
  <si>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</si>
  <si>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</si>
  <si>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</si>
  <si>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</si>
  <si>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</si>
  <si>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</si>
  <si>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</si>
  <si>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</si>
  <si>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</si>
  <si>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</si>
  <si>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Unum Group</t>
  </si>
  <si>
    <t>UNM</t>
  </si>
  <si>
    <t>Marathon Oil Corp</t>
  </si>
  <si>
    <t>MRO</t>
  </si>
  <si>
    <t>Varian Medical Systems Inc</t>
  </si>
  <si>
    <t>VAR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</si>
  <si>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</si>
  <si>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</si>
  <si>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</si>
  <si>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</si>
  <si>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</si>
  <si>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</si>
  <si>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</si>
  <si>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</si>
  <si>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</si>
  <si>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</si>
  <si>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</si>
  <si>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</si>
  <si>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</si>
  <si>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</si>
  <si>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</si>
  <si>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WEC</t>
  </si>
  <si>
    <t>Xerox Corp</t>
  </si>
  <si>
    <t>XRX</t>
  </si>
  <si>
    <t>Adobe Inc</t>
  </si>
  <si>
    <t>ADBE</t>
  </si>
  <si>
    <t>AES Corp/VA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</si>
  <si>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</si>
  <si>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</si>
  <si>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</si>
  <si>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</si>
  <si>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</si>
  <si>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</si>
  <si>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</si>
  <si>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</si>
  <si>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</si>
  <si>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</si>
  <si>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</si>
  <si>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Brewing Co</t>
  </si>
  <si>
    <t>TAP</t>
  </si>
  <si>
    <t>KLA-Tencor Corp</t>
  </si>
  <si>
    <t>KLAC</t>
  </si>
  <si>
    <t>Marriott International Inc/MD</t>
  </si>
  <si>
    <t>MAR</t>
  </si>
  <si>
    <t>McCormick &amp; Co Inc/MD</t>
  </si>
  <si>
    <t>MKC</t>
  </si>
  <si>
    <t>Nordstrom Inc</t>
  </si>
  <si>
    <t>JWN</t>
  </si>
  <si>
    <t>PACCAR Inc</t>
  </si>
  <si>
    <t>PCAR</t>
  </si>
  <si>
    <t>Costco Wholesale Corp</t>
  </si>
  <si>
    <t>COST</t>
  </si>
  <si>
    <t>Stryker Corp</t>
  </si>
  <si>
    <t>SYK</t>
  </si>
  <si>
    <t>Lamb Weston Holdings Inc</t>
  </si>
  <si>
    <t>LW</t>
  </si>
  <si>
    <t>Tyson Foods Inc</t>
  </si>
  <si>
    <t>TSN</t>
  </si>
  <si>
    <t>Applied Materials Inc</t>
  </si>
  <si>
    <t>AMAT</t>
  </si>
  <si>
    <t>American Airlines Group Inc</t>
  </si>
  <si>
    <t>AAL</t>
  </si>
  <si>
    <t>Cardinal Health Inc</t>
  </si>
  <si>
    <t>CAH</t>
  </si>
  <si>
    <t>Celgene Corp</t>
  </si>
  <si>
    <t>CELG</t>
  </si>
  <si>
    <t>Cerner Corp</t>
  </si>
  <si>
    <t>CERN</t>
  </si>
  <si>
    <t>Cincinnati Financial Corp</t>
  </si>
  <si>
    <t>CINF</t>
  </si>
  <si>
    <t>DR Horton Inc</t>
  </si>
  <si>
    <t>DHI</t>
  </si>
  <si>
    <t>Flowserve Corp</t>
  </si>
  <si>
    <t>FLS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</si>
  <si>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</si>
  <si>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</si>
  <si>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</si>
  <si>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</si>
  <si>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</si>
  <si>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</si>
  <si>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</si>
  <si>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</si>
  <si>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</si>
  <si>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XEL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</si>
  <si>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</si>
  <si>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</si>
  <si>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</si>
  <si>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</si>
  <si>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</si>
  <si>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</si>
  <si>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</si>
  <si>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</si>
  <si>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</si>
  <si>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</si>
  <si>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</si>
  <si>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</si>
  <si>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</si>
  <si>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</si>
  <si>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</si>
  <si>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</si>
  <si>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</si>
  <si>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</si>
  <si>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</si>
  <si>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</si>
  <si>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</si>
  <si>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</si>
  <si>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</si>
  <si>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</si>
  <si>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</si>
  <si>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</si>
  <si>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</si>
  <si>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</si>
  <si>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</si>
  <si>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</si>
  <si>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</si>
  <si>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</si>
  <si>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</si>
  <si>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</si>
  <si>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State Street Corp</t>
  </si>
  <si>
    <t>STT</t>
  </si>
  <si>
    <t>Norwegian Cruise Line Holdings Ltd</t>
  </si>
  <si>
    <t>NCLH</t>
  </si>
  <si>
    <t>US Bancorp</t>
  </si>
  <si>
    <t>USB</t>
  </si>
  <si>
    <t>AO Smith Corp</t>
  </si>
  <si>
    <t>AOS</t>
  </si>
  <si>
    <t>Symantec Corp</t>
  </si>
  <si>
    <t>SYMC</t>
  </si>
  <si>
    <t>T Rowe Price Group Inc</t>
  </si>
  <si>
    <t>TROW</t>
  </si>
  <si>
    <t>Waste Management Inc</t>
  </si>
  <si>
    <t>WM</t>
  </si>
  <si>
    <t>CBS Corp</t>
  </si>
  <si>
    <t>CBS</t>
  </si>
  <si>
    <t>Allergan PLC</t>
  </si>
  <si>
    <t>AGN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</si>
  <si>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</si>
  <si>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</si>
  <si>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</si>
  <si>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</si>
  <si>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</si>
  <si>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</si>
  <si>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</si>
  <si>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</si>
  <si>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</si>
  <si>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</si>
  <si>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</si>
  <si>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</si>
  <si>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</si>
  <si>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</si>
  <si>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</si>
  <si>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</si>
  <si>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</si>
  <si>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</si>
  <si>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</si>
  <si>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</si>
  <si>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</si>
  <si>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</si>
  <si>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</si>
  <si>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</si>
  <si>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</si>
  <si>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</si>
  <si>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</si>
  <si>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</si>
  <si>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</si>
  <si>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FLIR Systems Inc</t>
  </si>
  <si>
    <t>FLIR</t>
  </si>
  <si>
    <t>Equity Residential</t>
  </si>
  <si>
    <t>EQR</t>
  </si>
  <si>
    <t>BorgWarner Inc</t>
  </si>
  <si>
    <t>BWA</t>
  </si>
  <si>
    <t>Newfield Exploration Co</t>
  </si>
  <si>
    <t>NFX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</si>
  <si>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</si>
  <si>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</si>
  <si>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</si>
  <si>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</si>
  <si>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</si>
  <si>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</si>
  <si>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</si>
  <si>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</si>
  <si>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</si>
  <si>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</si>
  <si>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</si>
  <si>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</si>
  <si>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</si>
  <si>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</si>
  <si>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Apartment Investment &amp; Management Co</t>
  </si>
  <si>
    <t>AIV</t>
  </si>
  <si>
    <t>Walgreens Boots Alliance Inc</t>
  </si>
  <si>
    <t>WBA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</si>
  <si>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</si>
  <si>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</si>
  <si>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</si>
  <si>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</si>
  <si>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</si>
  <si>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</si>
  <si>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</si>
  <si>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</si>
  <si>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</si>
  <si>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</si>
  <si>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</si>
  <si>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</si>
  <si>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</si>
  <si>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</si>
  <si>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NetApp Inc</t>
  </si>
  <si>
    <t>NTAP</t>
  </si>
  <si>
    <t>Citrix Systems Inc</t>
  </si>
  <si>
    <t>CTXS</t>
  </si>
  <si>
    <t>Goodyear Tire &amp; Rubber Co/The</t>
  </si>
  <si>
    <t>GT</t>
  </si>
  <si>
    <t>DXC Technology Co</t>
  </si>
  <si>
    <t>DXC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</si>
  <si>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</si>
  <si>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</si>
  <si>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</si>
  <si>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</si>
  <si>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</si>
  <si>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</si>
  <si>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</si>
  <si>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</si>
  <si>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</si>
  <si>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</si>
  <si>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Universal Health Services Inc</t>
  </si>
  <si>
    <t>UHS</t>
  </si>
  <si>
    <t>E*TRADE Financial Corp</t>
  </si>
  <si>
    <t>ETFC</t>
  </si>
  <si>
    <t>Skyworks Solutions Inc</t>
  </si>
  <si>
    <t>SWKS</t>
  </si>
  <si>
    <t>National Oilwell Varco Inc</t>
  </si>
  <si>
    <t>NOV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</si>
  <si>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</si>
  <si>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</si>
  <si>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</si>
  <si>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</si>
  <si>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</si>
  <si>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</si>
  <si>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</si>
  <si>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</si>
  <si>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</si>
  <si>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</si>
  <si>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HollyFrontier Corp</t>
  </si>
  <si>
    <t>HFC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</si>
  <si>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</si>
  <si>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</si>
  <si>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</si>
  <si>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</si>
  <si>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</si>
  <si>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</si>
  <si>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</si>
  <si>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</si>
  <si>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</si>
  <si>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</si>
  <si>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</si>
  <si>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</si>
  <si>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Arconic Inc</t>
  </si>
  <si>
    <t>ARNC</t>
  </si>
  <si>
    <t>Pioneer Natural Resources Co</t>
  </si>
  <si>
    <t>PXD</t>
  </si>
  <si>
    <t>Valero Energy Corp</t>
  </si>
  <si>
    <t>VLO</t>
  </si>
  <si>
    <t>Synopsys Inc</t>
  </si>
  <si>
    <t>SNPS</t>
  </si>
  <si>
    <t>L3 Technologies Inc</t>
  </si>
  <si>
    <t>LLL</t>
  </si>
  <si>
    <t>Western Union Co/The</t>
  </si>
  <si>
    <t>WU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</si>
  <si>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</si>
  <si>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</si>
  <si>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</si>
  <si>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</si>
  <si>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</si>
  <si>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</si>
  <si>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</si>
  <si>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</si>
  <si>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</si>
  <si>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</si>
  <si>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</si>
  <si>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</si>
  <si>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</si>
  <si>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</si>
  <si>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</si>
  <si>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</si>
  <si>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</si>
  <si>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</si>
  <si>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</si>
  <si>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AEE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</si>
  <si>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</si>
  <si>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</si>
  <si>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</si>
  <si>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</si>
  <si>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</si>
  <si>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</si>
  <si>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</si>
  <si>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</si>
  <si>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Intuitive Surgical Inc</t>
  </si>
  <si>
    <t>ISRG</t>
  </si>
  <si>
    <t>SVB Financial Group</t>
  </si>
  <si>
    <t>SIVB</t>
  </si>
  <si>
    <t>Affiliated Managers Group Inc</t>
  </si>
  <si>
    <t>AMG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</si>
  <si>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</si>
  <si>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</si>
  <si>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</si>
  <si>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</si>
  <si>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</si>
  <si>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</si>
  <si>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</si>
  <si>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</si>
  <si>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Sempra Energy</t>
  </si>
  <si>
    <t>SRE</t>
  </si>
  <si>
    <t>SBA Communications Corp</t>
  </si>
  <si>
    <t>SBAC</t>
  </si>
  <si>
    <t>Moody's Corp</t>
  </si>
  <si>
    <t>MCO</t>
  </si>
  <si>
    <t>Booking Holdings Inc</t>
  </si>
  <si>
    <t>BKNG</t>
  </si>
  <si>
    <t>F5 Networks Inc</t>
  </si>
  <si>
    <t>FFIV</t>
  </si>
  <si>
    <t>Akamai Technologies Inc</t>
  </si>
  <si>
    <t>AKAM</t>
  </si>
  <si>
    <t>Devon Energy Corp</t>
  </si>
  <si>
    <t>DVN</t>
  </si>
  <si>
    <t>Alphabet Inc</t>
  </si>
  <si>
    <t>GOOGL</t>
  </si>
  <si>
    <t>Red Hat Inc</t>
  </si>
  <si>
    <t>RHT</t>
  </si>
  <si>
    <t>Allegion PLC</t>
  </si>
  <si>
    <t>ALLE</t>
  </si>
  <si>
    <t>Netflix Inc</t>
  </si>
  <si>
    <t>NFLX</t>
  </si>
  <si>
    <t>Agilent Technologies Inc</t>
  </si>
  <si>
    <t>Anthem Inc</t>
  </si>
  <si>
    <t>ANTM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</si>
  <si>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</si>
  <si>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</si>
  <si>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</si>
  <si>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</si>
  <si>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</si>
  <si>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</si>
  <si>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</si>
  <si>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</si>
  <si>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</si>
  <si>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</si>
  <si>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Philip Morris International Inc</t>
  </si>
  <si>
    <t>PM</t>
  </si>
  <si>
    <t>salesforce.com Inc</t>
  </si>
  <si>
    <t>CRM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</si>
  <si>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</si>
  <si>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</si>
  <si>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</si>
  <si>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</si>
  <si>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</si>
  <si>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</si>
  <si>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</si>
  <si>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Fluor Corp</t>
  </si>
  <si>
    <t>FLR</t>
  </si>
  <si>
    <t>CSX Corp</t>
  </si>
  <si>
    <t>CSX</t>
  </si>
  <si>
    <t>Edwards Lifesciences Corp</t>
  </si>
  <si>
    <t>EW</t>
  </si>
  <si>
    <t>Ameriprise Financial Inc</t>
  </si>
  <si>
    <t>AMP</t>
  </si>
  <si>
    <t>TechnipFMC PLC</t>
  </si>
  <si>
    <t>FTI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</si>
  <si>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</si>
  <si>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</si>
  <si>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</si>
  <si>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</si>
  <si>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</si>
  <si>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</si>
  <si>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</si>
  <si>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</si>
  <si>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</si>
  <si>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</si>
  <si>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</si>
  <si>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</si>
  <si>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</si>
  <si>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</si>
  <si>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</si>
  <si>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</si>
  <si>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Assurant Inc</t>
  </si>
  <si>
    <t>AIZ</t>
  </si>
  <si>
    <t>NRG Energy Inc</t>
  </si>
  <si>
    <t>NRG</t>
  </si>
  <si>
    <t>Monster Beverage Corp</t>
  </si>
  <si>
    <t>MNST</t>
  </si>
  <si>
    <t>Regions Financial Corp</t>
  </si>
  <si>
    <t>RF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</si>
  <si>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</si>
  <si>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</si>
  <si>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</si>
  <si>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</si>
  <si>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</si>
  <si>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</si>
  <si>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</si>
  <si>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</si>
  <si>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</si>
  <si>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</si>
  <si>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Viacom Inc</t>
  </si>
  <si>
    <t>VIAB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</si>
  <si>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</si>
  <si>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</si>
  <si>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</si>
  <si>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</si>
  <si>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</si>
  <si>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</si>
  <si>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</si>
  <si>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TripAdvisor Inc</t>
  </si>
  <si>
    <t>TRIP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</si>
  <si>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</si>
  <si>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</si>
  <si>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</si>
  <si>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</si>
  <si>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</si>
  <si>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</si>
  <si>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</si>
  <si>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</si>
  <si>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</si>
  <si>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</si>
  <si>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</si>
  <si>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</si>
  <si>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</si>
  <si>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</si>
  <si>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</si>
  <si>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</si>
  <si>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</si>
  <si>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</si>
  <si>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</si>
  <si>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</si>
  <si>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</si>
  <si>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</si>
  <si>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Essex Property Trust Inc</t>
  </si>
  <si>
    <t>ESS</t>
  </si>
  <si>
    <t>Realty Income Corp</t>
  </si>
  <si>
    <t>O</t>
  </si>
  <si>
    <t>Seagate Technology PLC</t>
  </si>
  <si>
    <t>STX</t>
  </si>
  <si>
    <t>Westrock Co</t>
  </si>
  <si>
    <t>WRK</t>
  </si>
  <si>
    <t>IHS Markit Ltd</t>
  </si>
  <si>
    <t>INFO</t>
  </si>
  <si>
    <t>Western Digital Corp</t>
  </si>
  <si>
    <t>WDC</t>
  </si>
  <si>
    <t>PepsiCo Inc</t>
  </si>
  <si>
    <t>PEP</t>
  </si>
  <si>
    <t>Diamondback Energy Inc</t>
  </si>
  <si>
    <t>FANG</t>
  </si>
  <si>
    <t>Nektar Therapeutics</t>
  </si>
  <si>
    <t>NKTR</t>
  </si>
  <si>
    <t>Maxim Integrated Products Inc</t>
  </si>
  <si>
    <t>MXIM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</si>
  <si>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</si>
  <si>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</si>
  <si>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</si>
  <si>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</si>
  <si>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</si>
  <si>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</si>
  <si>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</si>
  <si>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</si>
  <si>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FOX</t>
  </si>
  <si>
    <t>Alliant Energy Corp</t>
  </si>
  <si>
    <t>LNT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</si>
  <si>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</si>
  <si>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</si>
  <si>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</si>
  <si>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</si>
  <si>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</si>
  <si>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</si>
  <si>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</si>
  <si>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</si>
  <si>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</si>
  <si>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</si>
  <si>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Facebook Inc</t>
  </si>
  <si>
    <t>FB</t>
  </si>
  <si>
    <t>United Rentals Inc</t>
  </si>
  <si>
    <t>URI</t>
  </si>
  <si>
    <t>Alexandria Real Estate Equities Inc</t>
  </si>
  <si>
    <t>ARE</t>
  </si>
  <si>
    <t>ABIOMED Inc</t>
  </si>
  <si>
    <t>ABMD</t>
  </si>
  <si>
    <t>Delta Air Lines Inc</t>
  </si>
  <si>
    <t>DAL</t>
  </si>
  <si>
    <t>United Continental Holdings Inc</t>
  </si>
  <si>
    <t>UAL</t>
  </si>
  <si>
    <t>News Corp</t>
  </si>
  <si>
    <t>NWS</t>
  </si>
  <si>
    <t>Centene Corp</t>
  </si>
  <si>
    <t>CNC</t>
  </si>
  <si>
    <t>Macerich Co/The</t>
  </si>
  <si>
    <t>MAC</t>
  </si>
  <si>
    <t>Martin Marietta Materials Inc</t>
  </si>
  <si>
    <t>MLM</t>
  </si>
  <si>
    <t>PayPal Holdings Inc</t>
  </si>
  <si>
    <t>PYPL</t>
  </si>
  <si>
    <t>Coty Inc</t>
  </si>
  <si>
    <t>COTY</t>
  </si>
  <si>
    <t>DISH Network Corp</t>
  </si>
  <si>
    <t>DISH</t>
  </si>
  <si>
    <t>Alexion Pharmaceuticals Inc</t>
  </si>
  <si>
    <t>ALXN</t>
  </si>
  <si>
    <t>Everest Re Group Ltd</t>
  </si>
  <si>
    <t>RE</t>
  </si>
  <si>
    <t>WellCare Health Plans Inc</t>
  </si>
  <si>
    <t>WCG</t>
  </si>
  <si>
    <t>NWSA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</si>
  <si>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</si>
  <si>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</si>
  <si>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</si>
  <si>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</si>
  <si>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</si>
  <si>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</si>
  <si>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</si>
  <si>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</si>
  <si>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</si>
  <si>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</si>
  <si>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</si>
  <si>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</si>
  <si>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Alliance Data Systems Corp</t>
  </si>
  <si>
    <t>ADS</t>
  </si>
  <si>
    <t>LKQ Corp</t>
  </si>
  <si>
    <t>LKQ</t>
  </si>
  <si>
    <t>Nielsen Holdings PLC</t>
  </si>
  <si>
    <t>NLSN</t>
  </si>
  <si>
    <t>Garmin Ltd</t>
  </si>
  <si>
    <t>GRMN</t>
  </si>
  <si>
    <t>Cimarex Energy Co</t>
  </si>
  <si>
    <t>XEC</t>
  </si>
  <si>
    <t>Zoetis Inc</t>
  </si>
  <si>
    <t>ZTS</t>
  </si>
  <si>
    <t>Digital Realty Trust Inc</t>
  </si>
  <si>
    <t>DLR</t>
  </si>
  <si>
    <t>Equinix Inc</t>
  </si>
  <si>
    <t>EQIX</t>
  </si>
  <si>
    <t>DISCK</t>
  </si>
  <si>
    <t>[9] Equals sum of Col. [16]</t>
  </si>
  <si>
    <t>[10] Equals sum of Col. [18]</t>
  </si>
  <si>
    <t>[11] Equals ([9] x (1 + (0.5 x [10]))) + [10]</t>
  </si>
  <si>
    <t>[13] Equals [11] − [12]</t>
  </si>
  <si>
    <t xml:space="preserve">[14] Equals weight in S&amp;P 500 based on market capitalization </t>
  </si>
  <si>
    <t>[16] Equals [14] x [15]</t>
  </si>
  <si>
    <t>[18] Equals [14] x [17]</t>
  </si>
  <si>
    <t>Near-term projected 30-year U.S. Treasury bond yield (Q2 2019 - Q2 2020) [2]</t>
  </si>
  <si>
    <t>Celanese Corp</t>
  </si>
  <si>
    <t>CE</t>
  </si>
  <si>
    <t>Capri Holdings Ltd</t>
  </si>
  <si>
    <t>CPRI</t>
  </si>
  <si>
    <t>% Regulated Natural Gas Operating Income &gt; 60%</t>
  </si>
  <si>
    <t>All Proxy Group</t>
  </si>
  <si>
    <t>With Exclusions</t>
  </si>
  <si>
    <t>[12]</t>
  </si>
  <si>
    <t>[13]</t>
  </si>
  <si>
    <t>Low ROE</t>
  </si>
  <si>
    <t>Mean ROE</t>
  </si>
  <si>
    <t>High ROE</t>
  </si>
  <si>
    <t>[12] Equals [9] if greater than 7.00%</t>
  </si>
  <si>
    <t>[13] Equals [10] if greater than 7.00%</t>
  </si>
  <si>
    <t>[14] Equals [11] if greater than 7.00%</t>
  </si>
  <si>
    <t>[6] Source: Value Line</t>
  </si>
  <si>
    <t>[5] Source: Value Line</t>
  </si>
  <si>
    <t>[3] Source: Value Line</t>
  </si>
  <si>
    <t>[2] Source: Value Line</t>
  </si>
  <si>
    <t>[1] Source: Value Line</t>
  </si>
  <si>
    <t>n/a</t>
  </si>
  <si>
    <r>
      <t>SUMMARY OF ROE ANALYSES RESULTS</t>
    </r>
    <r>
      <rPr>
        <vertAlign val="superscript"/>
        <sz val="11"/>
        <rFont val="Arial"/>
        <family val="2"/>
      </rPr>
      <t>1</t>
    </r>
  </si>
  <si>
    <t>Y</t>
  </si>
  <si>
    <t>Constant Growth Average</t>
  </si>
  <si>
    <t>Lower End ROE Recommendation</t>
  </si>
  <si>
    <t>Higher End ROE Recommendation</t>
  </si>
  <si>
    <t>Current 30-day Average Treasury Bond Yield</t>
  </si>
  <si>
    <t>Near-Term Blue Chip Forecast Yield</t>
  </si>
  <si>
    <t>Long-Term Blue Chip Forecast Yield</t>
  </si>
  <si>
    <t>CAPM Mean Result</t>
  </si>
  <si>
    <t>Risk Premium Mean Result</t>
  </si>
  <si>
    <t>BETA</t>
  </si>
  <si>
    <t>Proxy Group</t>
  </si>
  <si>
    <t>Median Low</t>
  </si>
  <si>
    <t>Median</t>
  </si>
  <si>
    <t>Median High</t>
  </si>
  <si>
    <t>[1] Source: Value Line;  November 30, 2018</t>
  </si>
  <si>
    <t>CAPITAL ASSET PRICING MODEL</t>
  </si>
  <si>
    <t>BOND YIELD PLUS RISK PREMIUM</t>
  </si>
  <si>
    <t>Current 30-Day Average [4]</t>
  </si>
  <si>
    <t>Blue Chip Consensus Forecast (Q2 2019 - Q2 2020) [5]</t>
  </si>
  <si>
    <t>Blue Chip Consensus Forecast (2020-2024) [6]</t>
  </si>
  <si>
    <t>[7] See notes [4], [5] &amp; [6]</t>
  </si>
  <si>
    <t>[9] Equals Column [7] + Column [8]</t>
  </si>
  <si>
    <t>Date [i]</t>
  </si>
  <si>
    <t>Shares Issued
(000)</t>
  </si>
  <si>
    <t>Offering Price</t>
  </si>
  <si>
    <t>Under-
writing Discount [ii]</t>
  </si>
  <si>
    <t xml:space="preserve">Offering Expense ($000) </t>
  </si>
  <si>
    <t>Net Proceeds Per Share</t>
  </si>
  <si>
    <t>Total Flotation Costs
($000)</t>
  </si>
  <si>
    <t>Gross Equity Issue Before Costs
($000)</t>
  </si>
  <si>
    <t>Net Proceeds ($000)</t>
  </si>
  <si>
    <t>Flotation Cost Percentage</t>
  </si>
  <si>
    <t>MDU Resources Group</t>
  </si>
  <si>
    <t>[i] Offering Completion Date</t>
  </si>
  <si>
    <t>[ii] Underwriting discount was calculated as the market price minus the offering price when not explicitly given in the prospectus.</t>
  </si>
  <si>
    <t>to determine the cost of equity.  Using the formulas shown previously in my testimony, the Constant Growth DCF calculation is modified as follows to accommodate an adjustment for flotation costs:</t>
  </si>
  <si>
    <t>Expected Dividend Yield Adjusted for Flotation Costs</t>
  </si>
  <si>
    <t>Average Earnings Growth</t>
  </si>
  <si>
    <t>ROE Adjusted for Flotation Costs</t>
  </si>
  <si>
    <t>Flotation Cost Adjustment</t>
  </si>
  <si>
    <t>[4] Equals [3] x (1 + 0.5 x [9])</t>
  </si>
  <si>
    <t>[5] Equals [4] / (1 − Flotation Cost)</t>
  </si>
  <si>
    <t>[7] Source: Yahoo! Finance</t>
  </si>
  <si>
    <t>[8] Source: Zacks</t>
  </si>
  <si>
    <t>[9] Equals Average ([6], [7], [8])</t>
  </si>
  <si>
    <t>[10] Equals [4] + [9]</t>
  </si>
  <si>
    <t>[11] Equals [5] + [9]</t>
  </si>
  <si>
    <t>[12] Equals Average ([11]) − Average ([10])</t>
  </si>
  <si>
    <t xml:space="preserve">[2] Natural Gas Operating Subsidiaries with data listed as N/A from SNL Financial have been excluded from the analysis.  </t>
  </si>
  <si>
    <t>Yes</t>
  </si>
  <si>
    <t>[2] Source: Bloomberg Professional, equals 30-day average as of January 31, 2019</t>
  </si>
  <si>
    <t>[2] Source: Bloomberg Professional, equals 90-day average as of January 31, 2019</t>
  </si>
  <si>
    <t>[2] Source: Bloomberg Professional, equals 180-day average as of January 31, 2019</t>
  </si>
  <si>
    <t>AS OF JANUARY 31, 2019</t>
  </si>
  <si>
    <t>[1] Source: Bloomberg Professional, 30-day average as of January 31, 2019</t>
  </si>
  <si>
    <t>[2] Source: Blue Chip Financial Forecasts, Vol. 38, No. 2, February 1, 2019, at 2</t>
  </si>
  <si>
    <t>First Republic Bank/CA</t>
  </si>
  <si>
    <t>FRC</t>
  </si>
  <si>
    <t>Teleflex Inc</t>
  </si>
  <si>
    <t>TFX</t>
  </si>
  <si>
    <t>[15] Source: Bloomberg Professional, as of January 31, 2019</t>
  </si>
  <si>
    <t>[17] Source: Bloomberg Professional, as of January 31, 2019</t>
  </si>
  <si>
    <t xml:space="preserve">[1] Source: Regulatory Research Associates, accessed February 7, 2019. </t>
  </si>
  <si>
    <t>[4] Source: Bloomberg Professional, 30-day average as of January 31, 2019</t>
  </si>
  <si>
    <t>[5] Source: Blue Chip Financial Forecasts, Vol. 38, No. 2, February 1, 2019, at 2</t>
  </si>
  <si>
    <t>[6] Source: Blue Chip Financial Forecasts, Vol. 37, No. 12, December 1, 2018, at 14</t>
  </si>
  <si>
    <t>2018.4</t>
  </si>
  <si>
    <t>2019.1</t>
  </si>
  <si>
    <t>EXPECTED EARNINGS ANALYSIS</t>
  </si>
  <si>
    <t>Value Line ROE
2021-2023</t>
  </si>
  <si>
    <t>Value Line
Total Capital
2017</t>
  </si>
  <si>
    <t>Value Line
Common Equity Ratio 
2017</t>
  </si>
  <si>
    <t>Total Equity 
2017</t>
  </si>
  <si>
    <t>Value Line
Total Capital
2021-2023</t>
  </si>
  <si>
    <t>Value Line
Common Equity Ratio
2021-2023</t>
  </si>
  <si>
    <t>Total Equity 
2021-2023</t>
  </si>
  <si>
    <t>Adjustment Factor</t>
  </si>
  <si>
    <t>Adjusted Return on Common Equity</t>
  </si>
  <si>
    <t>Average</t>
  </si>
  <si>
    <t>[4] Equals [2] x [3]</t>
  </si>
  <si>
    <t>[7] Equals [5] x [6]</t>
  </si>
  <si>
    <t>[8] Equals ([7] / [4]) ^ (1/5) - 1</t>
  </si>
  <si>
    <t>[9] Equals 2 x (1 + [8]) / (2 + [8])</t>
  </si>
  <si>
    <t>[10] Equals [1] x [9]</t>
  </si>
  <si>
    <t>REGULATORY FRAMEWORK - ADJUSTMENT CLAUSES</t>
  </si>
  <si>
    <t>Decoupling</t>
  </si>
  <si>
    <t>New Capital</t>
  </si>
  <si>
    <t xml:space="preserve">Generation </t>
  </si>
  <si>
    <t>Generic</t>
  </si>
  <si>
    <t>Operation State</t>
  </si>
  <si>
    <t>Operation</t>
  </si>
  <si>
    <t>Test Year</t>
  </si>
  <si>
    <t>Rate Base</t>
  </si>
  <si>
    <t>Full</t>
  </si>
  <si>
    <t>Partial</t>
  </si>
  <si>
    <t>Capacity</t>
  </si>
  <si>
    <t>Infrastructure</t>
  </si>
  <si>
    <t>Kansas</t>
  </si>
  <si>
    <t>Gas</t>
  </si>
  <si>
    <t>Historical</t>
  </si>
  <si>
    <t>Year End</t>
  </si>
  <si>
    <t>x</t>
  </si>
  <si>
    <t>Kentucky</t>
  </si>
  <si>
    <t>Fully Forecast</t>
  </si>
  <si>
    <t>Louisiana</t>
  </si>
  <si>
    <t>Mississippi</t>
  </si>
  <si>
    <t>Tennessee</t>
  </si>
  <si>
    <t>Texas RRC</t>
  </si>
  <si>
    <t>New Jersey</t>
  </si>
  <si>
    <t>Partially Forecast</t>
  </si>
  <si>
    <t>Oregon</t>
  </si>
  <si>
    <t>Washington</t>
  </si>
  <si>
    <t>Oklahoma</t>
  </si>
  <si>
    <t>Arizona</t>
  </si>
  <si>
    <t>California</t>
  </si>
  <si>
    <t>Nevada</t>
  </si>
  <si>
    <t>Alabama</t>
  </si>
  <si>
    <t>Missouri</t>
  </si>
  <si>
    <t>Proxy Companies</t>
  </si>
  <si>
    <t>Total Jurisdictions</t>
  </si>
  <si>
    <t>Percent of Jurisdictions</t>
  </si>
  <si>
    <t xml:space="preserve">[1] S&amp;P Global Market Intelligence, Regulatory Focus: Adjustment Clauses, dated September 28, 2018. Operating subsidiaries not covered in this report were excluded from this exhibit. </t>
  </si>
  <si>
    <t>Cascade Natural Gas</t>
  </si>
  <si>
    <t xml:space="preserve">COMPARISON OF CASCADE NATURAL GAS AND PROXY GROUP COMPANIES  </t>
  </si>
  <si>
    <t>Expected Earnings Analysis</t>
  </si>
  <si>
    <t>Proxy Group Median</t>
  </si>
  <si>
    <t>Expected Earnings Result</t>
  </si>
  <si>
    <t>Expected Earnings</t>
  </si>
  <si>
    <t>2019-2023 CAPITAL EXPENDITURES AS A PERCENT OF 2017 NET PLANT</t>
  </si>
  <si>
    <t>($ Millions)</t>
  </si>
  <si>
    <t>2019-23</t>
  </si>
  <si>
    <t>Cap. Ex. /</t>
  </si>
  <si>
    <t>Net Plant</t>
  </si>
  <si>
    <t>Capital Spending per Share</t>
  </si>
  <si>
    <t>Common Shares Outstanding</t>
  </si>
  <si>
    <t>Capital Expenditures</t>
  </si>
  <si>
    <t>Capital Expenditures [8]</t>
  </si>
  <si>
    <t>[1] - [6] Value Line, November 30, 2018</t>
  </si>
  <si>
    <t xml:space="preserve">[7] Equals (Column [2] + [3] + [4] + [5] + [6]) /  Column [1] </t>
  </si>
  <si>
    <t>Projected CAPEX / 2017 Net Plant</t>
  </si>
  <si>
    <t>2019-2023</t>
  </si>
  <si>
    <t>X- Axis</t>
  </si>
  <si>
    <t>CNG</t>
  </si>
  <si>
    <t>[8] - [9] Data provided by Cascade Natural Gas</t>
  </si>
  <si>
    <t>CNG CapEx Total (2019 - 2023)</t>
  </si>
  <si>
    <t>CNG CapEx Annual Average</t>
  </si>
  <si>
    <t>CNG as % Proxy Group Median</t>
  </si>
  <si>
    <t>Source: Schedule-10 page 1 col. [7]</t>
  </si>
  <si>
    <t>CNG/Proxy Group</t>
  </si>
  <si>
    <t>Net Plant in Service [9]</t>
  </si>
  <si>
    <t>Constant Growth DCF</t>
  </si>
  <si>
    <t>Mean</t>
  </si>
  <si>
    <t>[1] The analytical results included in the table reflect the results of the Constant Growth DCF analysis excluding the results for individual companies that did not meet the minimum threshold of 7 percent.</t>
  </si>
  <si>
    <t>[5] Source: Schedule-4</t>
  </si>
  <si>
    <t>[6] Source: Schedule-5, p.2</t>
  </si>
  <si>
    <t>[12] Source: Schedule-5, at 1</t>
  </si>
  <si>
    <t>SIZE PREMIUM CALCULATION</t>
  </si>
  <si>
    <t>Proxy Group Market Capitalization and Market-to-Book Ratio</t>
  </si>
  <si>
    <t>Capitalization</t>
  </si>
  <si>
    <t>Market-to-</t>
  </si>
  <si>
    <t>($ billions)</t>
  </si>
  <si>
    <t>Book Ratio</t>
  </si>
  <si>
    <t>ONE Gas Inc.</t>
  </si>
  <si>
    <t>Common Equity ($ millions) [3]</t>
  </si>
  <si>
    <t>Implied Market Capitalization [4]</t>
  </si>
  <si>
    <t>As a percent of Proxy Group Median Market Capitalization</t>
  </si>
  <si>
    <t>Duff &amp; Phelps Cost of Capital Navigator -- Size Premium</t>
  </si>
  <si>
    <t>of Largest</t>
  </si>
  <si>
    <t>Size</t>
  </si>
  <si>
    <t>Breakdown of Deciles 1-10</t>
  </si>
  <si>
    <t>($ millions)</t>
  </si>
  <si>
    <t>1-Largest</t>
  </si>
  <si>
    <t>10-Smallest</t>
  </si>
  <si>
    <t>Proxy Group Median Market Capitalization</t>
  </si>
  <si>
    <t>Size Premium [7]</t>
  </si>
  <si>
    <t>[1] Source: Bloomberg Professional; equals 30-day average as of January 31, 2019</t>
  </si>
  <si>
    <t>[2] Source: Bloomberg Professional; equals 30-day average as of January 31, 2019</t>
  </si>
  <si>
    <t>[4] Equals [3] x proxy group median market-to-book ratio</t>
  </si>
  <si>
    <t>[5] Duff &amp; Phelps Cost of Capital Navigator - Size Premium: Annual Data as of 12/31/2018</t>
  </si>
  <si>
    <t>[6] Duff &amp; Phelps Cost of Capital Navigator - Size Premium: Annual Data as of 12/31/2018</t>
  </si>
  <si>
    <t>Cascade Natural Gas Corp.</t>
  </si>
  <si>
    <t>[3] Data provided by Cascade Natural Gas Corp.</t>
  </si>
  <si>
    <t>Cascade Natural Gas Corp. - Implied Market Capitalization</t>
  </si>
  <si>
    <t>[2] Source: Bloomberg Professional, equals 30-day average as of Janaury 31, 2019</t>
  </si>
  <si>
    <t>Cascade Natural Gas [2]</t>
  </si>
  <si>
    <t>[2] Data provided by Cascade Natural Gas Corporation</t>
  </si>
  <si>
    <t xml:space="preserve">30-DAY CONSTANT GROWTH DCF -- CASCADE NATURAL GAS PROXY GROUP </t>
  </si>
  <si>
    <t xml:space="preserve">90-DAY CONSTANT GROWTH DCF -- CASCADE NATURAL GAS PROXY GROUP </t>
  </si>
  <si>
    <t xml:space="preserve">180-DAY CONSTANT GROWTH DCF -- CASCADE NATURAL GAS PROXY GROUP </t>
  </si>
  <si>
    <t>Compound Annual Growth Rate</t>
  </si>
  <si>
    <t>FLOTATION COST ADJUSTMENT -- CASCADE NATURAL GAS PROXY GROUP</t>
  </si>
  <si>
    <t>Exhibit No. __ (AEB-2)</t>
  </si>
  <si>
    <t>General Economic Statistics</t>
  </si>
  <si>
    <t>Witness: Ann E. Bulkley</t>
  </si>
  <si>
    <t>CASCADE NATURAL GAS CORPORATION</t>
  </si>
  <si>
    <t>EXHIBIT OF ANN E. BULKLEY</t>
  </si>
  <si>
    <t>GENERAL ECONOMIC STATISTICS</t>
  </si>
  <si>
    <t>March 29, 2019</t>
  </si>
  <si>
    <t>Cascade Natural Gas Corporation</t>
  </si>
  <si>
    <t>UG 19_____</t>
  </si>
  <si>
    <t>Exhibit AEB-2 Schedules</t>
  </si>
  <si>
    <t>Twelve Months Ended December 31, 2018</t>
  </si>
  <si>
    <t xml:space="preserve">A </t>
  </si>
  <si>
    <t>B</t>
  </si>
  <si>
    <t>Line No:</t>
  </si>
  <si>
    <t>Description of Schedule</t>
  </si>
  <si>
    <t>Schedule #</t>
  </si>
  <si>
    <t>Summary</t>
  </si>
  <si>
    <t>AEB Schedule-1</t>
  </si>
  <si>
    <t>Proxy Selection</t>
  </si>
  <si>
    <t>AEB Schedule-2</t>
  </si>
  <si>
    <t>Constant DCG</t>
  </si>
  <si>
    <t>AEB Schedule-3</t>
  </si>
  <si>
    <t>AEB Schedule-4</t>
  </si>
  <si>
    <t>Capital Asset Pricing Model</t>
  </si>
  <si>
    <t>AEB Schedule-5</t>
  </si>
  <si>
    <t>Market Risk Premium Derived from Anyalysts Long-Term Growth Estimates</t>
  </si>
  <si>
    <t>AEB Schedule-6</t>
  </si>
  <si>
    <t>AEB Schedule-7</t>
  </si>
  <si>
    <t>Size Premium</t>
  </si>
  <si>
    <t>AEB Schedule-8</t>
  </si>
  <si>
    <t>Flotation Cost</t>
  </si>
  <si>
    <t>AEB Schedule-9</t>
  </si>
  <si>
    <t>Capital Expenditures 1</t>
  </si>
  <si>
    <t>AEB Schedule-10</t>
  </si>
  <si>
    <t>Capital Expenditures 2</t>
  </si>
  <si>
    <t>Reg. Risk</t>
  </si>
  <si>
    <t>AEB Schedule-11</t>
  </si>
  <si>
    <t>Capital Structure</t>
  </si>
  <si>
    <t>AEB Schedule-12</t>
  </si>
  <si>
    <t>Electronic Tab Name: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</si>
</sst>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0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General_)"/>
    <numFmt numFmtId="172" formatCode="0.000"/>
    <numFmt numFmtId="173" formatCode="_(* #,##0_);_(* \(#,##0\);_(* &quot;-&quot;??_);_(@_)"/>
    <numFmt numFmtId="174" formatCode="0.000000000000000%"/>
    <numFmt numFmtId="175" formatCode="&quot;[&quot;#&quot;]&quot;"/>
    <numFmt numFmtId="176" formatCode="_(&quot;$&quot;* #,##0.0000_);_(&quot;$&quot;* \(#,##0.0000\);_(&quot;$&quot;* &quot;-&quot;??_);_(@_)"/>
    <numFmt numFmtId="177" formatCode="_(&quot;$&quot;* #,##0_);_(&quot;$&quot;* \(#,##0\);_(&quot;$&quot;* &quot;-&quot;??_);_(@_)"/>
    <numFmt numFmtId="178" formatCode="&quot;$&quot;#,##0.0_);\(&quot;$&quot;#,##0.0\)"/>
    <numFmt numFmtId="179" formatCode="0.000%"/>
    <numFmt numFmtId="180" formatCode="_(* #,##0.000000_);_(* \(#,##0.000000\);_(* &quot;-&quot;??_);_(@_)"/>
    <numFmt numFmtId="181" formatCode="_(* #,##0.0000_);_(* \(#,##0.0000\);_(* &quot;-&quot;??_);_(@_)"/>
    <numFmt numFmtId="182" formatCode="&quot;$&quot;#,##0.0"/>
    <numFmt numFmtId="183" formatCode="0.0%"/>
    <numFmt numFmtId="184" formatCode="_(* #,##0.000_);_(* \(#,##0.000\);_(* &quot;-&quot;???_);_(@_)"/>
    <numFmt numFmtId="185" formatCode="_(* #,##0_);_(* \(#,##0\);_(* &quot;-&quot;???_);_(@_)"/>
    <numFmt numFmtId="186" formatCode="_(* #,##0.00_);_(* \(#,##0.00\);_(* &quot;-&quot;?_);_(@_)"/>
    <numFmt numFmtId="187" formatCode="0.0000%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color indexed="2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0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11"/>
      <name val="Garamond"/>
      <family val="1"/>
    </font>
    <font>
      <sz val="12"/>
      <name val="Times New Roman"/>
      <family val="1"/>
    </font>
    <font>
      <i/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551">
    <xf numFmtId="0" fontId="0" fillId="0" borderId="0"/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horizontal="justify" vertical="top" wrapText="1"/>
    </xf>
    <xf numFmtId="9" fontId="18" fillId="0" borderId="0" applyFont="0" applyFill="0" applyBorder="0" applyAlignment="0" applyProtection="0"/>
    <xf numFmtId="0" fontId="24" fillId="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Protection="0">
      <alignment horizontal="center"/>
    </xf>
    <xf numFmtId="0" fontId="30" fillId="3" borderId="0" applyNumberFormat="0" applyBorder="0" applyAlignment="0" applyProtection="0"/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left"/>
    </xf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4" borderId="0" applyNumberFormat="0" applyFont="0" applyBorder="0" applyAlignment="0" applyProtection="0"/>
    <xf numFmtId="166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1" applyNumberFormat="0" applyFont="0" applyFill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4" fillId="0" borderId="0"/>
    <xf numFmtId="0" fontId="15" fillId="0" borderId="0"/>
    <xf numFmtId="0" fontId="15" fillId="0" borderId="0"/>
    <xf numFmtId="44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2" fontId="18" fillId="0" borderId="0" applyFill="0" applyBorder="0" applyProtection="0">
      <alignment horizontal="left"/>
    </xf>
    <xf numFmtId="42" fontId="33" fillId="0" borderId="0" applyFill="0" applyBorder="0" applyAlignment="0" applyProtection="0"/>
    <xf numFmtId="44" fontId="14" fillId="0" borderId="0">
      <alignment horizontal="left"/>
    </xf>
    <xf numFmtId="167" fontId="18" fillId="0" borderId="16" applyBorder="0">
      <alignment horizontal="center"/>
    </xf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3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7" fillId="4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7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42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37" fillId="4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7" fillId="4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7" fillId="4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7" fillId="4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7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7" fillId="4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37" fillId="4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48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9" fillId="4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9" fillId="46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9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9" fillId="50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51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52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53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54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49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5" borderId="0" applyNumberFormat="0" applyBorder="0" applyAlignment="0" applyProtection="0"/>
    <xf numFmtId="43" fontId="14" fillId="0" borderId="0">
      <alignment horizontal="left"/>
    </xf>
    <xf numFmtId="168" fontId="14" fillId="0" borderId="0">
      <alignment horizontal="left"/>
    </xf>
    <xf numFmtId="37" fontId="18" fillId="0" borderId="0" applyNumberFormat="0" applyBorder="0" applyAlignment="0"/>
    <xf numFmtId="38" fontId="40" fillId="0" borderId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39" borderId="0" applyNumberFormat="0" applyBorder="0" applyAlignment="0" applyProtection="0"/>
    <xf numFmtId="0" fontId="43" fillId="11" borderId="10" applyNumberFormat="0" applyAlignment="0" applyProtection="0"/>
    <xf numFmtId="0" fontId="43" fillId="11" borderId="10" applyNumberFormat="0" applyAlignment="0" applyProtection="0"/>
    <xf numFmtId="0" fontId="43" fillId="11" borderId="10" applyNumberFormat="0" applyAlignment="0" applyProtection="0"/>
    <xf numFmtId="0" fontId="43" fillId="11" borderId="10" applyNumberFormat="0" applyAlignment="0" applyProtection="0"/>
    <xf numFmtId="0" fontId="44" fillId="56" borderId="17" applyNumberFormat="0" applyAlignment="0" applyProtection="0"/>
    <xf numFmtId="0" fontId="45" fillId="12" borderId="13" applyNumberFormat="0" applyAlignment="0" applyProtection="0"/>
    <xf numFmtId="0" fontId="45" fillId="12" borderId="13" applyNumberFormat="0" applyAlignment="0" applyProtection="0"/>
    <xf numFmtId="0" fontId="45" fillId="12" borderId="13" applyNumberFormat="0" applyAlignment="0" applyProtection="0"/>
    <xf numFmtId="0" fontId="45" fillId="12" borderId="13" applyNumberFormat="0" applyAlignment="0" applyProtection="0"/>
    <xf numFmtId="0" fontId="29" fillId="57" borderId="18" applyNumberFormat="0" applyAlignment="0" applyProtection="0"/>
    <xf numFmtId="37" fontId="14" fillId="0" borderId="0">
      <alignment horizontal="center"/>
    </xf>
    <xf numFmtId="37" fontId="18" fillId="0" borderId="0" applyNumberFormat="0" applyFill="0" applyBorder="0" applyProtection="0">
      <alignment horizontal="centerContinuous"/>
    </xf>
    <xf numFmtId="37" fontId="14" fillId="0" borderId="2">
      <alignment horizontal="center"/>
    </xf>
    <xf numFmtId="37" fontId="14" fillId="0" borderId="2">
      <alignment horizont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18" fillId="0" borderId="0" applyFont="0" applyFill="0" applyBorder="0" applyAlignment="0" applyProtection="0"/>
    <xf numFmtId="37" fontId="18" fillId="0" borderId="0" applyFill="0" applyBorder="0" applyAlignment="0" applyProtection="0"/>
    <xf numFmtId="0" fontId="18" fillId="0" borderId="0" applyNumberFormat="0" applyFill="0" applyBorder="0" applyAlignment="0" applyProtection="0"/>
    <xf numFmtId="4" fontId="22" fillId="0" borderId="1" applyFill="0" applyProtection="0">
      <alignment horizontal="center" vertical="center" wrapText="1"/>
    </xf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8" fillId="0" borderId="0" applyFill="0" applyBorder="0" applyAlignment="0" applyProtection="0"/>
    <xf numFmtId="42" fontId="18" fillId="0" borderId="19"/>
    <xf numFmtId="42" fontId="18" fillId="0" borderId="19"/>
    <xf numFmtId="43" fontId="18" fillId="0" borderId="0" applyBorder="0">
      <alignment horizontal="left"/>
    </xf>
    <xf numFmtId="5" fontId="18" fillId="0" borderId="0" applyFill="0" applyBorder="0" applyAlignment="0" applyProtection="0"/>
    <xf numFmtId="0" fontId="49" fillId="0" borderId="0"/>
    <xf numFmtId="0" fontId="49" fillId="0" borderId="0"/>
    <xf numFmtId="0" fontId="49" fillId="0" borderId="20"/>
    <xf numFmtId="0" fontId="18" fillId="0" borderId="0" applyFont="0" applyFill="0" applyBorder="0" applyAlignment="0" applyProtection="0"/>
    <xf numFmtId="169" fontId="18" fillId="0" borderId="0"/>
    <xf numFmtId="7" fontId="50" fillId="0" borderId="21"/>
    <xf numFmtId="4" fontId="51" fillId="0" borderId="0" applyFont="0" applyBorder="0">
      <alignment horizontal="justify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18" fillId="0" borderId="0" applyFont="0" applyFill="0" applyBorder="0" applyAlignment="0" applyProtection="0"/>
    <xf numFmtId="38" fontId="33" fillId="0" borderId="0"/>
    <xf numFmtId="170" fontId="18" fillId="0" borderId="0">
      <alignment horizontal="center"/>
    </xf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4" fillId="40" borderId="0" applyNumberFormat="0" applyBorder="0" applyAlignment="0" applyProtection="0"/>
    <xf numFmtId="38" fontId="55" fillId="0" borderId="0"/>
    <xf numFmtId="49" fontId="56" fillId="0" borderId="0" applyNumberFormat="0" applyFill="0" applyBorder="0" applyProtection="0">
      <alignment horizontal="centerContinuous"/>
    </xf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8" fillId="0" borderId="22" applyNumberFormat="0" applyFill="0" applyAlignment="0" applyProtection="0"/>
    <xf numFmtId="0" fontId="59" fillId="0" borderId="8" applyNumberFormat="0" applyFill="0" applyAlignment="0" applyProtection="0"/>
    <xf numFmtId="0" fontId="59" fillId="0" borderId="8" applyNumberFormat="0" applyFill="0" applyAlignment="0" applyProtection="0"/>
    <xf numFmtId="0" fontId="59" fillId="0" borderId="8" applyNumberFormat="0" applyFill="0" applyAlignment="0" applyProtection="0"/>
    <xf numFmtId="0" fontId="59" fillId="0" borderId="8" applyNumberFormat="0" applyFill="0" applyAlignment="0" applyProtection="0"/>
    <xf numFmtId="0" fontId="60" fillId="0" borderId="23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2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7" fillId="6" borderId="0"/>
    <xf numFmtId="0" fontId="47" fillId="6" borderId="0"/>
    <xf numFmtId="0" fontId="63" fillId="10" borderId="10" applyNumberFormat="0" applyAlignment="0" applyProtection="0"/>
    <xf numFmtId="0" fontId="63" fillId="10" borderId="10" applyNumberFormat="0" applyAlignment="0" applyProtection="0"/>
    <xf numFmtId="0" fontId="63" fillId="10" borderId="10" applyNumberFormat="0" applyAlignment="0" applyProtection="0"/>
    <xf numFmtId="0" fontId="63" fillId="10" borderId="10" applyNumberFormat="0" applyAlignment="0" applyProtection="0"/>
    <xf numFmtId="0" fontId="64" fillId="43" borderId="17" applyNumberFormat="0" applyAlignment="0" applyProtection="0"/>
    <xf numFmtId="0" fontId="65" fillId="58" borderId="20"/>
    <xf numFmtId="37" fontId="19" fillId="0" borderId="0" applyBorder="0" applyAlignment="0" applyProtection="0"/>
    <xf numFmtId="0" fontId="19" fillId="5" borderId="0"/>
    <xf numFmtId="41" fontId="33" fillId="0" borderId="0" applyFill="0" applyBorder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7" fillId="0" borderId="25" applyNumberFormat="0" applyFill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9" fillId="59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8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8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5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8" fillId="0" borderId="0"/>
    <xf numFmtId="0" fontId="15" fillId="0" borderId="0"/>
    <xf numFmtId="0" fontId="14" fillId="0" borderId="0"/>
    <xf numFmtId="0" fontId="18" fillId="0" borderId="0"/>
    <xf numFmtId="0" fontId="18" fillId="0" borderId="0"/>
    <xf numFmtId="0" fontId="15" fillId="0" borderId="0"/>
    <xf numFmtId="0" fontId="14" fillId="0" borderId="0"/>
    <xf numFmtId="0" fontId="15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8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18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18" fillId="0" borderId="0" applyNumberFormat="0" applyFill="0" applyBorder="0" applyAlignment="0" applyProtection="0"/>
    <xf numFmtId="0" fontId="15" fillId="0" borderId="0"/>
    <xf numFmtId="0" fontId="70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4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" fillId="0" borderId="0"/>
    <xf numFmtId="0" fontId="48" fillId="0" borderId="0"/>
    <xf numFmtId="0" fontId="14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 applyNumberFormat="0" applyFill="0" applyBorder="0" applyAlignment="0" applyProtection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" fillId="0" borderId="0"/>
    <xf numFmtId="0" fontId="1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8" fillId="0" borderId="0"/>
    <xf numFmtId="0" fontId="71" fillId="0" borderId="0"/>
    <xf numFmtId="0" fontId="71" fillId="0" borderId="0"/>
    <xf numFmtId="0" fontId="1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4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Protection="0"/>
    <xf numFmtId="37" fontId="18" fillId="0" borderId="0" applyBorder="0" applyAlignment="0" applyProtection="0"/>
    <xf numFmtId="0" fontId="46" fillId="13" borderId="14" applyNumberFormat="0" applyFont="0" applyAlignment="0" applyProtection="0"/>
    <xf numFmtId="0" fontId="15" fillId="13" borderId="14" applyNumberFormat="0" applyFont="0" applyAlignment="0" applyProtection="0"/>
    <xf numFmtId="0" fontId="15" fillId="13" borderId="14" applyNumberFormat="0" applyFont="0" applyAlignment="0" applyProtection="0"/>
    <xf numFmtId="0" fontId="15" fillId="13" borderId="14" applyNumberFormat="0" applyFont="0" applyAlignment="0" applyProtection="0"/>
    <xf numFmtId="0" fontId="15" fillId="13" borderId="14" applyNumberFormat="0" applyFont="0" applyAlignment="0" applyProtection="0"/>
    <xf numFmtId="0" fontId="15" fillId="13" borderId="14" applyNumberFormat="0" applyFont="0" applyAlignment="0" applyProtection="0"/>
    <xf numFmtId="0" fontId="15" fillId="13" borderId="14" applyNumberFormat="0" applyFont="0" applyAlignment="0" applyProtection="0"/>
    <xf numFmtId="0" fontId="72" fillId="11" borderId="11" applyNumberFormat="0" applyAlignment="0" applyProtection="0"/>
    <xf numFmtId="0" fontId="72" fillId="11" borderId="11" applyNumberFormat="0" applyAlignment="0" applyProtection="0"/>
    <xf numFmtId="0" fontId="72" fillId="11" borderId="11" applyNumberFormat="0" applyAlignment="0" applyProtection="0"/>
    <xf numFmtId="0" fontId="72" fillId="11" borderId="11" applyNumberFormat="0" applyAlignment="0" applyProtection="0"/>
    <xf numFmtId="0" fontId="73" fillId="56" borderId="26" applyNumberFormat="0" applyAlignment="0" applyProtection="0"/>
    <xf numFmtId="40" fontId="74" fillId="6" borderId="0">
      <alignment horizontal="right"/>
    </xf>
    <xf numFmtId="0" fontId="75" fillId="6" borderId="0">
      <alignment horizontal="right"/>
    </xf>
    <xf numFmtId="0" fontId="76" fillId="6" borderId="3"/>
    <xf numFmtId="0" fontId="76" fillId="0" borderId="0" applyBorder="0">
      <alignment horizontal="centerContinuous"/>
    </xf>
    <xf numFmtId="0" fontId="77" fillId="0" borderId="0" applyBorder="0">
      <alignment horizontal="centerContinuous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22" fillId="0" borderId="1" applyFill="0" applyProtection="0">
      <alignment horizontal="center" vertical="center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37" fontId="19" fillId="0" borderId="0" applyNumberFormat="0" applyBorder="0" applyAlignment="0"/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80" fillId="0" borderId="1">
      <alignment horizontal="center"/>
    </xf>
    <xf numFmtId="3" fontId="79" fillId="0" borderId="0" applyFont="0" applyFill="0" applyBorder="0" applyAlignment="0" applyProtection="0"/>
    <xf numFmtId="0" fontId="79" fillId="60" borderId="0" applyNumberFormat="0" applyFont="0" applyBorder="0" applyAlignment="0" applyProtection="0"/>
    <xf numFmtId="0" fontId="49" fillId="0" borderId="0"/>
    <xf numFmtId="0" fontId="49" fillId="0" borderId="0"/>
    <xf numFmtId="49" fontId="18" fillId="0" borderId="0">
      <alignment horizontal="left" wrapText="1"/>
    </xf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Protection="0">
      <alignment horizontal="center"/>
    </xf>
    <xf numFmtId="0" fontId="29" fillId="3" borderId="0" applyNumberFormat="0" applyBorder="0" applyProtection="0">
      <alignment horizontal="center"/>
    </xf>
    <xf numFmtId="0" fontId="29" fillId="3" borderId="0" applyNumberFormat="0" applyBorder="0" applyProtection="0">
      <alignment horizontal="center"/>
    </xf>
    <xf numFmtId="0" fontId="29" fillId="3" borderId="0" applyNumberFormat="0" applyBorder="0" applyProtection="0">
      <alignment horizontal="center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0" fontId="18" fillId="4" borderId="0" applyNumberFormat="0" applyFont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49" fillId="0" borderId="20"/>
    <xf numFmtId="0" fontId="49" fillId="0" borderId="20"/>
    <xf numFmtId="37" fontId="81" fillId="0" borderId="0">
      <alignment horizontal="left"/>
    </xf>
    <xf numFmtId="37" fontId="18" fillId="0" borderId="0">
      <alignment horizontal="left" indent="1"/>
    </xf>
    <xf numFmtId="37" fontId="18" fillId="0" borderId="0">
      <alignment horizontal="left" indent="2"/>
    </xf>
    <xf numFmtId="37" fontId="18" fillId="0" borderId="0">
      <alignment horizontal="left" indent="3"/>
    </xf>
    <xf numFmtId="37" fontId="81" fillId="0" borderId="0">
      <alignment horizontal="left"/>
    </xf>
    <xf numFmtId="37" fontId="81" fillId="0" borderId="0">
      <alignment horizontal="left" indent="1"/>
    </xf>
    <xf numFmtId="49" fontId="14" fillId="0" borderId="0">
      <alignment horizontal="left" vertical="center" wrapText="1" indent="1"/>
    </xf>
    <xf numFmtId="0" fontId="82" fillId="61" borderId="0"/>
    <xf numFmtId="0" fontId="82" fillId="61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5" fillId="0" borderId="27" applyNumberFormat="0" applyFill="0" applyAlignment="0" applyProtection="0"/>
    <xf numFmtId="0" fontId="65" fillId="0" borderId="28"/>
    <xf numFmtId="0" fontId="65" fillId="0" borderId="28"/>
    <xf numFmtId="0" fontId="65" fillId="0" borderId="20"/>
    <xf numFmtId="0" fontId="65" fillId="0" borderId="20"/>
    <xf numFmtId="171" fontId="86" fillId="0" borderId="0"/>
    <xf numFmtId="39" fontId="50" fillId="0" borderId="29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/>
    <xf numFmtId="0" fontId="18" fillId="0" borderId="0"/>
    <xf numFmtId="9" fontId="18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0" fontId="1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8" fillId="0" borderId="0"/>
    <xf numFmtId="0" fontId="89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18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99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3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applyAlignment="1">
      <alignment horizontal="centerContinuous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18" fillId="0" borderId="0" xfId="36" applyFont="1" applyAlignment="1">
      <alignment horizontal="right"/>
    </xf>
    <xf numFmtId="0" fontId="14" fillId="0" borderId="0" xfId="36" applyAlignment="1">
      <alignment horizontal="center"/>
    </xf>
    <xf numFmtId="8" fontId="14" fillId="0" borderId="0" xfId="36" applyNumberFormat="1" applyAlignment="1">
      <alignment horizontal="center"/>
    </xf>
    <xf numFmtId="0" fontId="18" fillId="0" borderId="0" xfId="0" applyFont="1" applyAlignment="1">
      <alignment horizontal="centerContinuous"/>
    </xf>
    <xf numFmtId="0" fontId="18" fillId="0" borderId="4" xfId="0" applyFont="1" applyBorder="1" applyAlignment="1">
      <alignment horizontal="center" wrapText="1"/>
    </xf>
    <xf numFmtId="0" fontId="37" fillId="0" borderId="31" xfId="2721" applyFont="1" applyBorder="1"/>
    <xf numFmtId="0" fontId="18" fillId="0" borderId="0" xfId="2813"/>
    <xf numFmtId="0" fontId="18" fillId="0" borderId="0" xfId="0" applyFont="1"/>
    <xf numFmtId="0" fontId="0" fillId="0" borderId="6" xfId="0" applyBorder="1"/>
    <xf numFmtId="0" fontId="18" fillId="0" borderId="0" xfId="0" applyFont="1" applyAlignment="1">
      <alignment horizontal="center"/>
    </xf>
    <xf numFmtId="164" fontId="37" fillId="0" borderId="0" xfId="2721" applyNumberFormat="1" applyFont="1"/>
    <xf numFmtId="0" fontId="18" fillId="0" borderId="0" xfId="0" quotePrefix="1" applyFont="1"/>
    <xf numFmtId="0" fontId="11" fillId="0" borderId="0" xfId="7423" applyAlignment="1">
      <alignment horizontal="centerContinuous"/>
    </xf>
    <xf numFmtId="0" fontId="11" fillId="0" borderId="0" xfId="7423"/>
    <xf numFmtId="0" fontId="11" fillId="0" borderId="0" xfId="7423" applyAlignment="1">
      <alignment horizontal="center"/>
    </xf>
    <xf numFmtId="0" fontId="11" fillId="0" borderId="33" xfId="7423" applyBorder="1"/>
    <xf numFmtId="0" fontId="11" fillId="0" borderId="33" xfId="7423" applyBorder="1" applyAlignment="1">
      <alignment horizontal="center"/>
    </xf>
    <xf numFmtId="0" fontId="11" fillId="0" borderId="33" xfId="7423" applyBorder="1" applyAlignment="1">
      <alignment horizontal="center" wrapText="1"/>
    </xf>
    <xf numFmtId="0" fontId="11" fillId="0" borderId="34" xfId="7423" applyBorder="1" applyAlignment="1">
      <alignment horizontal="center"/>
    </xf>
    <xf numFmtId="0" fontId="11" fillId="0" borderId="31" xfId="7423" applyBorder="1"/>
    <xf numFmtId="0" fontId="18" fillId="0" borderId="34" xfId="0" applyFont="1" applyBorder="1"/>
    <xf numFmtId="0" fontId="0" fillId="0" borderId="0" xfId="0" applyAlignment="1">
      <alignment horizontal="center"/>
    </xf>
    <xf numFmtId="0" fontId="11" fillId="0" borderId="0" xfId="36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7423" applyFont="1"/>
    <xf numFmtId="0" fontId="18" fillId="0" borderId="0" xfId="7423" applyFont="1" applyAlignment="1">
      <alignment horizontal="center"/>
    </xf>
    <xf numFmtId="0" fontId="18" fillId="0" borderId="0" xfId="7423" quotePrefix="1" applyFont="1" applyAlignment="1">
      <alignment horizontal="center"/>
    </xf>
    <xf numFmtId="0" fontId="11" fillId="0" borderId="34" xfId="36" applyFont="1" applyBorder="1" applyAlignment="1">
      <alignment horizontal="center"/>
    </xf>
    <xf numFmtId="4" fontId="11" fillId="0" borderId="0" xfId="7423" applyNumberFormat="1" applyAlignment="1">
      <alignment horizontal="center"/>
    </xf>
    <xf numFmtId="0" fontId="18" fillId="0" borderId="33" xfId="7513" applyFont="1" applyBorder="1" applyAlignment="1">
      <alignment horizontal="center"/>
    </xf>
    <xf numFmtId="0" fontId="18" fillId="0" borderId="33" xfId="7513" applyFont="1" applyBorder="1" applyAlignment="1">
      <alignment horizontal="center" wrapText="1"/>
    </xf>
    <xf numFmtId="0" fontId="11" fillId="0" borderId="6" xfId="7512" applyFont="1" applyBorder="1"/>
    <xf numFmtId="0" fontId="18" fillId="0" borderId="6" xfId="7512" applyFont="1" applyBorder="1" applyAlignment="1">
      <alignment horizontal="center"/>
    </xf>
    <xf numFmtId="0" fontId="11" fillId="0" borderId="31" xfId="7512" applyFont="1" applyBorder="1"/>
    <xf numFmtId="0" fontId="11" fillId="0" borderId="31" xfId="7512" applyFont="1" applyBorder="1" applyAlignment="1">
      <alignment horizontal="center"/>
    </xf>
    <xf numFmtId="0" fontId="11" fillId="0" borderId="0" xfId="7512" applyFont="1" applyAlignment="1">
      <alignment horizontal="center"/>
    </xf>
    <xf numFmtId="0" fontId="18" fillId="0" borderId="0" xfId="7512" applyFont="1" applyAlignment="1">
      <alignment horizontal="center"/>
    </xf>
    <xf numFmtId="0" fontId="11" fillId="0" borderId="0" xfId="7521"/>
    <xf numFmtId="0" fontId="18" fillId="0" borderId="0" xfId="7521" applyFont="1"/>
    <xf numFmtId="0" fontId="18" fillId="0" borderId="0" xfId="7521" applyFont="1" applyAlignment="1">
      <alignment horizontal="center"/>
    </xf>
    <xf numFmtId="0" fontId="18" fillId="0" borderId="0" xfId="3157"/>
    <xf numFmtId="173" fontId="18" fillId="0" borderId="0" xfId="3157" applyNumberFormat="1"/>
    <xf numFmtId="0" fontId="18" fillId="0" borderId="0" xfId="3157" quotePrefix="1" applyAlignment="1">
      <alignment horizontal="center"/>
    </xf>
    <xf numFmtId="0" fontId="18" fillId="0" borderId="0" xfId="3157" applyAlignment="1">
      <alignment horizontal="center"/>
    </xf>
    <xf numFmtId="0" fontId="18" fillId="0" borderId="30" xfId="3157" applyBorder="1"/>
    <xf numFmtId="0" fontId="18" fillId="0" borderId="30" xfId="3157" applyBorder="1" applyAlignment="1">
      <alignment horizontal="center"/>
    </xf>
    <xf numFmtId="0" fontId="18" fillId="0" borderId="31" xfId="3157" applyBorder="1"/>
    <xf numFmtId="0" fontId="18" fillId="0" borderId="31" xfId="3157" applyBorder="1" applyAlignment="1">
      <alignment horizontal="center"/>
    </xf>
    <xf numFmtId="0" fontId="11" fillId="0" borderId="0" xfId="7512" applyFont="1" applyAlignment="1">
      <alignment horizontal="centerContinuous"/>
    </xf>
    <xf numFmtId="0" fontId="11" fillId="0" borderId="0" xfId="7512" applyFont="1"/>
    <xf numFmtId="10" fontId="11" fillId="0" borderId="0" xfId="3" applyNumberFormat="1" applyFont="1"/>
    <xf numFmtId="10" fontId="11" fillId="0" borderId="0" xfId="7512" applyNumberFormat="1" applyFont="1"/>
    <xf numFmtId="0" fontId="18" fillId="0" borderId="0" xfId="7512" applyFont="1"/>
    <xf numFmtId="10" fontId="91" fillId="0" borderId="0" xfId="7513" applyNumberFormat="1" applyFont="1" applyAlignment="1">
      <alignment horizontal="center" vertical="center" wrapText="1"/>
    </xf>
    <xf numFmtId="0" fontId="11" fillId="0" borderId="0" xfId="7526" applyFont="1" applyAlignment="1">
      <alignment horizontal="center"/>
    </xf>
    <xf numFmtId="0" fontId="11" fillId="0" borderId="0" xfId="7526" applyFont="1"/>
    <xf numFmtId="0" fontId="11" fillId="0" borderId="31" xfId="7526" applyFont="1" applyBorder="1"/>
    <xf numFmtId="0" fontId="11" fillId="0" borderId="31" xfId="7526" applyFont="1" applyBorder="1" applyAlignment="1">
      <alignment horizontal="center"/>
    </xf>
    <xf numFmtId="0" fontId="18" fillId="0" borderId="0" xfId="7527" applyAlignment="1">
      <alignment horizontal="center" wrapText="1"/>
    </xf>
    <xf numFmtId="0" fontId="0" fillId="0" borderId="0" xfId="7526" applyFont="1" applyAlignment="1">
      <alignment horizontal="center"/>
    </xf>
    <xf numFmtId="0" fontId="18" fillId="0" borderId="31" xfId="7527" applyBorder="1" applyAlignment="1">
      <alignment horizontal="center" wrapText="1"/>
    </xf>
    <xf numFmtId="0" fontId="18" fillId="0" borderId="19" xfId="7526" applyFont="1" applyBorder="1"/>
    <xf numFmtId="0" fontId="18" fillId="0" borderId="19" xfId="7526" applyFont="1" applyBorder="1" applyAlignment="1">
      <alignment horizontal="center"/>
    </xf>
    <xf numFmtId="10" fontId="18" fillId="0" borderId="19" xfId="7528" applyNumberFormat="1" applyFont="1" applyBorder="1" applyAlignment="1">
      <alignment horizontal="center"/>
    </xf>
    <xf numFmtId="10" fontId="11" fillId="0" borderId="19" xfId="7526" applyNumberFormat="1" applyFont="1" applyBorder="1" applyAlignment="1">
      <alignment horizontal="center"/>
    </xf>
    <xf numFmtId="10" fontId="11" fillId="0" borderId="0" xfId="7526" applyNumberFormat="1" applyFont="1" applyAlignment="1">
      <alignment horizontal="center"/>
    </xf>
    <xf numFmtId="0" fontId="18" fillId="0" borderId="0" xfId="7526" applyFont="1"/>
    <xf numFmtId="0" fontId="18" fillId="0" borderId="0" xfId="7526" applyFont="1" applyAlignment="1">
      <alignment horizontal="center"/>
    </xf>
    <xf numFmtId="10" fontId="18" fillId="0" borderId="0" xfId="7528" applyNumberFormat="1" applyFont="1" applyAlignment="1">
      <alignment horizontal="center"/>
    </xf>
    <xf numFmtId="0" fontId="18" fillId="0" borderId="31" xfId="7526" applyFont="1" applyBorder="1"/>
    <xf numFmtId="0" fontId="18" fillId="0" borderId="31" xfId="7526" applyFont="1" applyBorder="1" applyAlignment="1">
      <alignment horizontal="center"/>
    </xf>
    <xf numFmtId="10" fontId="18" fillId="0" borderId="31" xfId="7528" applyNumberFormat="1" applyFont="1" applyBorder="1" applyAlignment="1">
      <alignment horizontal="center"/>
    </xf>
    <xf numFmtId="10" fontId="11" fillId="0" borderId="31" xfId="7526" applyNumberFormat="1" applyFont="1" applyBorder="1" applyAlignment="1">
      <alignment horizontal="center"/>
    </xf>
    <xf numFmtId="0" fontId="11" fillId="0" borderId="0" xfId="3157" applyFont="1"/>
    <xf numFmtId="0" fontId="11" fillId="0" borderId="0" xfId="3157" applyFont="1" applyAlignment="1">
      <alignment horizontal="center"/>
    </xf>
    <xf numFmtId="0" fontId="0" fillId="0" borderId="31" xfId="7526" applyFont="1" applyBorder="1" applyAlignment="1">
      <alignment horizontal="center"/>
    </xf>
    <xf numFmtId="0" fontId="11" fillId="0" borderId="19" xfId="7526" applyFont="1" applyBorder="1" applyAlignment="1">
      <alignment horizontal="left"/>
    </xf>
    <xf numFmtId="0" fontId="11" fillId="0" borderId="0" xfId="7526" applyFont="1" applyAlignment="1">
      <alignment horizontal="left"/>
    </xf>
    <xf numFmtId="10" fontId="11" fillId="0" borderId="0" xfId="7528" applyNumberFormat="1" applyFont="1" applyAlignment="1">
      <alignment horizontal="center"/>
    </xf>
    <xf numFmtId="0" fontId="18" fillId="0" borderId="0" xfId="7526" applyFont="1" applyAlignment="1">
      <alignment horizontal="left"/>
    </xf>
    <xf numFmtId="1" fontId="11" fillId="0" borderId="0" xfId="7526" applyNumberFormat="1" applyFont="1" applyAlignment="1">
      <alignment horizontal="left"/>
    </xf>
    <xf numFmtId="0" fontId="92" fillId="0" borderId="0" xfId="7526" applyFont="1"/>
    <xf numFmtId="0" fontId="11" fillId="0" borderId="30" xfId="7521" applyBorder="1"/>
    <xf numFmtId="0" fontId="18" fillId="0" borderId="30" xfId="7521" applyFont="1" applyBorder="1"/>
    <xf numFmtId="0" fontId="18" fillId="0" borderId="30" xfId="7521" applyFont="1" applyBorder="1" applyAlignment="1">
      <alignment horizontal="center"/>
    </xf>
    <xf numFmtId="0" fontId="11" fillId="0" borderId="31" xfId="7521" applyBorder="1"/>
    <xf numFmtId="0" fontId="18" fillId="0" borderId="31" xfId="7521" applyFont="1" applyBorder="1"/>
    <xf numFmtId="0" fontId="90" fillId="0" borderId="31" xfId="7521" applyFont="1" applyBorder="1" applyAlignment="1">
      <alignment horizontal="center"/>
    </xf>
    <xf numFmtId="172" fontId="18" fillId="0" borderId="0" xfId="7521" applyNumberFormat="1" applyFont="1" applyAlignment="1">
      <alignment horizontal="center"/>
    </xf>
    <xf numFmtId="10" fontId="18" fillId="0" borderId="0" xfId="7521" applyNumberFormat="1" applyFont="1" applyAlignment="1">
      <alignment horizontal="center"/>
    </xf>
    <xf numFmtId="10" fontId="18" fillId="0" borderId="31" xfId="41" applyNumberFormat="1" applyBorder="1" applyAlignment="1">
      <alignment horizontal="center"/>
    </xf>
    <xf numFmtId="172" fontId="18" fillId="0" borderId="31" xfId="7521" applyNumberFormat="1" applyFont="1" applyBorder="1" applyAlignment="1">
      <alignment horizontal="center"/>
    </xf>
    <xf numFmtId="10" fontId="18" fillId="0" borderId="31" xfId="7521" applyNumberFormat="1" applyFont="1" applyBorder="1" applyAlignment="1">
      <alignment horizontal="center"/>
    </xf>
    <xf numFmtId="0" fontId="11" fillId="0" borderId="6" xfId="7521" applyBorder="1"/>
    <xf numFmtId="0" fontId="18" fillId="0" borderId="35" xfId="7521" applyFont="1" applyBorder="1"/>
    <xf numFmtId="0" fontId="18" fillId="0" borderId="35" xfId="7521" applyFont="1" applyBorder="1" applyAlignment="1">
      <alignment horizontal="right"/>
    </xf>
    <xf numFmtId="10" fontId="18" fillId="0" borderId="35" xfId="7521" applyNumberFormat="1" applyFont="1" applyBorder="1" applyAlignment="1">
      <alignment horizontal="center"/>
    </xf>
    <xf numFmtId="0" fontId="18" fillId="0" borderId="0" xfId="7521" applyFont="1" applyAlignment="1">
      <alignment horizontal="right"/>
    </xf>
    <xf numFmtId="0" fontId="11" fillId="0" borderId="0" xfId="7521" applyAlignment="1">
      <alignment horizontal="center" wrapText="1"/>
    </xf>
    <xf numFmtId="0" fontId="11" fillId="63" borderId="0" xfId="7521" applyFill="1"/>
    <xf numFmtId="10" fontId="11" fillId="0" borderId="0" xfId="7521" applyNumberFormat="1"/>
    <xf numFmtId="174" fontId="11" fillId="0" borderId="0" xfId="7521" applyNumberFormat="1"/>
    <xf numFmtId="0" fontId="37" fillId="0" borderId="0" xfId="7521" applyFont="1"/>
    <xf numFmtId="10" fontId="37" fillId="0" borderId="36" xfId="7521" applyNumberFormat="1" applyFont="1" applyBorder="1" applyAlignment="1">
      <alignment horizontal="center"/>
    </xf>
    <xf numFmtId="10" fontId="37" fillId="0" borderId="5" xfId="7521" applyNumberFormat="1" applyFont="1" applyBorder="1" applyAlignment="1">
      <alignment horizontal="center"/>
    </xf>
    <xf numFmtId="10" fontId="11" fillId="0" borderId="37" xfId="7521" applyNumberFormat="1" applyBorder="1" applyAlignment="1">
      <alignment horizontal="center"/>
    </xf>
    <xf numFmtId="10" fontId="11" fillId="0" borderId="36" xfId="7521" applyNumberFormat="1" applyBorder="1" applyAlignment="1">
      <alignment horizontal="center"/>
    </xf>
    <xf numFmtId="10" fontId="11" fillId="0" borderId="5" xfId="7521" applyNumberFormat="1" applyBorder="1" applyAlignment="1">
      <alignment horizontal="center"/>
    </xf>
    <xf numFmtId="0" fontId="37" fillId="0" borderId="0" xfId="7521" applyFont="1" applyAlignment="1">
      <alignment horizontal="centerContinuous"/>
    </xf>
    <xf numFmtId="0" fontId="37" fillId="0" borderId="0" xfId="7521" applyFont="1" applyAlignment="1">
      <alignment horizontal="center"/>
    </xf>
    <xf numFmtId="0" fontId="37" fillId="0" borderId="30" xfId="7521" applyFont="1" applyBorder="1"/>
    <xf numFmtId="0" fontId="33" fillId="0" borderId="30" xfId="7521" applyFont="1" applyBorder="1"/>
    <xf numFmtId="0" fontId="37" fillId="0" borderId="30" xfId="7521" applyFont="1" applyBorder="1" applyAlignment="1">
      <alignment horizontal="center"/>
    </xf>
    <xf numFmtId="0" fontId="37" fillId="0" borderId="31" xfId="7521" applyFont="1" applyBorder="1" applyAlignment="1">
      <alignment horizontal="center"/>
    </xf>
    <xf numFmtId="0" fontId="18" fillId="0" borderId="31" xfId="7521" applyFont="1" applyBorder="1" applyAlignment="1">
      <alignment horizontal="center"/>
    </xf>
    <xf numFmtId="0" fontId="11" fillId="0" borderId="0" xfId="7521" applyAlignment="1">
      <alignment horizontal="center"/>
    </xf>
    <xf numFmtId="10" fontId="37" fillId="0" borderId="0" xfId="7521" applyNumberFormat="1" applyFont="1" applyAlignment="1">
      <alignment horizontal="center"/>
    </xf>
    <xf numFmtId="10" fontId="37" fillId="0" borderId="0" xfId="7528" applyNumberFormat="1" applyFont="1" applyAlignment="1">
      <alignment horizontal="center"/>
    </xf>
    <xf numFmtId="0" fontId="37" fillId="0" borderId="31" xfId="7521" applyFont="1" applyBorder="1"/>
    <xf numFmtId="175" fontId="18" fillId="0" borderId="0" xfId="0" applyNumberFormat="1" applyFont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10" fontId="18" fillId="0" borderId="0" xfId="3" applyNumberFormat="1" applyAlignment="1">
      <alignment horizontal="center"/>
    </xf>
    <xf numFmtId="10" fontId="18" fillId="0" borderId="6" xfId="41" applyNumberFormat="1" applyBorder="1" applyAlignment="1">
      <alignment horizontal="center"/>
    </xf>
    <xf numFmtId="0" fontId="18" fillId="0" borderId="6" xfId="0" applyFont="1" applyBorder="1"/>
    <xf numFmtId="0" fontId="0" fillId="0" borderId="6" xfId="0" applyBorder="1" applyAlignment="1">
      <alignment horizontal="right"/>
    </xf>
    <xf numFmtId="10" fontId="0" fillId="0" borderId="6" xfId="3" applyNumberFormat="1" applyFont="1" applyBorder="1" applyAlignment="1">
      <alignment horizontal="center"/>
    </xf>
    <xf numFmtId="9" fontId="93" fillId="0" borderId="33" xfId="0" applyNumberFormat="1" applyFont="1" applyBorder="1"/>
    <xf numFmtId="175" fontId="18" fillId="0" borderId="0" xfId="0" applyNumberFormat="1" applyFont="1"/>
    <xf numFmtId="0" fontId="18" fillId="0" borderId="6" xfId="7521" applyFont="1" applyBorder="1"/>
    <xf numFmtId="0" fontId="18" fillId="0" borderId="33" xfId="7521" applyFont="1" applyBorder="1" applyAlignment="1">
      <alignment horizontal="center" wrapText="1"/>
    </xf>
    <xf numFmtId="0" fontId="18" fillId="0" borderId="33" xfId="7521" applyFont="1" applyBorder="1" applyAlignment="1">
      <alignment horizontal="center"/>
    </xf>
    <xf numFmtId="0" fontId="18" fillId="0" borderId="33" xfId="7521" applyFont="1" applyBorder="1" applyAlignment="1">
      <alignment horizontal="left"/>
    </xf>
    <xf numFmtId="164" fontId="18" fillId="0" borderId="0" xfId="7521" applyNumberFormat="1" applyFont="1" applyAlignment="1">
      <alignment horizontal="center"/>
    </xf>
    <xf numFmtId="0" fontId="95" fillId="63" borderId="0" xfId="7533" applyFont="1" applyFill="1" applyAlignment="1">
      <alignment horizontal="center" wrapText="1"/>
    </xf>
    <xf numFmtId="0" fontId="95" fillId="63" borderId="0" xfId="7533" applyFont="1" applyFill="1" applyAlignment="1">
      <alignment wrapText="1"/>
    </xf>
    <xf numFmtId="0" fontId="95" fillId="63" borderId="0" xfId="7533" applyFont="1" applyFill="1" applyAlignment="1">
      <alignment horizontal="center" vertical="center" wrapText="1"/>
    </xf>
    <xf numFmtId="0" fontId="95" fillId="63" borderId="0" xfId="7533" applyFont="1" applyFill="1" applyAlignment="1">
      <alignment horizontal="right" vertical="center"/>
    </xf>
    <xf numFmtId="10" fontId="95" fillId="63" borderId="0" xfId="7533" applyNumberFormat="1" applyFont="1" applyFill="1" applyAlignment="1">
      <alignment horizontal="center" vertical="center" wrapText="1"/>
    </xf>
    <xf numFmtId="165" fontId="95" fillId="63" borderId="0" xfId="7533" applyNumberFormat="1" applyFont="1" applyFill="1" applyAlignment="1">
      <alignment horizontal="center" vertical="center" wrapText="1"/>
    </xf>
    <xf numFmtId="0" fontId="56" fillId="63" borderId="41" xfId="7533" applyFont="1" applyFill="1" applyBorder="1" applyAlignment="1">
      <alignment horizontal="center" vertical="center" wrapText="1"/>
    </xf>
    <xf numFmtId="0" fontId="95" fillId="63" borderId="42" xfId="7533" applyFont="1" applyFill="1" applyBorder="1" applyAlignment="1">
      <alignment horizontal="center" vertical="center" wrapText="1"/>
    </xf>
    <xf numFmtId="0" fontId="95" fillId="63" borderId="43" xfId="7533" applyFont="1" applyFill="1" applyBorder="1" applyAlignment="1">
      <alignment horizontal="center" vertical="center" wrapText="1"/>
    </xf>
    <xf numFmtId="0" fontId="95" fillId="63" borderId="41" xfId="7533" applyFont="1" applyFill="1" applyBorder="1" applyAlignment="1">
      <alignment horizontal="center" vertical="center" wrapText="1"/>
    </xf>
    <xf numFmtId="10" fontId="95" fillId="63" borderId="42" xfId="7533" applyNumberFormat="1" applyFont="1" applyFill="1" applyBorder="1" applyAlignment="1">
      <alignment horizontal="center" vertical="center" wrapText="1"/>
    </xf>
    <xf numFmtId="10" fontId="95" fillId="63" borderId="43" xfId="7533" applyNumberFormat="1" applyFont="1" applyFill="1" applyBorder="1" applyAlignment="1">
      <alignment horizontal="center" vertical="center" wrapText="1"/>
    </xf>
    <xf numFmtId="10" fontId="95" fillId="63" borderId="0" xfId="7533" applyNumberFormat="1" applyFont="1" applyFill="1" applyAlignment="1">
      <alignment horizontal="right" vertical="center"/>
    </xf>
    <xf numFmtId="0" fontId="98" fillId="63" borderId="41" xfId="7533" applyFont="1" applyFill="1" applyBorder="1" applyAlignment="1">
      <alignment horizontal="center" vertical="center" wrapText="1"/>
    </xf>
    <xf numFmtId="0" fontId="98" fillId="0" borderId="41" xfId="7533" applyFont="1" applyBorder="1" applyAlignment="1">
      <alignment horizontal="center" vertical="center" wrapText="1"/>
    </xf>
    <xf numFmtId="0" fontId="98" fillId="0" borderId="43" xfId="7533" applyFont="1" applyBorder="1" applyAlignment="1">
      <alignment horizontal="center" vertical="center" wrapText="1"/>
    </xf>
    <xf numFmtId="10" fontId="98" fillId="0" borderId="42" xfId="7533" applyNumberFormat="1" applyFont="1" applyBorder="1" applyAlignment="1">
      <alignment horizontal="center" vertical="center" wrapText="1"/>
    </xf>
    <xf numFmtId="10" fontId="98" fillId="0" borderId="43" xfId="7533" applyNumberFormat="1" applyFont="1" applyBorder="1" applyAlignment="1">
      <alignment horizontal="center" vertical="center" wrapText="1"/>
    </xf>
    <xf numFmtId="0" fontId="98" fillId="63" borderId="0" xfId="7533" applyFont="1" applyFill="1" applyAlignment="1">
      <alignment horizontal="center" vertical="center" wrapText="1"/>
    </xf>
    <xf numFmtId="0" fontId="56" fillId="63" borderId="31" xfId="7533" applyFont="1" applyFill="1" applyBorder="1" applyAlignment="1">
      <alignment horizontal="left" wrapText="1"/>
    </xf>
    <xf numFmtId="0" fontId="70" fillId="63" borderId="0" xfId="7521" applyFont="1" applyFill="1" applyAlignment="1">
      <alignment vertical="center" wrapText="1"/>
    </xf>
    <xf numFmtId="0" fontId="95" fillId="63" borderId="0" xfId="7533" applyFont="1" applyFill="1"/>
    <xf numFmtId="0" fontId="21" fillId="0" borderId="0" xfId="7513" applyFont="1"/>
    <xf numFmtId="0" fontId="18" fillId="0" borderId="0" xfId="7513" applyFont="1" applyAlignment="1">
      <alignment horizontal="center"/>
    </xf>
    <xf numFmtId="0" fontId="18" fillId="0" borderId="0" xfId="7513" applyFont="1" applyAlignment="1">
      <alignment horizontal="center" wrapText="1"/>
    </xf>
    <xf numFmtId="0" fontId="18" fillId="0" borderId="33" xfId="7513" applyFont="1" applyBorder="1"/>
    <xf numFmtId="0" fontId="18" fillId="0" borderId="19" xfId="7521" applyFont="1" applyBorder="1"/>
    <xf numFmtId="0" fontId="0" fillId="0" borderId="0" xfId="7522" applyFont="1"/>
    <xf numFmtId="14" fontId="18" fillId="0" borderId="0" xfId="7521" applyNumberFormat="1" applyFont="1" applyAlignment="1">
      <alignment horizontal="center"/>
    </xf>
    <xf numFmtId="37" fontId="18" fillId="0" borderId="0" xfId="7522" applyNumberFormat="1" applyFont="1"/>
    <xf numFmtId="44" fontId="18" fillId="0" borderId="0" xfId="7486" applyFont="1"/>
    <xf numFmtId="176" fontId="18" fillId="0" borderId="0" xfId="7486" applyNumberFormat="1" applyFont="1"/>
    <xf numFmtId="177" fontId="18" fillId="0" borderId="0" xfId="7486" applyNumberFormat="1" applyFont="1"/>
    <xf numFmtId="44" fontId="18" fillId="0" borderId="0" xfId="7486" applyFont="1" applyAlignment="1">
      <alignment horizontal="right"/>
    </xf>
    <xf numFmtId="177" fontId="18" fillId="0" borderId="0" xfId="7486" applyNumberFormat="1" applyFont="1" applyAlignment="1">
      <alignment horizontal="right"/>
    </xf>
    <xf numFmtId="10" fontId="18" fillId="0" borderId="0" xfId="7534" applyNumberFormat="1" applyFont="1"/>
    <xf numFmtId="177" fontId="18" fillId="0" borderId="31" xfId="7486" applyNumberFormat="1" applyFont="1" applyBorder="1" applyAlignment="1">
      <alignment horizontal="right"/>
    </xf>
    <xf numFmtId="10" fontId="18" fillId="0" borderId="31" xfId="7534" applyNumberFormat="1" applyFont="1" applyBorder="1"/>
    <xf numFmtId="177" fontId="18" fillId="0" borderId="6" xfId="7486" applyNumberFormat="1" applyFont="1" applyBorder="1"/>
    <xf numFmtId="177" fontId="18" fillId="0" borderId="1" xfId="7486" applyNumberFormat="1" applyFont="1" applyBorder="1"/>
    <xf numFmtId="10" fontId="18" fillId="0" borderId="1" xfId="7534" applyNumberFormat="1" applyFont="1" applyBorder="1"/>
    <xf numFmtId="7" fontId="18" fillId="0" borderId="0" xfId="7521" applyNumberFormat="1" applyFont="1"/>
    <xf numFmtId="178" fontId="18" fillId="0" borderId="0" xfId="7521" applyNumberFormat="1" applyFont="1" applyAlignment="1">
      <alignment horizontal="right"/>
    </xf>
    <xf numFmtId="0" fontId="18" fillId="0" borderId="31" xfId="7535" applyFont="1" applyBorder="1" applyAlignment="1">
      <alignment horizontal="left"/>
    </xf>
    <xf numFmtId="0" fontId="18" fillId="0" borderId="0" xfId="7535" applyFont="1" applyAlignment="1">
      <alignment horizontal="left" indent="1"/>
    </xf>
    <xf numFmtId="179" fontId="18" fillId="0" borderId="0" xfId="7521" applyNumberFormat="1" applyFont="1"/>
    <xf numFmtId="10" fontId="11" fillId="0" borderId="0" xfId="7521" applyNumberFormat="1" applyAlignment="1">
      <alignment horizontal="center"/>
    </xf>
    <xf numFmtId="0" fontId="18" fillId="0" borderId="19" xfId="7521" applyFont="1" applyBorder="1" applyAlignment="1">
      <alignment horizontal="left"/>
    </xf>
    <xf numFmtId="10" fontId="11" fillId="0" borderId="19" xfId="7521" applyNumberFormat="1" applyBorder="1" applyAlignment="1">
      <alignment horizontal="center"/>
    </xf>
    <xf numFmtId="0" fontId="18" fillId="0" borderId="1" xfId="7521" applyFont="1" applyBorder="1" applyAlignment="1">
      <alignment horizontal="left"/>
    </xf>
    <xf numFmtId="0" fontId="18" fillId="0" borderId="1" xfId="7521" applyFont="1" applyBorder="1"/>
    <xf numFmtId="0" fontId="18" fillId="0" borderId="1" xfId="7521" applyFont="1" applyBorder="1" applyAlignment="1">
      <alignment horizontal="right"/>
    </xf>
    <xf numFmtId="10" fontId="18" fillId="0" borderId="1" xfId="7521" applyNumberFormat="1" applyFont="1" applyBorder="1" applyAlignment="1">
      <alignment horizontal="center"/>
    </xf>
    <xf numFmtId="10" fontId="11" fillId="0" borderId="0" xfId="3" applyNumberFormat="1" applyFont="1" applyAlignment="1">
      <alignment horizontal="center"/>
    </xf>
    <xf numFmtId="10" fontId="11" fillId="0" borderId="34" xfId="3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10" fontId="18" fillId="0" borderId="0" xfId="41" applyNumberFormat="1" applyAlignment="1">
      <alignment horizontal="center"/>
    </xf>
    <xf numFmtId="10" fontId="37" fillId="0" borderId="0" xfId="0" applyNumberFormat="1" applyFont="1" applyAlignment="1">
      <alignment horizontal="center"/>
    </xf>
    <xf numFmtId="10" fontId="37" fillId="0" borderId="0" xfId="3" applyNumberFormat="1" applyFont="1" applyAlignment="1">
      <alignment horizontal="center"/>
    </xf>
    <xf numFmtId="0" fontId="37" fillId="0" borderId="0" xfId="0" applyFont="1"/>
    <xf numFmtId="0" fontId="18" fillId="0" borderId="0" xfId="3157" applyAlignment="1">
      <alignment wrapText="1"/>
    </xf>
    <xf numFmtId="0" fontId="18" fillId="0" borderId="4" xfId="3157" applyBorder="1"/>
    <xf numFmtId="0" fontId="18" fillId="0" borderId="4" xfId="3157" applyBorder="1" applyAlignment="1">
      <alignment horizontal="center" wrapText="1"/>
    </xf>
    <xf numFmtId="10" fontId="0" fillId="0" borderId="0" xfId="6062" applyNumberFormat="1" applyFont="1" applyAlignment="1">
      <alignment horizontal="center"/>
    </xf>
    <xf numFmtId="10" fontId="0" fillId="0" borderId="19" xfId="6062" applyNumberFormat="1" applyFont="1" applyBorder="1" applyAlignment="1">
      <alignment horizontal="center"/>
    </xf>
    <xf numFmtId="173" fontId="18" fillId="0" borderId="0" xfId="251" applyNumberFormat="1"/>
    <xf numFmtId="0" fontId="90" fillId="0" borderId="4" xfId="2813" applyFont="1" applyBorder="1" applyAlignment="1">
      <alignment horizontal="centerContinuous"/>
    </xf>
    <xf numFmtId="180" fontId="0" fillId="0" borderId="0" xfId="1487" applyNumberFormat="1" applyFont="1"/>
    <xf numFmtId="0" fontId="18" fillId="0" borderId="1" xfId="2813" applyBorder="1"/>
    <xf numFmtId="0" fontId="90" fillId="0" borderId="4" xfId="2813" applyFont="1" applyBorder="1" applyAlignment="1">
      <alignment horizontal="center"/>
    </xf>
    <xf numFmtId="180" fontId="0" fillId="0" borderId="1" xfId="1487" applyNumberFormat="1" applyFont="1" applyBorder="1"/>
    <xf numFmtId="181" fontId="0" fillId="0" borderId="0" xfId="1487" applyNumberFormat="1" applyFont="1"/>
    <xf numFmtId="43" fontId="0" fillId="0" borderId="0" xfId="1487" applyFont="1"/>
    <xf numFmtId="181" fontId="0" fillId="0" borderId="1" xfId="1487" applyNumberFormat="1" applyFont="1" applyBorder="1"/>
    <xf numFmtId="43" fontId="0" fillId="0" borderId="1" xfId="1487" applyFont="1" applyBorder="1"/>
    <xf numFmtId="0" fontId="18" fillId="0" borderId="0" xfId="2813" applyAlignment="1">
      <alignment horizontal="center"/>
    </xf>
    <xf numFmtId="10" fontId="0" fillId="0" borderId="31" xfId="6062" applyNumberFormat="1" applyFont="1" applyBorder="1" applyAlignment="1">
      <alignment horizontal="center"/>
    </xf>
    <xf numFmtId="0" fontId="18" fillId="0" borderId="6" xfId="3157" applyBorder="1"/>
    <xf numFmtId="10" fontId="18" fillId="0" borderId="6" xfId="6062" applyNumberFormat="1" applyBorder="1" applyAlignment="1">
      <alignment horizontal="center"/>
    </xf>
    <xf numFmtId="10" fontId="0" fillId="0" borderId="6" xfId="6062" applyNumberFormat="1" applyFont="1" applyBorder="1" applyAlignment="1">
      <alignment horizontal="center"/>
    </xf>
    <xf numFmtId="10" fontId="18" fillId="0" borderId="0" xfId="3157" applyNumberFormat="1"/>
    <xf numFmtId="0" fontId="18" fillId="0" borderId="31" xfId="4277" applyBorder="1" applyAlignment="1">
      <alignment horizontal="left"/>
    </xf>
    <xf numFmtId="0" fontId="18" fillId="0" borderId="0" xfId="4277" applyAlignment="1">
      <alignment horizontal="left"/>
    </xf>
    <xf numFmtId="0" fontId="18" fillId="0" borderId="0" xfId="3157" applyAlignment="1">
      <alignment horizontal="left"/>
    </xf>
    <xf numFmtId="0" fontId="18" fillId="0" borderId="19" xfId="3157" applyBorder="1" applyAlignment="1">
      <alignment horizontal="center"/>
    </xf>
    <xf numFmtId="10" fontId="11" fillId="0" borderId="19" xfId="3157" applyNumberFormat="1" applyFont="1" applyBorder="1" applyAlignment="1">
      <alignment horizontal="center"/>
    </xf>
    <xf numFmtId="0" fontId="18" fillId="0" borderId="1" xfId="3157" applyBorder="1" applyAlignment="1">
      <alignment horizontal="center"/>
    </xf>
    <xf numFmtId="10" fontId="11" fillId="0" borderId="1" xfId="3157" applyNumberFormat="1" applyFont="1" applyBorder="1" applyAlignment="1">
      <alignment horizontal="center"/>
    </xf>
    <xf numFmtId="10" fontId="18" fillId="0" borderId="0" xfId="41" applyNumberFormat="1"/>
    <xf numFmtId="10" fontId="0" fillId="0" borderId="0" xfId="41" applyNumberFormat="1" applyFont="1" applyAlignment="1">
      <alignment horizontal="center"/>
    </xf>
    <xf numFmtId="9" fontId="18" fillId="0" borderId="0" xfId="41"/>
    <xf numFmtId="172" fontId="18" fillId="0" borderId="6" xfId="7512" applyNumberFormat="1" applyFont="1" applyBorder="1" applyAlignment="1">
      <alignment horizontal="center"/>
    </xf>
    <xf numFmtId="0" fontId="11" fillId="0" borderId="0" xfId="7536" applyFont="1"/>
    <xf numFmtId="0" fontId="21" fillId="0" borderId="0" xfId="7537" applyFont="1" applyAlignment="1">
      <alignment horizontal="center" vertical="center" wrapText="1"/>
    </xf>
    <xf numFmtId="0" fontId="100" fillId="0" borderId="0" xfId="7536" applyFont="1"/>
    <xf numFmtId="0" fontId="11" fillId="0" borderId="0" xfId="7536" applyFont="1" applyAlignment="1">
      <alignment horizontal="center"/>
    </xf>
    <xf numFmtId="0" fontId="100" fillId="0" borderId="0" xfId="7536" applyFont="1" applyAlignment="1">
      <alignment horizontal="centerContinuous"/>
    </xf>
    <xf numFmtId="0" fontId="11" fillId="0" borderId="0" xfId="7536" applyFont="1" applyAlignment="1">
      <alignment horizontal="center" wrapText="1"/>
    </xf>
    <xf numFmtId="0" fontId="11" fillId="0" borderId="4" xfId="7536" applyFont="1" applyBorder="1"/>
    <xf numFmtId="0" fontId="11" fillId="0" borderId="4" xfId="7536" applyFont="1" applyBorder="1" applyAlignment="1">
      <alignment horizontal="center" wrapText="1"/>
    </xf>
    <xf numFmtId="9" fontId="100" fillId="0" borderId="0" xfId="7538" applyFont="1"/>
    <xf numFmtId="0" fontId="11" fillId="0" borderId="0" xfId="7536" applyFont="1" applyAlignment="1">
      <alignment horizontal="center" vertical="center"/>
    </xf>
    <xf numFmtId="10" fontId="18" fillId="0" borderId="0" xfId="6062" applyNumberFormat="1" applyAlignment="1">
      <alignment horizontal="center"/>
    </xf>
    <xf numFmtId="3" fontId="18" fillId="0" borderId="0" xfId="7539" applyNumberFormat="1" applyFont="1" applyAlignment="1">
      <alignment horizontal="center"/>
    </xf>
    <xf numFmtId="10" fontId="11" fillId="0" borderId="0" xfId="7540" applyNumberFormat="1" applyFont="1" applyAlignment="1">
      <alignment horizontal="center"/>
    </xf>
    <xf numFmtId="172" fontId="11" fillId="0" borderId="0" xfId="7536" applyNumberFormat="1" applyFont="1" applyAlignment="1">
      <alignment horizontal="center"/>
    </xf>
    <xf numFmtId="10" fontId="11" fillId="0" borderId="0" xfId="7536" applyNumberFormat="1" applyFont="1" applyAlignment="1">
      <alignment horizontal="center"/>
    </xf>
    <xf numFmtId="181" fontId="100" fillId="0" borderId="0" xfId="7539" applyNumberFormat="1" applyFont="1"/>
    <xf numFmtId="10" fontId="100" fillId="0" borderId="0" xfId="7538" applyNumberFormat="1" applyFont="1"/>
    <xf numFmtId="0" fontId="18" fillId="0" borderId="0" xfId="7541" applyFont="1" applyAlignment="1">
      <alignment horizontal="left" vertical="center"/>
    </xf>
    <xf numFmtId="0" fontId="21" fillId="0" borderId="0" xfId="7537" applyFont="1"/>
    <xf numFmtId="0" fontId="11" fillId="0" borderId="31" xfId="7536" applyFont="1" applyBorder="1"/>
    <xf numFmtId="0" fontId="100" fillId="0" borderId="0" xfId="7536" applyFont="1" applyAlignment="1">
      <alignment horizontal="center"/>
    </xf>
    <xf numFmtId="0" fontId="11" fillId="0" borderId="0" xfId="7536" applyFont="1" applyAlignment="1">
      <alignment horizontal="left"/>
    </xf>
    <xf numFmtId="3" fontId="11" fillId="0" borderId="0" xfId="7536" applyNumberFormat="1" applyFont="1"/>
    <xf numFmtId="173" fontId="11" fillId="0" borderId="0" xfId="7539" applyNumberFormat="1" applyFont="1"/>
    <xf numFmtId="173" fontId="100" fillId="0" borderId="0" xfId="7536" applyNumberFormat="1" applyFont="1"/>
    <xf numFmtId="43" fontId="11" fillId="0" borderId="0" xfId="7536" applyNumberFormat="1" applyFont="1"/>
    <xf numFmtId="43" fontId="100" fillId="0" borderId="0" xfId="7536" applyNumberFormat="1" applyFont="1"/>
    <xf numFmtId="10" fontId="11" fillId="0" borderId="0" xfId="7538" applyNumberFormat="1" applyFont="1"/>
    <xf numFmtId="0" fontId="100" fillId="0" borderId="0" xfId="7536" applyFont="1" applyAlignment="1">
      <alignment horizontal="left"/>
    </xf>
    <xf numFmtId="10" fontId="95" fillId="0" borderId="0" xfId="7533" applyNumberFormat="1" applyFont="1" applyAlignment="1">
      <alignment horizontal="center" vertical="center" wrapText="1"/>
    </xf>
    <xf numFmtId="0" fontId="11" fillId="0" borderId="0" xfId="7543"/>
    <xf numFmtId="0" fontId="101" fillId="0" borderId="0" xfId="5239" applyFont="1" applyAlignment="1">
      <alignment horizontal="center"/>
    </xf>
    <xf numFmtId="0" fontId="101" fillId="0" borderId="30" xfId="7543" applyFont="1" applyBorder="1"/>
    <xf numFmtId="0" fontId="101" fillId="0" borderId="30" xfId="7543" applyFont="1" applyBorder="1" applyAlignment="1">
      <alignment horizontal="center"/>
    </xf>
    <xf numFmtId="0" fontId="18" fillId="0" borderId="0" xfId="5239"/>
    <xf numFmtId="0" fontId="18" fillId="0" borderId="0" xfId="5239" applyAlignment="1">
      <alignment horizontal="center" wrapText="1"/>
    </xf>
    <xf numFmtId="0" fontId="18" fillId="0" borderId="0" xfId="5239" applyAlignment="1">
      <alignment horizontal="center"/>
    </xf>
    <xf numFmtId="0" fontId="11" fillId="0" borderId="0" xfId="7543" applyAlignment="1">
      <alignment horizontal="center"/>
    </xf>
    <xf numFmtId="0" fontId="18" fillId="0" borderId="31" xfId="5239" applyBorder="1" applyAlignment="1">
      <alignment horizontal="center"/>
    </xf>
    <xf numFmtId="0" fontId="18" fillId="0" borderId="31" xfId="5239" applyBorder="1" applyAlignment="1">
      <alignment horizontal="center" wrapText="1"/>
    </xf>
    <xf numFmtId="0" fontId="11" fillId="0" borderId="31" xfId="7543" applyBorder="1" applyAlignment="1">
      <alignment horizontal="center"/>
    </xf>
    <xf numFmtId="0" fontId="11" fillId="0" borderId="0" xfId="7541"/>
    <xf numFmtId="0" fontId="0" fillId="0" borderId="0" xfId="7541" applyFont="1"/>
    <xf numFmtId="0" fontId="0" fillId="0" borderId="0" xfId="7541" applyFont="1" applyAlignment="1">
      <alignment horizontal="center"/>
    </xf>
    <xf numFmtId="0" fontId="18" fillId="0" borderId="0" xfId="7541" applyFont="1" applyAlignment="1">
      <alignment horizontal="center"/>
    </xf>
    <xf numFmtId="0" fontId="18" fillId="0" borderId="0" xfId="7543" applyFont="1" applyAlignment="1">
      <alignment horizontal="center" vertical="top"/>
    </xf>
    <xf numFmtId="0" fontId="11" fillId="0" borderId="0" xfId="7543" applyAlignment="1">
      <alignment horizontal="left"/>
    </xf>
    <xf numFmtId="0" fontId="0" fillId="0" borderId="0" xfId="7543" applyFont="1" applyAlignment="1">
      <alignment horizontal="center"/>
    </xf>
    <xf numFmtId="9" fontId="11" fillId="0" borderId="0" xfId="7544" applyFont="1" applyAlignment="1">
      <alignment horizontal="center"/>
    </xf>
    <xf numFmtId="0" fontId="0" fillId="0" borderId="6" xfId="7543" applyFont="1" applyBorder="1" applyAlignment="1">
      <alignment horizontal="left"/>
    </xf>
    <xf numFmtId="0" fontId="11" fillId="0" borderId="6" xfId="7543" applyBorder="1" applyAlignment="1">
      <alignment horizontal="center"/>
    </xf>
    <xf numFmtId="0" fontId="0" fillId="0" borderId="6" xfId="7543" applyFont="1" applyBorder="1" applyAlignment="1">
      <alignment horizontal="center"/>
    </xf>
    <xf numFmtId="1" fontId="11" fillId="0" borderId="6" xfId="7543" applyNumberFormat="1" applyBorder="1" applyAlignment="1">
      <alignment horizontal="center"/>
    </xf>
    <xf numFmtId="9" fontId="11" fillId="0" borderId="0" xfId="7540" applyFont="1" applyAlignment="1">
      <alignment horizontal="center"/>
    </xf>
    <xf numFmtId="0" fontId="11" fillId="0" borderId="31" xfId="7543" applyBorder="1"/>
    <xf numFmtId="0" fontId="0" fillId="0" borderId="0" xfId="7543" applyFont="1"/>
    <xf numFmtId="0" fontId="18" fillId="0" borderId="6" xfId="7543" applyFont="1" applyBorder="1"/>
    <xf numFmtId="0" fontId="18" fillId="0" borderId="6" xfId="7543" applyFont="1" applyBorder="1" applyAlignment="1">
      <alignment horizontal="left"/>
    </xf>
    <xf numFmtId="0" fontId="18" fillId="0" borderId="6" xfId="7543" applyFont="1" applyBorder="1" applyAlignment="1">
      <alignment horizontal="center"/>
    </xf>
    <xf numFmtId="0" fontId="94" fillId="0" borderId="0" xfId="7543" applyFont="1"/>
    <xf numFmtId="0" fontId="18" fillId="0" borderId="0" xfId="7541" applyFont="1"/>
    <xf numFmtId="0" fontId="18" fillId="0" borderId="0" xfId="7541" applyFont="1" applyAlignment="1">
      <alignment horizontal="centerContinuous"/>
    </xf>
    <xf numFmtId="0" fontId="11" fillId="0" borderId="0" xfId="7541" applyAlignment="1">
      <alignment horizontal="centerContinuous" vertical="center"/>
    </xf>
    <xf numFmtId="0" fontId="11" fillId="0" borderId="0" xfId="7541" applyAlignment="1">
      <alignment horizontal="centerContinuous"/>
    </xf>
    <xf numFmtId="0" fontId="102" fillId="0" borderId="0" xfId="7541" applyFont="1" applyAlignment="1">
      <alignment vertical="center" wrapText="1"/>
    </xf>
    <xf numFmtId="0" fontId="90" fillId="0" borderId="0" xfId="7541" applyFont="1" applyAlignment="1">
      <alignment horizontal="centerContinuous"/>
    </xf>
    <xf numFmtId="0" fontId="90" fillId="0" borderId="0" xfId="7541" applyFont="1"/>
    <xf numFmtId="0" fontId="90" fillId="0" borderId="30" xfId="7541" applyFont="1" applyBorder="1"/>
    <xf numFmtId="0" fontId="18" fillId="0" borderId="30" xfId="7541" applyFont="1" applyBorder="1"/>
    <xf numFmtId="0" fontId="18" fillId="0" borderId="30" xfId="7541" applyFont="1" applyBorder="1" applyAlignment="1">
      <alignment horizontal="center" wrapText="1"/>
    </xf>
    <xf numFmtId="0" fontId="18" fillId="0" borderId="0" xfId="7541" applyFont="1" applyAlignment="1">
      <alignment horizontal="center" wrapText="1"/>
    </xf>
    <xf numFmtId="0" fontId="18" fillId="0" borderId="31" xfId="7541" applyFont="1" applyBorder="1"/>
    <xf numFmtId="0" fontId="18" fillId="0" borderId="31" xfId="7541" applyFont="1" applyBorder="1" applyAlignment="1">
      <alignment horizontal="center"/>
    </xf>
    <xf numFmtId="0" fontId="18" fillId="0" borderId="31" xfId="7541" applyFont="1" applyBorder="1" applyAlignment="1">
      <alignment horizontal="center" wrapText="1"/>
    </xf>
    <xf numFmtId="164" fontId="18" fillId="0" borderId="0" xfId="7541" applyNumberFormat="1" applyFont="1" applyAlignment="1">
      <alignment horizontal="center"/>
    </xf>
    <xf numFmtId="4" fontId="18" fillId="0" borderId="31" xfId="7541" applyNumberFormat="1" applyFont="1" applyBorder="1" applyAlignment="1">
      <alignment horizontal="center"/>
    </xf>
    <xf numFmtId="2" fontId="18" fillId="0" borderId="31" xfId="7541" applyNumberFormat="1" applyFont="1" applyBorder="1" applyAlignment="1">
      <alignment horizontal="center"/>
    </xf>
    <xf numFmtId="182" fontId="18" fillId="0" borderId="0" xfId="7541" applyNumberFormat="1" applyFont="1" applyAlignment="1">
      <alignment horizontal="center"/>
    </xf>
    <xf numFmtId="10" fontId="18" fillId="0" borderId="0" xfId="7545" applyNumberFormat="1" applyFont="1" applyAlignment="1">
      <alignment horizontal="center"/>
    </xf>
    <xf numFmtId="0" fontId="94" fillId="0" borderId="0" xfId="7541" applyFont="1"/>
    <xf numFmtId="0" fontId="18" fillId="0" borderId="0" xfId="7541" applyFont="1" applyAlignment="1">
      <alignment horizontal="center" vertical="center"/>
    </xf>
    <xf numFmtId="0" fontId="18" fillId="0" borderId="19" xfId="7541" applyFont="1" applyBorder="1"/>
    <xf numFmtId="182" fontId="18" fillId="0" borderId="0" xfId="7541" applyNumberFormat="1" applyFont="1"/>
    <xf numFmtId="183" fontId="18" fillId="0" borderId="0" xfId="7545" applyNumberFormat="1" applyFont="1"/>
    <xf numFmtId="43" fontId="18" fillId="0" borderId="0" xfId="7480" applyFont="1"/>
    <xf numFmtId="0" fontId="101" fillId="0" borderId="0" xfId="7541" applyFont="1" applyAlignment="1">
      <alignment horizontal="centerContinuous"/>
    </xf>
    <xf numFmtId="0" fontId="101" fillId="0" borderId="31" xfId="7541" applyFont="1" applyBorder="1" applyAlignment="1">
      <alignment horizontal="center"/>
    </xf>
    <xf numFmtId="0" fontId="101" fillId="0" borderId="31" xfId="7541" applyFont="1" applyBorder="1"/>
    <xf numFmtId="10" fontId="18" fillId="0" borderId="0" xfId="7541" applyNumberFormat="1" applyFont="1" applyAlignment="1">
      <alignment horizontal="center"/>
    </xf>
    <xf numFmtId="0" fontId="11" fillId="0" borderId="19" xfId="7541" applyBorder="1"/>
    <xf numFmtId="10" fontId="18" fillId="0" borderId="19" xfId="7545" applyNumberFormat="1" applyFont="1" applyBorder="1" applyAlignment="1">
      <alignment horizontal="center"/>
    </xf>
    <xf numFmtId="10" fontId="11" fillId="0" borderId="0" xfId="7541" applyNumberFormat="1"/>
    <xf numFmtId="0" fontId="11" fillId="0" borderId="1" xfId="7541" applyBorder="1"/>
    <xf numFmtId="0" fontId="18" fillId="0" borderId="1" xfId="7541" applyFont="1" applyBorder="1"/>
    <xf numFmtId="2" fontId="18" fillId="0" borderId="1" xfId="7541" applyNumberFormat="1" applyFont="1" applyBorder="1" applyAlignment="1">
      <alignment horizontal="center"/>
    </xf>
    <xf numFmtId="2" fontId="18" fillId="0" borderId="0" xfId="7541" applyNumberFormat="1" applyFont="1" applyAlignment="1">
      <alignment horizontal="center"/>
    </xf>
    <xf numFmtId="0" fontId="11" fillId="0" borderId="31" xfId="7541" applyBorder="1"/>
    <xf numFmtId="0" fontId="93" fillId="0" borderId="0" xfId="7541" applyFont="1" applyAlignment="1">
      <alignment horizontal="center"/>
    </xf>
    <xf numFmtId="0" fontId="93" fillId="0" borderId="0" xfId="7541" applyFont="1"/>
    <xf numFmtId="10" fontId="93" fillId="0" borderId="0" xfId="7541" applyNumberFormat="1" applyFont="1"/>
    <xf numFmtId="10" fontId="18" fillId="0" borderId="0" xfId="3" applyNumberFormat="1"/>
    <xf numFmtId="10" fontId="11" fillId="0" borderId="0" xfId="7526" applyNumberFormat="1" applyFont="1"/>
    <xf numFmtId="0" fontId="95" fillId="0" borderId="41" xfId="7533" applyFont="1" applyBorder="1" applyAlignment="1">
      <alignment horizontal="center" vertical="center" wrapText="1"/>
    </xf>
    <xf numFmtId="0" fontId="11" fillId="0" borderId="0" xfId="7522" applyAlignment="1">
      <alignment horizontal="centerContinuous"/>
    </xf>
    <xf numFmtId="0" fontId="11" fillId="0" borderId="0" xfId="7522"/>
    <xf numFmtId="0" fontId="11" fillId="0" borderId="0" xfId="7546" applyFont="1" applyAlignment="1">
      <alignment horizontal="center"/>
    </xf>
    <xf numFmtId="0" fontId="11" fillId="0" borderId="30" xfId="7522" applyBorder="1"/>
    <xf numFmtId="0" fontId="11" fillId="0" borderId="30" xfId="7522" applyBorder="1" applyAlignment="1">
      <alignment horizontal="center"/>
    </xf>
    <xf numFmtId="0" fontId="11" fillId="0" borderId="0" xfId="7522" applyAlignment="1">
      <alignment horizontal="center"/>
    </xf>
    <xf numFmtId="0" fontId="11" fillId="0" borderId="31" xfId="7522" applyBorder="1" applyAlignment="1">
      <alignment horizontal="centerContinuous"/>
    </xf>
    <xf numFmtId="0" fontId="11" fillId="0" borderId="31" xfId="7522" applyBorder="1" applyAlignment="1">
      <alignment horizontal="center"/>
    </xf>
    <xf numFmtId="0" fontId="18" fillId="0" borderId="0" xfId="7546" applyFont="1"/>
    <xf numFmtId="0" fontId="18" fillId="0" borderId="0" xfId="7546" applyFont="1" applyAlignment="1">
      <alignment horizontal="center"/>
    </xf>
    <xf numFmtId="2" fontId="11" fillId="0" borderId="0" xfId="7522" applyNumberFormat="1" applyAlignment="1">
      <alignment horizontal="center"/>
    </xf>
    <xf numFmtId="0" fontId="11" fillId="0" borderId="0" xfId="7515" applyAlignment="1">
      <alignment horizontal="center"/>
    </xf>
    <xf numFmtId="0" fontId="11" fillId="0" borderId="31" xfId="7546" applyFont="1" applyBorder="1" applyAlignment="1">
      <alignment horizontal="left"/>
    </xf>
    <xf numFmtId="0" fontId="11" fillId="0" borderId="31" xfId="7522" applyBorder="1"/>
    <xf numFmtId="0" fontId="18" fillId="0" borderId="31" xfId="7546" applyFont="1" applyBorder="1" applyAlignment="1">
      <alignment horizontal="center"/>
    </xf>
    <xf numFmtId="2" fontId="11" fillId="0" borderId="31" xfId="7522" applyNumberFormat="1" applyBorder="1" applyAlignment="1">
      <alignment horizontal="center"/>
    </xf>
    <xf numFmtId="0" fontId="11" fillId="0" borderId="47" xfId="7522" applyBorder="1" applyAlignment="1">
      <alignment horizontal="centerContinuous"/>
    </xf>
    <xf numFmtId="0" fontId="11" fillId="0" borderId="47" xfId="7522" applyBorder="1"/>
    <xf numFmtId="4" fontId="11" fillId="0" borderId="47" xfId="7522" applyNumberFormat="1" applyBorder="1" applyAlignment="1">
      <alignment horizontal="center"/>
    </xf>
    <xf numFmtId="0" fontId="11" fillId="0" borderId="35" xfId="7522" applyBorder="1" applyAlignment="1">
      <alignment horizontal="centerContinuous"/>
    </xf>
    <xf numFmtId="0" fontId="11" fillId="0" borderId="35" xfId="7522" applyBorder="1"/>
    <xf numFmtId="4" fontId="11" fillId="0" borderId="35" xfId="7522" applyNumberFormat="1" applyBorder="1" applyAlignment="1">
      <alignment horizontal="center"/>
    </xf>
    <xf numFmtId="0" fontId="11" fillId="0" borderId="0" xfId="7546" applyFont="1" applyAlignment="1">
      <alignment horizontal="left" indent="1"/>
    </xf>
    <xf numFmtId="0" fontId="94" fillId="0" borderId="0" xfId="7522" applyFont="1"/>
    <xf numFmtId="0" fontId="11" fillId="0" borderId="0" xfId="7522" applyAlignment="1">
      <alignment horizontal="left"/>
    </xf>
    <xf numFmtId="0" fontId="11" fillId="0" borderId="0" xfId="7522" applyAlignment="1">
      <alignment horizontal="left" indent="2"/>
    </xf>
    <xf numFmtId="10" fontId="11" fillId="0" borderId="0" xfId="7547" applyNumberFormat="1" applyFont="1" applyAlignment="1">
      <alignment horizontal="right"/>
    </xf>
    <xf numFmtId="173" fontId="11" fillId="0" borderId="0" xfId="7548" applyNumberFormat="1" applyFont="1"/>
    <xf numFmtId="0" fontId="11" fillId="0" borderId="30" xfId="7546" applyFont="1" applyBorder="1" applyAlignment="1">
      <alignment horizontal="right"/>
    </xf>
    <xf numFmtId="0" fontId="11" fillId="0" borderId="30" xfId="7546" applyFont="1" applyBorder="1"/>
    <xf numFmtId="0" fontId="11" fillId="0" borderId="0" xfId="7546" applyFont="1" applyAlignment="1">
      <alignment horizontal="right"/>
    </xf>
    <xf numFmtId="0" fontId="11" fillId="0" borderId="0" xfId="7546" applyFont="1"/>
    <xf numFmtId="0" fontId="11" fillId="0" borderId="31" xfId="7546" applyFont="1" applyBorder="1" applyAlignment="1">
      <alignment horizontal="right"/>
    </xf>
    <xf numFmtId="43" fontId="11" fillId="0" borderId="0" xfId="7548" applyFont="1"/>
    <xf numFmtId="10" fontId="11" fillId="0" borderId="0" xfId="7522" applyNumberFormat="1"/>
    <xf numFmtId="184" fontId="11" fillId="0" borderId="0" xfId="7522" applyNumberFormat="1"/>
    <xf numFmtId="10" fontId="11" fillId="0" borderId="0" xfId="7547" applyNumberFormat="1" applyFont="1"/>
    <xf numFmtId="177" fontId="11" fillId="0" borderId="0" xfId="7549" applyNumberFormat="1" applyFont="1"/>
    <xf numFmtId="0" fontId="11" fillId="0" borderId="31" xfId="7522" applyBorder="1" applyAlignment="1">
      <alignment horizontal="left"/>
    </xf>
    <xf numFmtId="184" fontId="11" fillId="0" borderId="31" xfId="7522" applyNumberFormat="1" applyBorder="1"/>
    <xf numFmtId="10" fontId="11" fillId="0" borderId="31" xfId="7522" applyNumberFormat="1" applyBorder="1"/>
    <xf numFmtId="185" fontId="11" fillId="0" borderId="0" xfId="7522" applyNumberFormat="1"/>
    <xf numFmtId="0" fontId="11" fillId="0" borderId="31" xfId="7546" applyFont="1" applyBorder="1"/>
    <xf numFmtId="0" fontId="94" fillId="0" borderId="0" xfId="7546" applyFont="1"/>
    <xf numFmtId="186" fontId="11" fillId="0" borderId="0" xfId="7546" applyNumberFormat="1" applyFont="1"/>
    <xf numFmtId="164" fontId="18" fillId="0" borderId="0" xfId="7480" applyNumberFormat="1" applyFont="1" applyAlignment="1">
      <alignment horizontal="center"/>
    </xf>
    <xf numFmtId="164" fontId="18" fillId="0" borderId="0" xfId="7541" applyNumberFormat="1" applyFont="1"/>
    <xf numFmtId="9" fontId="95" fillId="63" borderId="0" xfId="7533" applyNumberFormat="1" applyFont="1" applyFill="1" applyAlignment="1">
      <alignment horizontal="center" vertical="center" wrapText="1"/>
    </xf>
    <xf numFmtId="187" fontId="95" fillId="63" borderId="0" xfId="7533" applyNumberFormat="1" applyFont="1" applyFill="1" applyAlignment="1">
      <alignment horizontal="center" vertical="center" wrapText="1"/>
    </xf>
    <xf numFmtId="39" fontId="11" fillId="0" borderId="0" xfId="7522" applyNumberFormat="1"/>
    <xf numFmtId="182" fontId="18" fillId="0" borderId="19" xfId="7541" applyNumberFormat="1" applyFont="1" applyBorder="1" applyAlignment="1">
      <alignment horizontal="center"/>
    </xf>
    <xf numFmtId="43" fontId="18" fillId="0" borderId="0" xfId="7550" applyFont="1"/>
    <xf numFmtId="0" fontId="11" fillId="0" borderId="1" xfId="7536" applyFont="1" applyBorder="1"/>
    <xf numFmtId="0" fontId="11" fillId="0" borderId="1" xfId="7536" applyFont="1" applyBorder="1" applyAlignment="1">
      <alignment horizontal="center"/>
    </xf>
    <xf numFmtId="0" fontId="21" fillId="0" borderId="1" xfId="7536" applyFont="1" applyBorder="1" applyAlignment="1">
      <alignment horizontal="center"/>
    </xf>
    <xf numFmtId="0" fontId="18" fillId="0" borderId="47" xfId="7541" applyFont="1" applyBorder="1" applyAlignment="1">
      <alignment horizontal="left" vertical="center"/>
    </xf>
    <xf numFmtId="0" fontId="11" fillId="0" borderId="47" xfId="7536" applyFont="1" applyBorder="1" applyAlignment="1">
      <alignment horizontal="center"/>
    </xf>
    <xf numFmtId="0" fontId="21" fillId="0" borderId="47" xfId="7536" applyFont="1" applyBorder="1" applyAlignment="1">
      <alignment horizontal="center"/>
    </xf>
    <xf numFmtId="0" fontId="11" fillId="0" borderId="47" xfId="7536" applyFont="1" applyBorder="1"/>
    <xf numFmtId="10" fontId="18" fillId="0" borderId="47" xfId="7542" applyNumberFormat="1" applyFont="1" applyBorder="1" applyAlignment="1">
      <alignment horizontal="center"/>
    </xf>
    <xf numFmtId="10" fontId="11" fillId="0" borderId="1" xfId="7536" applyNumberFormat="1" applyFont="1" applyBorder="1" applyAlignment="1">
      <alignment horizontal="center" vertical="center"/>
    </xf>
    <xf numFmtId="0" fontId="104" fillId="0" borderId="0" xfId="0" applyFont="1" applyAlignment="1">
      <alignment horizontal="right" vertical="center"/>
    </xf>
    <xf numFmtId="0" fontId="100" fillId="0" borderId="0" xfId="0" applyFont="1"/>
    <xf numFmtId="0" fontId="100" fillId="0" borderId="0" xfId="0" applyFont="1" applyAlignment="1">
      <alignment horizontal="right" vertical="center"/>
    </xf>
    <xf numFmtId="0" fontId="100" fillId="0" borderId="0" xfId="0" applyFont="1" applyBorder="1" applyAlignment="1">
      <alignment horizontal="right" vertical="center"/>
    </xf>
    <xf numFmtId="0" fontId="100" fillId="0" borderId="0" xfId="0" applyFont="1" applyBorder="1"/>
    <xf numFmtId="0" fontId="104" fillId="0" borderId="0" xfId="0" applyFont="1" applyBorder="1" applyAlignment="1">
      <alignment horizontal="center" vertical="center"/>
    </xf>
    <xf numFmtId="0" fontId="105" fillId="0" borderId="0" xfId="0" applyFont="1" applyBorder="1" applyAlignment="1">
      <alignment horizontal="center" vertical="center"/>
    </xf>
    <xf numFmtId="49" fontId="104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vertical="center"/>
    </xf>
    <xf numFmtId="0" fontId="100" fillId="0" borderId="0" xfId="0" applyFont="1" applyAlignment="1"/>
    <xf numFmtId="0" fontId="106" fillId="0" borderId="0" xfId="5838" applyFont="1" applyFill="1" applyBorder="1" applyAlignment="1"/>
    <xf numFmtId="0" fontId="106" fillId="0" borderId="0" xfId="5838" applyFont="1" applyFill="1" applyBorder="1" applyAlignment="1">
      <alignment horizontal="center"/>
    </xf>
    <xf numFmtId="0" fontId="100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/>
    <xf numFmtId="0" fontId="105" fillId="0" borderId="0" xfId="0" applyFont="1" applyAlignment="1">
      <alignment horizontal="center"/>
    </xf>
    <xf numFmtId="0" fontId="89" fillId="0" borderId="0" xfId="5939" quotePrefix="1" applyFont="1" applyFill="1" applyBorder="1" applyAlignment="1"/>
    <xf numFmtId="0" fontId="11" fillId="0" borderId="0" xfId="7521" applyAlignment="1">
      <alignment horizontal="left" wrapText="1"/>
    </xf>
    <xf numFmtId="0" fontId="106" fillId="0" borderId="0" xfId="5838" applyFont="1" applyFill="1" applyBorder="1" applyAlignment="1">
      <alignment horizontal="center"/>
    </xf>
    <xf numFmtId="0" fontId="11" fillId="0" borderId="0" xfId="7521" applyAlignment="1">
      <alignment horizontal="center" wrapText="1"/>
    </xf>
    <xf numFmtId="0" fontId="97" fillId="62" borderId="41" xfId="7533" applyFont="1" applyFill="1" applyBorder="1" applyAlignment="1">
      <alignment horizontal="center" vertical="center" wrapText="1"/>
    </xf>
    <xf numFmtId="0" fontId="97" fillId="62" borderId="42" xfId="7533" applyFont="1" applyFill="1" applyBorder="1" applyAlignment="1">
      <alignment horizontal="center" vertical="center" wrapText="1"/>
    </xf>
    <xf numFmtId="0" fontId="97" fillId="62" borderId="43" xfId="7533" applyFont="1" applyFill="1" applyBorder="1" applyAlignment="1">
      <alignment horizontal="center" vertical="center" wrapText="1"/>
    </xf>
    <xf numFmtId="10" fontId="95" fillId="0" borderId="36" xfId="7533" applyNumberFormat="1" applyFont="1" applyBorder="1" applyAlignment="1">
      <alignment horizontal="center" vertical="center" wrapText="1"/>
    </xf>
    <xf numFmtId="10" fontId="95" fillId="0" borderId="5" xfId="7533" applyNumberFormat="1" applyFont="1" applyBorder="1" applyAlignment="1">
      <alignment horizontal="center" vertical="center" wrapText="1"/>
    </xf>
    <xf numFmtId="10" fontId="95" fillId="0" borderId="32" xfId="7533" applyNumberFormat="1" applyFont="1" applyBorder="1" applyAlignment="1">
      <alignment horizontal="center" vertical="center" wrapText="1"/>
    </xf>
    <xf numFmtId="0" fontId="70" fillId="63" borderId="0" xfId="7521" applyFont="1" applyFill="1" applyAlignment="1">
      <alignment horizontal="left" vertical="top" wrapText="1"/>
    </xf>
    <xf numFmtId="0" fontId="95" fillId="63" borderId="0" xfId="7533" applyFont="1" applyFill="1" applyAlignment="1">
      <alignment horizontal="center" wrapText="1"/>
    </xf>
    <xf numFmtId="0" fontId="97" fillId="62" borderId="38" xfId="7533" applyFont="1" applyFill="1" applyBorder="1" applyAlignment="1">
      <alignment horizontal="center" vertical="center"/>
    </xf>
    <xf numFmtId="0" fontId="97" fillId="62" borderId="39" xfId="7533" applyFont="1" applyFill="1" applyBorder="1" applyAlignment="1">
      <alignment horizontal="center" vertical="center"/>
    </xf>
    <xf numFmtId="0" fontId="97" fillId="62" borderId="40" xfId="7533" applyFont="1" applyFill="1" applyBorder="1" applyAlignment="1">
      <alignment horizontal="center" vertical="center"/>
    </xf>
    <xf numFmtId="0" fontId="97" fillId="62" borderId="41" xfId="7533" applyFont="1" applyFill="1" applyBorder="1" applyAlignment="1">
      <alignment horizontal="center" vertical="center"/>
    </xf>
    <xf numFmtId="0" fontId="97" fillId="62" borderId="42" xfId="7533" applyFont="1" applyFill="1" applyBorder="1" applyAlignment="1">
      <alignment horizontal="center" vertical="center"/>
    </xf>
    <xf numFmtId="0" fontId="97" fillId="62" borderId="43" xfId="7533" applyFont="1" applyFill="1" applyBorder="1" applyAlignment="1">
      <alignment horizontal="center" vertical="center"/>
    </xf>
    <xf numFmtId="10" fontId="95" fillId="63" borderId="36" xfId="7533" applyNumberFormat="1" applyFont="1" applyFill="1" applyBorder="1" applyAlignment="1">
      <alignment horizontal="center" vertical="center" wrapText="1"/>
    </xf>
    <xf numFmtId="10" fontId="95" fillId="63" borderId="5" xfId="7533" applyNumberFormat="1" applyFont="1" applyFill="1" applyBorder="1" applyAlignment="1">
      <alignment horizontal="center" vertical="center" wrapText="1"/>
    </xf>
    <xf numFmtId="10" fontId="95" fillId="63" borderId="32" xfId="7533" applyNumberFormat="1" applyFont="1" applyFill="1" applyBorder="1" applyAlignment="1">
      <alignment horizontal="center" vertical="center" wrapText="1"/>
    </xf>
    <xf numFmtId="0" fontId="97" fillId="62" borderId="44" xfId="7533" applyFont="1" applyFill="1" applyBorder="1" applyAlignment="1">
      <alignment horizontal="center" vertical="center"/>
    </xf>
    <xf numFmtId="0" fontId="97" fillId="62" borderId="45" xfId="7533" applyFont="1" applyFill="1" applyBorder="1" applyAlignment="1">
      <alignment horizontal="center" vertical="center"/>
    </xf>
    <xf numFmtId="0" fontId="97" fillId="62" borderId="46" xfId="7533" applyFont="1" applyFill="1" applyBorder="1" applyAlignment="1">
      <alignment horizontal="center" vertical="center"/>
    </xf>
    <xf numFmtId="0" fontId="95" fillId="63" borderId="36" xfId="7533" applyFont="1" applyFill="1" applyBorder="1" applyAlignment="1">
      <alignment horizontal="center" vertical="center" wrapText="1"/>
    </xf>
    <xf numFmtId="0" fontId="95" fillId="63" borderId="37" xfId="7533" applyFont="1" applyFill="1" applyBorder="1" applyAlignment="1">
      <alignment horizontal="center" vertical="center" wrapText="1"/>
    </xf>
    <xf numFmtId="10" fontId="95" fillId="63" borderId="37" xfId="7533" applyNumberFormat="1" applyFont="1" applyFill="1" applyBorder="1" applyAlignment="1">
      <alignment horizontal="center" vertical="center" wrapText="1"/>
    </xf>
    <xf numFmtId="0" fontId="11" fillId="0" borderId="0" xfId="7423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37" fillId="0" borderId="36" xfId="7521" applyNumberFormat="1" applyFont="1" applyBorder="1" applyAlignment="1">
      <alignment horizontal="center"/>
    </xf>
    <xf numFmtId="10" fontId="37" fillId="0" borderId="5" xfId="7521" applyNumberFormat="1" applyFont="1" applyBorder="1" applyAlignment="1">
      <alignment horizontal="center"/>
    </xf>
    <xf numFmtId="10" fontId="37" fillId="0" borderId="37" xfId="7521" applyNumberFormat="1" applyFont="1" applyBorder="1" applyAlignment="1">
      <alignment horizontal="center"/>
    </xf>
    <xf numFmtId="10" fontId="37" fillId="0" borderId="36" xfId="3" applyNumberFormat="1" applyFont="1" applyBorder="1" applyAlignment="1">
      <alignment horizontal="center"/>
    </xf>
    <xf numFmtId="10" fontId="37" fillId="0" borderId="5" xfId="3" applyNumberFormat="1" applyFont="1" applyBorder="1" applyAlignment="1">
      <alignment horizontal="center"/>
    </xf>
    <xf numFmtId="10" fontId="37" fillId="0" borderId="37" xfId="3" applyNumberFormat="1" applyFont="1" applyBorder="1" applyAlignment="1">
      <alignment horizontal="center"/>
    </xf>
    <xf numFmtId="0" fontId="18" fillId="0" borderId="0" xfId="3157" applyAlignment="1">
      <alignment horizontal="center" wrapText="1"/>
    </xf>
    <xf numFmtId="0" fontId="11" fillId="0" borderId="0" xfId="7536" applyFont="1" applyAlignment="1">
      <alignment horizontal="center"/>
    </xf>
    <xf numFmtId="0" fontId="18" fillId="0" borderId="0" xfId="7521" applyFont="1" applyAlignment="1">
      <alignment horizontal="center"/>
    </xf>
    <xf numFmtId="0" fontId="11" fillId="0" borderId="0" xfId="7541" applyAlignment="1">
      <alignment horizontal="center" wrapText="1"/>
    </xf>
    <xf numFmtId="0" fontId="101" fillId="0" borderId="0" xfId="5239" applyFont="1" applyAlignment="1">
      <alignment horizontal="center"/>
    </xf>
    <xf numFmtId="0" fontId="18" fillId="0" borderId="31" xfId="5239" applyBorder="1" applyAlignment="1">
      <alignment horizontal="center"/>
    </xf>
    <xf numFmtId="0" fontId="11" fillId="0" borderId="31" xfId="7543" applyBorder="1" applyAlignment="1">
      <alignment horizontal="center"/>
    </xf>
    <xf numFmtId="0" fontId="18" fillId="0" borderId="0" xfId="5239" applyAlignment="1">
      <alignment horizontal="center"/>
    </xf>
    <xf numFmtId="0" fontId="11" fillId="0" borderId="0" xfId="7526" applyFont="1" applyAlignment="1">
      <alignment horizontal="center"/>
    </xf>
    <xf numFmtId="0" fontId="11" fillId="0" borderId="0" xfId="7526" applyFont="1" applyAlignment="1">
      <alignment horizontal="left" wrapText="1"/>
    </xf>
  </cellXfs>
  <cellStyles count="7551">
    <cellStyle name="$ Currency" xfId="43"/>
    <cellStyle name="$ Linked Amount" xfId="44"/>
    <cellStyle name="$Currency x2" xfId="45"/>
    <cellStyle name="$Gas Cost x5" xfId="46"/>
    <cellStyle name="20% - Accent1 2" xfId="47"/>
    <cellStyle name="20% - Accent1 2 2" xfId="48"/>
    <cellStyle name="20% - Accent1 2 3" xfId="49"/>
    <cellStyle name="20% - Accent1 2 4" xfId="7432"/>
    <cellStyle name="20% - Accent1 3" xfId="50"/>
    <cellStyle name="20% - Accent1 3 2" xfId="51"/>
    <cellStyle name="20% - Accent1 3 3" xfId="7433"/>
    <cellStyle name="20% - Accent1 4" xfId="52"/>
    <cellStyle name="20% - Accent1 4 2" xfId="53"/>
    <cellStyle name="20% - Accent1 4 3" xfId="7434"/>
    <cellStyle name="20% - Accent1 5" xfId="54"/>
    <cellStyle name="20% - Accent1 5 2" xfId="55"/>
    <cellStyle name="20% - Accent1 5 3" xfId="7435"/>
    <cellStyle name="20% - Accent1 6" xfId="56"/>
    <cellStyle name="20% - Accent2 2" xfId="57"/>
    <cellStyle name="20% - Accent2 2 2" xfId="58"/>
    <cellStyle name="20% - Accent2 2 3" xfId="59"/>
    <cellStyle name="20% - Accent2 2 4" xfId="7436"/>
    <cellStyle name="20% - Accent2 3" xfId="60"/>
    <cellStyle name="20% - Accent2 3 2" xfId="61"/>
    <cellStyle name="20% - Accent2 3 3" xfId="7437"/>
    <cellStyle name="20% - Accent2 4" xfId="62"/>
    <cellStyle name="20% - Accent2 4 2" xfId="63"/>
    <cellStyle name="20% - Accent2 4 3" xfId="7438"/>
    <cellStyle name="20% - Accent2 5" xfId="64"/>
    <cellStyle name="20% - Accent2 5 2" xfId="65"/>
    <cellStyle name="20% - Accent2 5 3" xfId="7439"/>
    <cellStyle name="20% - Accent2 6" xfId="66"/>
    <cellStyle name="20% - Accent3 2" xfId="67"/>
    <cellStyle name="20% - Accent3 2 2" xfId="68"/>
    <cellStyle name="20% - Accent3 2 3" xfId="69"/>
    <cellStyle name="20% - Accent3 2 4" xfId="7440"/>
    <cellStyle name="20% - Accent3 3" xfId="70"/>
    <cellStyle name="20% - Accent3 3 2" xfId="71"/>
    <cellStyle name="20% - Accent3 3 3" xfId="7441"/>
    <cellStyle name="20% - Accent3 4" xfId="72"/>
    <cellStyle name="20% - Accent3 4 2" xfId="73"/>
    <cellStyle name="20% - Accent3 4 3" xfId="7442"/>
    <cellStyle name="20% - Accent3 5" xfId="74"/>
    <cellStyle name="20% - Accent3 5 2" xfId="75"/>
    <cellStyle name="20% - Accent3 5 3" xfId="7443"/>
    <cellStyle name="20% - Accent3 6" xfId="76"/>
    <cellStyle name="20% - Accent4 2" xfId="77"/>
    <cellStyle name="20% - Accent4 2 2" xfId="78"/>
    <cellStyle name="20% - Accent4 2 3" xfId="79"/>
    <cellStyle name="20% - Accent4 2 4" xfId="7444"/>
    <cellStyle name="20% - Accent4 3" xfId="80"/>
    <cellStyle name="20% - Accent4 3 2" xfId="81"/>
    <cellStyle name="20% - Accent4 3 3" xfId="7445"/>
    <cellStyle name="20% - Accent4 4" xfId="82"/>
    <cellStyle name="20% - Accent4 4 2" xfId="83"/>
    <cellStyle name="20% - Accent4 4 3" xfId="7446"/>
    <cellStyle name="20% - Accent4 5" xfId="84"/>
    <cellStyle name="20% - Accent4 5 2" xfId="85"/>
    <cellStyle name="20% - Accent4 5 3" xfId="7447"/>
    <cellStyle name="20% - Accent4 6" xfId="86"/>
    <cellStyle name="20% - Accent5 2" xfId="87"/>
    <cellStyle name="20% - Accent5 2 2" xfId="88"/>
    <cellStyle name="20% - Accent5 2 3" xfId="89"/>
    <cellStyle name="20% - Accent5 2 4" xfId="7448"/>
    <cellStyle name="20% - Accent5 3" xfId="90"/>
    <cellStyle name="20% - Accent5 3 2" xfId="91"/>
    <cellStyle name="20% - Accent5 3 3" xfId="7449"/>
    <cellStyle name="20% - Accent5 4" xfId="92"/>
    <cellStyle name="20% - Accent5 4 2" xfId="93"/>
    <cellStyle name="20% - Accent5 4 3" xfId="7450"/>
    <cellStyle name="20% - Accent5 5" xfId="94"/>
    <cellStyle name="20% - Accent5 5 2" xfId="95"/>
    <cellStyle name="20% - Accent5 5 3" xfId="7451"/>
    <cellStyle name="20% - Accent5 6" xfId="96"/>
    <cellStyle name="20% - Accent6 2" xfId="97"/>
    <cellStyle name="20% - Accent6 2 2" xfId="98"/>
    <cellStyle name="20% - Accent6 2 3" xfId="99"/>
    <cellStyle name="20% - Accent6 2 4" xfId="7452"/>
    <cellStyle name="20% - Accent6 3" xfId="100"/>
    <cellStyle name="20% - Accent6 3 2" xfId="101"/>
    <cellStyle name="20% - Accent6 3 3" xfId="7453"/>
    <cellStyle name="20% - Accent6 4" xfId="102"/>
    <cellStyle name="20% - Accent6 4 2" xfId="103"/>
    <cellStyle name="20% - Accent6 4 3" xfId="7454"/>
    <cellStyle name="20% - Accent6 5" xfId="104"/>
    <cellStyle name="20% - Accent6 5 2" xfId="105"/>
    <cellStyle name="20% - Accent6 5 3" xfId="7455"/>
    <cellStyle name="20% - Accent6 6" xfId="106"/>
    <cellStyle name="40% - Accent1 2" xfId="107"/>
    <cellStyle name="40% - Accent1 2 2" xfId="108"/>
    <cellStyle name="40% - Accent1 2 3" xfId="109"/>
    <cellStyle name="40% - Accent1 2 4" xfId="7456"/>
    <cellStyle name="40% - Accent1 3" xfId="110"/>
    <cellStyle name="40% - Accent1 3 2" xfId="111"/>
    <cellStyle name="40% - Accent1 3 3" xfId="7457"/>
    <cellStyle name="40% - Accent1 4" xfId="112"/>
    <cellStyle name="40% - Accent1 4 2" xfId="113"/>
    <cellStyle name="40% - Accent1 4 3" xfId="7458"/>
    <cellStyle name="40% - Accent1 5" xfId="114"/>
    <cellStyle name="40% - Accent1 5 2" xfId="115"/>
    <cellStyle name="40% - Accent1 5 3" xfId="7459"/>
    <cellStyle name="40% - Accent1 6" xfId="116"/>
    <cellStyle name="40% - Accent2 2" xfId="117"/>
    <cellStyle name="40% - Accent2 2 2" xfId="118"/>
    <cellStyle name="40% - Accent2 2 3" xfId="119"/>
    <cellStyle name="40% - Accent2 2 4" xfId="7460"/>
    <cellStyle name="40% - Accent2 3" xfId="120"/>
    <cellStyle name="40% - Accent2 3 2" xfId="121"/>
    <cellStyle name="40% - Accent2 3 3" xfId="7461"/>
    <cellStyle name="40% - Accent2 4" xfId="122"/>
    <cellStyle name="40% - Accent2 4 2" xfId="123"/>
    <cellStyle name="40% - Accent2 4 3" xfId="7462"/>
    <cellStyle name="40% - Accent2 5" xfId="124"/>
    <cellStyle name="40% - Accent2 5 2" xfId="125"/>
    <cellStyle name="40% - Accent2 5 3" xfId="7463"/>
    <cellStyle name="40% - Accent2 6" xfId="126"/>
    <cellStyle name="40% - Accent3 2" xfId="127"/>
    <cellStyle name="40% - Accent3 2 2" xfId="128"/>
    <cellStyle name="40% - Accent3 2 3" xfId="129"/>
    <cellStyle name="40% - Accent3 2 4" xfId="7464"/>
    <cellStyle name="40% - Accent3 3" xfId="130"/>
    <cellStyle name="40% - Accent3 3 2" xfId="131"/>
    <cellStyle name="40% - Accent3 3 3" xfId="7465"/>
    <cellStyle name="40% - Accent3 4" xfId="132"/>
    <cellStyle name="40% - Accent3 4 2" xfId="133"/>
    <cellStyle name="40% - Accent3 4 3" xfId="7466"/>
    <cellStyle name="40% - Accent3 5" xfId="134"/>
    <cellStyle name="40% - Accent3 5 2" xfId="135"/>
    <cellStyle name="40% - Accent3 5 3" xfId="7467"/>
    <cellStyle name="40% - Accent3 6" xfId="136"/>
    <cellStyle name="40% - Accent4 2" xfId="137"/>
    <cellStyle name="40% - Accent4 2 2" xfId="138"/>
    <cellStyle name="40% - Accent4 2 3" xfId="139"/>
    <cellStyle name="40% - Accent4 2 4" xfId="7468"/>
    <cellStyle name="40% - Accent4 3" xfId="140"/>
    <cellStyle name="40% - Accent4 3 2" xfId="141"/>
    <cellStyle name="40% - Accent4 3 3" xfId="7469"/>
    <cellStyle name="40% - Accent4 4" xfId="142"/>
    <cellStyle name="40% - Accent4 4 2" xfId="143"/>
    <cellStyle name="40% - Accent4 4 3" xfId="7470"/>
    <cellStyle name="40% - Accent4 5" xfId="144"/>
    <cellStyle name="40% - Accent4 5 2" xfId="145"/>
    <cellStyle name="40% - Accent4 5 3" xfId="7471"/>
    <cellStyle name="40% - Accent4 6" xfId="146"/>
    <cellStyle name="40% - Accent5 2" xfId="147"/>
    <cellStyle name="40% - Accent5 2 2" xfId="148"/>
    <cellStyle name="40% - Accent5 2 3" xfId="149"/>
    <cellStyle name="40% - Accent5 2 4" xfId="7472"/>
    <cellStyle name="40% - Accent5 3" xfId="150"/>
    <cellStyle name="40% - Accent5 3 2" xfId="151"/>
    <cellStyle name="40% - Accent5 3 3" xfId="7473"/>
    <cellStyle name="40% - Accent5 4" xfId="152"/>
    <cellStyle name="40% - Accent5 4 2" xfId="153"/>
    <cellStyle name="40% - Accent5 4 3" xfId="7474"/>
    <cellStyle name="40% - Accent5 5" xfId="154"/>
    <cellStyle name="40% - Accent5 5 2" xfId="155"/>
    <cellStyle name="40% - Accent5 5 3" xfId="7475"/>
    <cellStyle name="40% - Accent5 6" xfId="156"/>
    <cellStyle name="40% - Accent6 2" xfId="157"/>
    <cellStyle name="40% - Accent6 2 2" xfId="158"/>
    <cellStyle name="40% - Accent6 2 3" xfId="159"/>
    <cellStyle name="40% - Accent6 2 4" xfId="7476"/>
    <cellStyle name="40% - Accent6 3" xfId="160"/>
    <cellStyle name="40% - Accent6 3 2" xfId="161"/>
    <cellStyle name="40% - Accent6 3 3" xfId="7477"/>
    <cellStyle name="40% - Accent6 4" xfId="162"/>
    <cellStyle name="40% - Accent6 4 2" xfId="163"/>
    <cellStyle name="40% - Accent6 4 3" xfId="7478"/>
    <cellStyle name="40% - Accent6 5" xfId="164"/>
    <cellStyle name="40% - Accent6 5 2" xfId="165"/>
    <cellStyle name="40% - Accent6 5 3" xfId="7479"/>
    <cellStyle name="40% - Accent6 6" xfId="166"/>
    <cellStyle name="60% - Accent1 2" xfId="167"/>
    <cellStyle name="60% - Accent1 3" xfId="168"/>
    <cellStyle name="60% - Accent1 4" xfId="169"/>
    <cellStyle name="60% - Accent1 5" xfId="170"/>
    <cellStyle name="60% - Accent1 6" xfId="171"/>
    <cellStyle name="60% - Accent2 2" xfId="172"/>
    <cellStyle name="60% - Accent2 3" xfId="173"/>
    <cellStyle name="60% - Accent2 4" xfId="174"/>
    <cellStyle name="60% - Accent2 5" xfId="175"/>
    <cellStyle name="60% - Accent2 6" xfId="176"/>
    <cellStyle name="60% - Accent3 2" xfId="177"/>
    <cellStyle name="60% - Accent3 3" xfId="178"/>
    <cellStyle name="60% - Accent3 4" xfId="179"/>
    <cellStyle name="60% - Accent3 5" xfId="180"/>
    <cellStyle name="60% - Accent3 6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5 2" xfId="187"/>
    <cellStyle name="60% - Accent5 3" xfId="188"/>
    <cellStyle name="60% - Accent5 4" xfId="189"/>
    <cellStyle name="60% - Accent5 5" xfId="190"/>
    <cellStyle name="60% - Accent5 6" xfId="191"/>
    <cellStyle name="60% - Accent6 2" xfId="192"/>
    <cellStyle name="60% - Accent6 3" xfId="193"/>
    <cellStyle name="60% - Accent6 4" xfId="194"/>
    <cellStyle name="60% - Accent6 5" xfId="195"/>
    <cellStyle name="60% - Accent6 6" xfId="196"/>
    <cellStyle name="Accent1 2" xfId="197"/>
    <cellStyle name="Accent1 3" xfId="198"/>
    <cellStyle name="Accent1 4" xfId="199"/>
    <cellStyle name="Accent1 5" xfId="200"/>
    <cellStyle name="Accent1 6" xfId="201"/>
    <cellStyle name="Accent2 2" xfId="202"/>
    <cellStyle name="Accent2 3" xfId="203"/>
    <cellStyle name="Accent2 4" xfId="204"/>
    <cellStyle name="Accent2 5" xfId="205"/>
    <cellStyle name="Accent2 6" xfId="206"/>
    <cellStyle name="Accent3 2" xfId="207"/>
    <cellStyle name="Accent3 3" xfId="208"/>
    <cellStyle name="Accent3 4" xfId="209"/>
    <cellStyle name="Accent3 5" xfId="210"/>
    <cellStyle name="Accent3 6" xfId="211"/>
    <cellStyle name="Accent4 2" xfId="212"/>
    <cellStyle name="Accent4 3" xfId="213"/>
    <cellStyle name="Accent4 4" xfId="214"/>
    <cellStyle name="Accent4 5" xfId="215"/>
    <cellStyle name="Accent4 6" xfId="216"/>
    <cellStyle name="Accent5 2" xfId="217"/>
    <cellStyle name="Accent5 3" xfId="218"/>
    <cellStyle name="Accent5 4" xfId="219"/>
    <cellStyle name="Accent5 5" xfId="220"/>
    <cellStyle name="Accent5 6" xfId="221"/>
    <cellStyle name="Accent6 2" xfId="222"/>
    <cellStyle name="Accent6 3" xfId="223"/>
    <cellStyle name="Accent6 4" xfId="224"/>
    <cellStyle name="Accent6 5" xfId="225"/>
    <cellStyle name="Accent6 6" xfId="226"/>
    <cellStyle name="Account No." xfId="227"/>
    <cellStyle name="Account No. 2" xfId="228"/>
    <cellStyle name="adj detail" xfId="229"/>
    <cellStyle name="Allocated" xfId="230"/>
    <cellStyle name="Bad 2" xfId="231"/>
    <cellStyle name="Bad 3" xfId="232"/>
    <cellStyle name="Bad 4" xfId="233"/>
    <cellStyle name="Bad 5" xfId="234"/>
    <cellStyle name="Bad 6" xfId="235"/>
    <cellStyle name="Calculation 2" xfId="236"/>
    <cellStyle name="Calculation 3" xfId="237"/>
    <cellStyle name="Calculation 4" xfId="238"/>
    <cellStyle name="Calculation 5" xfId="239"/>
    <cellStyle name="Calculation 6" xfId="240"/>
    <cellStyle name="Check Cell 2" xfId="241"/>
    <cellStyle name="Check Cell 3" xfId="242"/>
    <cellStyle name="Check Cell 4" xfId="243"/>
    <cellStyle name="Check Cell 5" xfId="244"/>
    <cellStyle name="Check Cell 6" xfId="245"/>
    <cellStyle name="Col Cent" xfId="246"/>
    <cellStyle name="Col Cent Across" xfId="247"/>
    <cellStyle name="Col Head Cent" xfId="248"/>
    <cellStyle name="Col Head Cent 2" xfId="249"/>
    <cellStyle name="Comma" xfId="7550" builtinId="3"/>
    <cellStyle name="Comma [0] 2" xfId="250"/>
    <cellStyle name="Comma 10" xfId="251"/>
    <cellStyle name="Comma 11" xfId="252"/>
    <cellStyle name="Comma 12" xfId="253"/>
    <cellStyle name="Comma 13" xfId="254"/>
    <cellStyle name="Comma 14" xfId="255"/>
    <cellStyle name="Comma 15" xfId="256"/>
    <cellStyle name="Comma 16" xfId="257"/>
    <cellStyle name="Comma 17" xfId="258"/>
    <cellStyle name="Comma 18" xfId="259"/>
    <cellStyle name="Comma 18 2" xfId="260"/>
    <cellStyle name="Comma 18 3" xfId="261"/>
    <cellStyle name="Comma 19" xfId="262"/>
    <cellStyle name="Comma 2" xfId="32"/>
    <cellStyle name="Comma 2 10" xfId="263"/>
    <cellStyle name="Comma 2 10 2" xfId="264"/>
    <cellStyle name="Comma 2 10 2 2" xfId="265"/>
    <cellStyle name="Comma 2 10 3" xfId="266"/>
    <cellStyle name="Comma 2 100" xfId="267"/>
    <cellStyle name="Comma 2 101" xfId="268"/>
    <cellStyle name="Comma 2 102" xfId="269"/>
    <cellStyle name="Comma 2 103" xfId="270"/>
    <cellStyle name="Comma 2 104" xfId="271"/>
    <cellStyle name="Comma 2 105" xfId="272"/>
    <cellStyle name="Comma 2 106" xfId="273"/>
    <cellStyle name="Comma 2 107" xfId="274"/>
    <cellStyle name="Comma 2 108" xfId="275"/>
    <cellStyle name="Comma 2 109" xfId="276"/>
    <cellStyle name="Comma 2 11" xfId="277"/>
    <cellStyle name="Comma 2 11 2" xfId="278"/>
    <cellStyle name="Comma 2 11 2 2" xfId="279"/>
    <cellStyle name="Comma 2 11 3" xfId="280"/>
    <cellStyle name="Comma 2 110" xfId="281"/>
    <cellStyle name="Comma 2 111" xfId="282"/>
    <cellStyle name="Comma 2 112" xfId="283"/>
    <cellStyle name="Comma 2 113" xfId="284"/>
    <cellStyle name="Comma 2 114" xfId="285"/>
    <cellStyle name="Comma 2 115" xfId="286"/>
    <cellStyle name="Comma 2 116" xfId="287"/>
    <cellStyle name="Comma 2 117" xfId="288"/>
    <cellStyle name="Comma 2 118" xfId="289"/>
    <cellStyle name="Comma 2 119" xfId="290"/>
    <cellStyle name="Comma 2 12" xfId="291"/>
    <cellStyle name="Comma 2 12 2" xfId="292"/>
    <cellStyle name="Comma 2 12 2 2" xfId="293"/>
    <cellStyle name="Comma 2 12 3" xfId="294"/>
    <cellStyle name="Comma 2 120" xfId="295"/>
    <cellStyle name="Comma 2 121" xfId="296"/>
    <cellStyle name="Comma 2 122" xfId="297"/>
    <cellStyle name="Comma 2 123" xfId="298"/>
    <cellStyle name="Comma 2 124" xfId="299"/>
    <cellStyle name="Comma 2 125" xfId="300"/>
    <cellStyle name="Comma 2 126" xfId="301"/>
    <cellStyle name="Comma 2 127" xfId="302"/>
    <cellStyle name="Comma 2 128" xfId="303"/>
    <cellStyle name="Comma 2 129" xfId="304"/>
    <cellStyle name="Comma 2 13" xfId="305"/>
    <cellStyle name="Comma 2 13 2" xfId="306"/>
    <cellStyle name="Comma 2 13 2 2" xfId="307"/>
    <cellStyle name="Comma 2 13 3" xfId="308"/>
    <cellStyle name="Comma 2 130" xfId="309"/>
    <cellStyle name="Comma 2 131" xfId="310"/>
    <cellStyle name="Comma 2 132" xfId="311"/>
    <cellStyle name="Comma 2 133" xfId="312"/>
    <cellStyle name="Comma 2 134" xfId="313"/>
    <cellStyle name="Comma 2 135" xfId="314"/>
    <cellStyle name="Comma 2 136" xfId="315"/>
    <cellStyle name="Comma 2 137" xfId="316"/>
    <cellStyle name="Comma 2 138" xfId="317"/>
    <cellStyle name="Comma 2 139" xfId="318"/>
    <cellStyle name="Comma 2 14" xfId="319"/>
    <cellStyle name="Comma 2 14 2" xfId="320"/>
    <cellStyle name="Comma 2 14 2 2" xfId="321"/>
    <cellStyle name="Comma 2 14 3" xfId="322"/>
    <cellStyle name="Comma 2 140" xfId="323"/>
    <cellStyle name="Comma 2 141" xfId="324"/>
    <cellStyle name="Comma 2 142" xfId="325"/>
    <cellStyle name="Comma 2 143" xfId="326"/>
    <cellStyle name="Comma 2 144" xfId="327"/>
    <cellStyle name="Comma 2 145" xfId="328"/>
    <cellStyle name="Comma 2 146" xfId="329"/>
    <cellStyle name="Comma 2 147" xfId="330"/>
    <cellStyle name="Comma 2 148" xfId="331"/>
    <cellStyle name="Comma 2 149" xfId="332"/>
    <cellStyle name="Comma 2 15" xfId="333"/>
    <cellStyle name="Comma 2 15 2" xfId="334"/>
    <cellStyle name="Comma 2 15 2 2" xfId="335"/>
    <cellStyle name="Comma 2 15 3" xfId="336"/>
    <cellStyle name="Comma 2 150" xfId="337"/>
    <cellStyle name="Comma 2 151" xfId="338"/>
    <cellStyle name="Comma 2 152" xfId="339"/>
    <cellStyle name="Comma 2 153" xfId="340"/>
    <cellStyle name="Comma 2 16" xfId="341"/>
    <cellStyle name="Comma 2 16 2" xfId="342"/>
    <cellStyle name="Comma 2 16 2 2" xfId="343"/>
    <cellStyle name="Comma 2 16 3" xfId="344"/>
    <cellStyle name="Comma 2 17" xfId="345"/>
    <cellStyle name="Comma 2 17 2" xfId="346"/>
    <cellStyle name="Comma 2 18" xfId="347"/>
    <cellStyle name="Comma 2 18 2" xfId="348"/>
    <cellStyle name="Comma 2 19" xfId="349"/>
    <cellStyle name="Comma 2 19 2" xfId="350"/>
    <cellStyle name="Comma 2 2" xfId="351"/>
    <cellStyle name="Comma 2 2 10" xfId="352"/>
    <cellStyle name="Comma 2 2 10 2" xfId="353"/>
    <cellStyle name="Comma 2 2 11" xfId="354"/>
    <cellStyle name="Comma 2 2 11 2" xfId="355"/>
    <cellStyle name="Comma 2 2 12" xfId="356"/>
    <cellStyle name="Comma 2 2 12 2" xfId="357"/>
    <cellStyle name="Comma 2 2 12 2 2" xfId="358"/>
    <cellStyle name="Comma 2 2 12 3" xfId="359"/>
    <cellStyle name="Comma 2 2 13" xfId="360"/>
    <cellStyle name="Comma 2 2 13 2" xfId="361"/>
    <cellStyle name="Comma 2 2 14" xfId="362"/>
    <cellStyle name="Comma 2 2 14 2" xfId="363"/>
    <cellStyle name="Comma 2 2 14 2 2" xfId="364"/>
    <cellStyle name="Comma 2 2 14 3" xfId="365"/>
    <cellStyle name="Comma 2 2 15" xfId="366"/>
    <cellStyle name="Comma 2 2 15 2" xfId="367"/>
    <cellStyle name="Comma 2 2 15 2 2" xfId="368"/>
    <cellStyle name="Comma 2 2 15 3" xfId="369"/>
    <cellStyle name="Comma 2 2 16" xfId="370"/>
    <cellStyle name="Comma 2 2 16 2" xfId="371"/>
    <cellStyle name="Comma 2 2 16 2 2" xfId="372"/>
    <cellStyle name="Comma 2 2 16 3" xfId="373"/>
    <cellStyle name="Comma 2 2 17" xfId="374"/>
    <cellStyle name="Comma 2 2 17 2" xfId="375"/>
    <cellStyle name="Comma 2 2 17 2 2" xfId="376"/>
    <cellStyle name="Comma 2 2 17 3" xfId="377"/>
    <cellStyle name="Comma 2 2 18" xfId="378"/>
    <cellStyle name="Comma 2 2 18 2" xfId="379"/>
    <cellStyle name="Comma 2 2 19" xfId="380"/>
    <cellStyle name="Comma 2 2 2" xfId="381"/>
    <cellStyle name="Comma 2 2 2 10" xfId="382"/>
    <cellStyle name="Comma 2 2 2 11" xfId="383"/>
    <cellStyle name="Comma 2 2 2 12" xfId="384"/>
    <cellStyle name="Comma 2 2 2 13" xfId="385"/>
    <cellStyle name="Comma 2 2 2 14" xfId="386"/>
    <cellStyle name="Comma 2 2 2 15" xfId="387"/>
    <cellStyle name="Comma 2 2 2 16" xfId="388"/>
    <cellStyle name="Comma 2 2 2 17" xfId="389"/>
    <cellStyle name="Comma 2 2 2 18" xfId="390"/>
    <cellStyle name="Comma 2 2 2 18 2" xfId="391"/>
    <cellStyle name="Comma 2 2 2 19" xfId="392"/>
    <cellStyle name="Comma 2 2 2 2" xfId="393"/>
    <cellStyle name="Comma 2 2 2 2 10" xfId="394"/>
    <cellStyle name="Comma 2 2 2 2 10 2" xfId="395"/>
    <cellStyle name="Comma 2 2 2 2 10 2 2" xfId="396"/>
    <cellStyle name="Comma 2 2 2 2 10 3" xfId="397"/>
    <cellStyle name="Comma 2 2 2 2 11" xfId="398"/>
    <cellStyle name="Comma 2 2 2 2 11 2" xfId="399"/>
    <cellStyle name="Comma 2 2 2 2 11 2 2" xfId="400"/>
    <cellStyle name="Comma 2 2 2 2 11 3" xfId="401"/>
    <cellStyle name="Comma 2 2 2 2 12" xfId="402"/>
    <cellStyle name="Comma 2 2 2 2 12 2" xfId="403"/>
    <cellStyle name="Comma 2 2 2 2 12 2 2" xfId="404"/>
    <cellStyle name="Comma 2 2 2 2 12 3" xfId="405"/>
    <cellStyle name="Comma 2 2 2 2 13" xfId="406"/>
    <cellStyle name="Comma 2 2 2 2 13 2" xfId="407"/>
    <cellStyle name="Comma 2 2 2 2 13 2 2" xfId="408"/>
    <cellStyle name="Comma 2 2 2 2 13 3" xfId="409"/>
    <cellStyle name="Comma 2 2 2 2 14" xfId="410"/>
    <cellStyle name="Comma 2 2 2 2 14 2" xfId="411"/>
    <cellStyle name="Comma 2 2 2 2 14 2 2" xfId="412"/>
    <cellStyle name="Comma 2 2 2 2 14 3" xfId="413"/>
    <cellStyle name="Comma 2 2 2 2 15" xfId="414"/>
    <cellStyle name="Comma 2 2 2 2 15 2" xfId="415"/>
    <cellStyle name="Comma 2 2 2 2 15 2 2" xfId="416"/>
    <cellStyle name="Comma 2 2 2 2 15 3" xfId="417"/>
    <cellStyle name="Comma 2 2 2 2 16" xfId="418"/>
    <cellStyle name="Comma 2 2 2 2 16 2" xfId="419"/>
    <cellStyle name="Comma 2 2 2 2 16 2 2" xfId="420"/>
    <cellStyle name="Comma 2 2 2 2 16 3" xfId="421"/>
    <cellStyle name="Comma 2 2 2 2 17" xfId="422"/>
    <cellStyle name="Comma 2 2 2 2 17 2" xfId="423"/>
    <cellStyle name="Comma 2 2 2 2 17 2 2" xfId="424"/>
    <cellStyle name="Comma 2 2 2 2 17 3" xfId="425"/>
    <cellStyle name="Comma 2 2 2 2 2" xfId="426"/>
    <cellStyle name="Comma 2 2 2 2 2 2" xfId="427"/>
    <cellStyle name="Comma 2 2 2 2 2 2 2" xfId="428"/>
    <cellStyle name="Comma 2 2 2 2 2 2 2 2" xfId="429"/>
    <cellStyle name="Comma 2 2 2 2 2 2 2 2 2" xfId="430"/>
    <cellStyle name="Comma 2 2 2 2 2 2 2 3" xfId="431"/>
    <cellStyle name="Comma 2 2 2 2 2 2 3" xfId="432"/>
    <cellStyle name="Comma 2 2 2 2 2 2 3 2" xfId="433"/>
    <cellStyle name="Comma 2 2 2 2 2 2 3 2 2" xfId="434"/>
    <cellStyle name="Comma 2 2 2 2 2 2 3 3" xfId="435"/>
    <cellStyle name="Comma 2 2 2 2 2 2 4" xfId="436"/>
    <cellStyle name="Comma 2 2 2 2 2 2 4 2" xfId="437"/>
    <cellStyle name="Comma 2 2 2 2 2 2 4 2 2" xfId="438"/>
    <cellStyle name="Comma 2 2 2 2 2 2 4 3" xfId="439"/>
    <cellStyle name="Comma 2 2 2 2 2 2 5" xfId="440"/>
    <cellStyle name="Comma 2 2 2 2 2 2 5 2" xfId="441"/>
    <cellStyle name="Comma 2 2 2 2 2 2 5 2 2" xfId="442"/>
    <cellStyle name="Comma 2 2 2 2 2 2 5 3" xfId="443"/>
    <cellStyle name="Comma 2 2 2 2 2 3" xfId="444"/>
    <cellStyle name="Comma 2 2 2 2 2 4" xfId="445"/>
    <cellStyle name="Comma 2 2 2 2 2 5" xfId="446"/>
    <cellStyle name="Comma 2 2 2 2 2 6" xfId="447"/>
    <cellStyle name="Comma 2 2 2 2 2 6 2" xfId="448"/>
    <cellStyle name="Comma 2 2 2 2 2 7" xfId="449"/>
    <cellStyle name="Comma 2 2 2 2 3" xfId="450"/>
    <cellStyle name="Comma 2 2 2 2 3 2" xfId="451"/>
    <cellStyle name="Comma 2 2 2 2 3 2 2" xfId="452"/>
    <cellStyle name="Comma 2 2 2 2 3 3" xfId="453"/>
    <cellStyle name="Comma 2 2 2 2 4" xfId="454"/>
    <cellStyle name="Comma 2 2 2 2 4 2" xfId="455"/>
    <cellStyle name="Comma 2 2 2 2 4 2 2" xfId="456"/>
    <cellStyle name="Comma 2 2 2 2 4 3" xfId="457"/>
    <cellStyle name="Comma 2 2 2 2 5" xfId="458"/>
    <cellStyle name="Comma 2 2 2 2 5 2" xfId="459"/>
    <cellStyle name="Comma 2 2 2 2 5 2 2" xfId="460"/>
    <cellStyle name="Comma 2 2 2 2 5 3" xfId="461"/>
    <cellStyle name="Comma 2 2 2 2 6" xfId="462"/>
    <cellStyle name="Comma 2 2 2 2 6 2" xfId="463"/>
    <cellStyle name="Comma 2 2 2 2 6 2 2" xfId="464"/>
    <cellStyle name="Comma 2 2 2 2 6 3" xfId="465"/>
    <cellStyle name="Comma 2 2 2 2 7" xfId="466"/>
    <cellStyle name="Comma 2 2 2 2 7 2" xfId="467"/>
    <cellStyle name="Comma 2 2 2 2 7 2 2" xfId="468"/>
    <cellStyle name="Comma 2 2 2 2 7 3" xfId="469"/>
    <cellStyle name="Comma 2 2 2 2 8" xfId="470"/>
    <cellStyle name="Comma 2 2 2 2 8 2" xfId="471"/>
    <cellStyle name="Comma 2 2 2 2 8 2 2" xfId="472"/>
    <cellStyle name="Comma 2 2 2 2 8 3" xfId="473"/>
    <cellStyle name="Comma 2 2 2 2 9" xfId="474"/>
    <cellStyle name="Comma 2 2 2 2 9 2" xfId="475"/>
    <cellStyle name="Comma 2 2 2 2 9 2 2" xfId="476"/>
    <cellStyle name="Comma 2 2 2 2 9 3" xfId="477"/>
    <cellStyle name="Comma 2 2 2 3" xfId="478"/>
    <cellStyle name="Comma 2 2 2 4" xfId="479"/>
    <cellStyle name="Comma 2 2 2 5" xfId="480"/>
    <cellStyle name="Comma 2 2 2 6" xfId="481"/>
    <cellStyle name="Comma 2 2 2 7" xfId="482"/>
    <cellStyle name="Comma 2 2 2 8" xfId="483"/>
    <cellStyle name="Comma 2 2 2 9" xfId="484"/>
    <cellStyle name="Comma 2 2 20" xfId="485"/>
    <cellStyle name="Comma 2 2 20 2" xfId="486"/>
    <cellStyle name="Comma 2 2 21" xfId="7480"/>
    <cellStyle name="Comma 2 2 3" xfId="487"/>
    <cellStyle name="Comma 2 2 3 2" xfId="488"/>
    <cellStyle name="Comma 2 2 3 2 2" xfId="489"/>
    <cellStyle name="Comma 2 2 3 3" xfId="490"/>
    <cellStyle name="Comma 2 2 4" xfId="491"/>
    <cellStyle name="Comma 2 2 4 2" xfId="492"/>
    <cellStyle name="Comma 2 2 4 2 2" xfId="493"/>
    <cellStyle name="Comma 2 2 4 3" xfId="494"/>
    <cellStyle name="Comma 2 2 5" xfId="495"/>
    <cellStyle name="Comma 2 2 5 2" xfId="496"/>
    <cellStyle name="Comma 2 2 5 2 2" xfId="497"/>
    <cellStyle name="Comma 2 2 5 3" xfId="498"/>
    <cellStyle name="Comma 2 2 6" xfId="499"/>
    <cellStyle name="Comma 2 2 6 2" xfId="500"/>
    <cellStyle name="Comma 2 2 6 2 2" xfId="501"/>
    <cellStyle name="Comma 2 2 6 3" xfId="502"/>
    <cellStyle name="Comma 2 2 7" xfId="503"/>
    <cellStyle name="Comma 2 2 7 2" xfId="504"/>
    <cellStyle name="Comma 2 2 7 2 2" xfId="505"/>
    <cellStyle name="Comma 2 2 7 3" xfId="506"/>
    <cellStyle name="Comma 2 2 8" xfId="507"/>
    <cellStyle name="Comma 2 2 8 2" xfId="508"/>
    <cellStyle name="Comma 2 2 8 2 2" xfId="509"/>
    <cellStyle name="Comma 2 2 8 3" xfId="510"/>
    <cellStyle name="Comma 2 2 9" xfId="511"/>
    <cellStyle name="Comma 2 2 9 2" xfId="512"/>
    <cellStyle name="Comma 2 20" xfId="513"/>
    <cellStyle name="Comma 2 20 2" xfId="514"/>
    <cellStyle name="Comma 2 21" xfId="515"/>
    <cellStyle name="Comma 2 21 2" xfId="516"/>
    <cellStyle name="Comma 2 22" xfId="517"/>
    <cellStyle name="Comma 2 22 2" xfId="518"/>
    <cellStyle name="Comma 2 23" xfId="519"/>
    <cellStyle name="Comma 2 23 2" xfId="520"/>
    <cellStyle name="Comma 2 24" xfId="521"/>
    <cellStyle name="Comma 2 24 2" xfId="522"/>
    <cellStyle name="Comma 2 25" xfId="523"/>
    <cellStyle name="Comma 2 25 2" xfId="524"/>
    <cellStyle name="Comma 2 26" xfId="525"/>
    <cellStyle name="Comma 2 26 2" xfId="526"/>
    <cellStyle name="Comma 2 27" xfId="527"/>
    <cellStyle name="Comma 2 27 2" xfId="528"/>
    <cellStyle name="Comma 2 28" xfId="529"/>
    <cellStyle name="Comma 2 28 2" xfId="530"/>
    <cellStyle name="Comma 2 29" xfId="531"/>
    <cellStyle name="Comma 2 29 2" xfId="532"/>
    <cellStyle name="Comma 2 3" xfId="533"/>
    <cellStyle name="Comma 2 3 2" xfId="534"/>
    <cellStyle name="Comma 2 3 2 2" xfId="535"/>
    <cellStyle name="Comma 2 3 3" xfId="536"/>
    <cellStyle name="Comma 2 30" xfId="537"/>
    <cellStyle name="Comma 2 30 2" xfId="538"/>
    <cellStyle name="Comma 2 31" xfId="539"/>
    <cellStyle name="Comma 2 31 2" xfId="540"/>
    <cellStyle name="Comma 2 32" xfId="541"/>
    <cellStyle name="Comma 2 32 2" xfId="542"/>
    <cellStyle name="Comma 2 33" xfId="543"/>
    <cellStyle name="Comma 2 33 2" xfId="544"/>
    <cellStyle name="Comma 2 34" xfId="545"/>
    <cellStyle name="Comma 2 34 2" xfId="546"/>
    <cellStyle name="Comma 2 35" xfId="547"/>
    <cellStyle name="Comma 2 35 2" xfId="548"/>
    <cellStyle name="Comma 2 36" xfId="549"/>
    <cellStyle name="Comma 2 36 2" xfId="550"/>
    <cellStyle name="Comma 2 37" xfId="551"/>
    <cellStyle name="Comma 2 37 2" xfId="552"/>
    <cellStyle name="Comma 2 38" xfId="553"/>
    <cellStyle name="Comma 2 38 2" xfId="554"/>
    <cellStyle name="Comma 2 39" xfId="555"/>
    <cellStyle name="Comma 2 39 2" xfId="556"/>
    <cellStyle name="Comma 2 4" xfId="557"/>
    <cellStyle name="Comma 2 4 2" xfId="558"/>
    <cellStyle name="Comma 2 4 2 2" xfId="559"/>
    <cellStyle name="Comma 2 4 3" xfId="560"/>
    <cellStyle name="Comma 2 40" xfId="561"/>
    <cellStyle name="Comma 2 40 2" xfId="562"/>
    <cellStyle name="Comma 2 41" xfId="563"/>
    <cellStyle name="Comma 2 41 2" xfId="564"/>
    <cellStyle name="Comma 2 42" xfId="565"/>
    <cellStyle name="Comma 2 42 2" xfId="566"/>
    <cellStyle name="Comma 2 43" xfId="567"/>
    <cellStyle name="Comma 2 43 2" xfId="568"/>
    <cellStyle name="Comma 2 44" xfId="569"/>
    <cellStyle name="Comma 2 44 2" xfId="570"/>
    <cellStyle name="Comma 2 45" xfId="571"/>
    <cellStyle name="Comma 2 45 2" xfId="572"/>
    <cellStyle name="Comma 2 46" xfId="573"/>
    <cellStyle name="Comma 2 46 2" xfId="574"/>
    <cellStyle name="Comma 2 47" xfId="575"/>
    <cellStyle name="Comma 2 47 2" xfId="576"/>
    <cellStyle name="Comma 2 48" xfId="577"/>
    <cellStyle name="Comma 2 48 2" xfId="578"/>
    <cellStyle name="Comma 2 49" xfId="579"/>
    <cellStyle name="Comma 2 49 2" xfId="580"/>
    <cellStyle name="Comma 2 5" xfId="581"/>
    <cellStyle name="Comma 2 5 2" xfId="582"/>
    <cellStyle name="Comma 2 5 2 2" xfId="583"/>
    <cellStyle name="Comma 2 5 3" xfId="584"/>
    <cellStyle name="Comma 2 50" xfId="585"/>
    <cellStyle name="Comma 2 50 2" xfId="586"/>
    <cellStyle name="Comma 2 51" xfId="587"/>
    <cellStyle name="Comma 2 51 2" xfId="588"/>
    <cellStyle name="Comma 2 52" xfId="589"/>
    <cellStyle name="Comma 2 52 2" xfId="590"/>
    <cellStyle name="Comma 2 53" xfId="591"/>
    <cellStyle name="Comma 2 53 2" xfId="592"/>
    <cellStyle name="Comma 2 54" xfId="593"/>
    <cellStyle name="Comma 2 54 2" xfId="594"/>
    <cellStyle name="Comma 2 55" xfId="595"/>
    <cellStyle name="Comma 2 55 2" xfId="596"/>
    <cellStyle name="Comma 2 56" xfId="597"/>
    <cellStyle name="Comma 2 56 2" xfId="598"/>
    <cellStyle name="Comma 2 57" xfId="599"/>
    <cellStyle name="Comma 2 57 2" xfId="600"/>
    <cellStyle name="Comma 2 58" xfId="601"/>
    <cellStyle name="Comma 2 58 2" xfId="602"/>
    <cellStyle name="Comma 2 59" xfId="603"/>
    <cellStyle name="Comma 2 59 2" xfId="604"/>
    <cellStyle name="Comma 2 6" xfId="605"/>
    <cellStyle name="Comma 2 6 2" xfId="606"/>
    <cellStyle name="Comma 2 6 2 2" xfId="607"/>
    <cellStyle name="Comma 2 6 3" xfId="608"/>
    <cellStyle name="Comma 2 60" xfId="609"/>
    <cellStyle name="Comma 2 60 2" xfId="610"/>
    <cellStyle name="Comma 2 61" xfId="611"/>
    <cellStyle name="Comma 2 61 2" xfId="612"/>
    <cellStyle name="Comma 2 62" xfId="613"/>
    <cellStyle name="Comma 2 63" xfId="614"/>
    <cellStyle name="Comma 2 64" xfId="615"/>
    <cellStyle name="Comma 2 65" xfId="616"/>
    <cellStyle name="Comma 2 66" xfId="617"/>
    <cellStyle name="Comma 2 67" xfId="618"/>
    <cellStyle name="Comma 2 68" xfId="619"/>
    <cellStyle name="Comma 2 68 2" xfId="620"/>
    <cellStyle name="Comma 2 69" xfId="621"/>
    <cellStyle name="Comma 2 7" xfId="622"/>
    <cellStyle name="Comma 2 7 2" xfId="623"/>
    <cellStyle name="Comma 2 7 2 2" xfId="624"/>
    <cellStyle name="Comma 2 7 3" xfId="625"/>
    <cellStyle name="Comma 2 70" xfId="626"/>
    <cellStyle name="Comma 2 71" xfId="627"/>
    <cellStyle name="Comma 2 72" xfId="628"/>
    <cellStyle name="Comma 2 73" xfId="629"/>
    <cellStyle name="Comma 2 74" xfId="630"/>
    <cellStyle name="Comma 2 75" xfId="631"/>
    <cellStyle name="Comma 2 76" xfId="632"/>
    <cellStyle name="Comma 2 77" xfId="633"/>
    <cellStyle name="Comma 2 78" xfId="634"/>
    <cellStyle name="Comma 2 79" xfId="635"/>
    <cellStyle name="Comma 2 8" xfId="636"/>
    <cellStyle name="Comma 2 8 2" xfId="637"/>
    <cellStyle name="Comma 2 8 2 2" xfId="638"/>
    <cellStyle name="Comma 2 8 3" xfId="639"/>
    <cellStyle name="Comma 2 80" xfId="640"/>
    <cellStyle name="Comma 2 81" xfId="641"/>
    <cellStyle name="Comma 2 82" xfId="642"/>
    <cellStyle name="Comma 2 83" xfId="643"/>
    <cellStyle name="Comma 2 84" xfId="644"/>
    <cellStyle name="Comma 2 85" xfId="645"/>
    <cellStyle name="Comma 2 86" xfId="646"/>
    <cellStyle name="Comma 2 87" xfId="647"/>
    <cellStyle name="Comma 2 88" xfId="648"/>
    <cellStyle name="Comma 2 89" xfId="649"/>
    <cellStyle name="Comma 2 9" xfId="650"/>
    <cellStyle name="Comma 2 9 2" xfId="651"/>
    <cellStyle name="Comma 2 9 2 2" xfId="652"/>
    <cellStyle name="Comma 2 9 3" xfId="653"/>
    <cellStyle name="Comma 2 90" xfId="654"/>
    <cellStyle name="Comma 2 91" xfId="655"/>
    <cellStyle name="Comma 2 92" xfId="656"/>
    <cellStyle name="Comma 2 93" xfId="657"/>
    <cellStyle name="Comma 2 94" xfId="658"/>
    <cellStyle name="Comma 2 95" xfId="659"/>
    <cellStyle name="Comma 2 96" xfId="660"/>
    <cellStyle name="Comma 2 97" xfId="661"/>
    <cellStyle name="Comma 2 98" xfId="662"/>
    <cellStyle name="Comma 2 99" xfId="663"/>
    <cellStyle name="Comma 20" xfId="664"/>
    <cellStyle name="Comma 21" xfId="665"/>
    <cellStyle name="Comma 22" xfId="666"/>
    <cellStyle name="Comma 23" xfId="667"/>
    <cellStyle name="Comma 24" xfId="668"/>
    <cellStyle name="Comma 25" xfId="669"/>
    <cellStyle name="Comma 26" xfId="670"/>
    <cellStyle name="Comma 27" xfId="671"/>
    <cellStyle name="Comma 28" xfId="672"/>
    <cellStyle name="Comma 29" xfId="673"/>
    <cellStyle name="Comma 3" xfId="674"/>
    <cellStyle name="Comma 3 10" xfId="675"/>
    <cellStyle name="Comma 3 10 2" xfId="676"/>
    <cellStyle name="Comma 3 10 2 2" xfId="677"/>
    <cellStyle name="Comma 3 10 3" xfId="678"/>
    <cellStyle name="Comma 3 100" xfId="679"/>
    <cellStyle name="Comma 3 101" xfId="680"/>
    <cellStyle name="Comma 3 102" xfId="681"/>
    <cellStyle name="Comma 3 103" xfId="682"/>
    <cellStyle name="Comma 3 104" xfId="683"/>
    <cellStyle name="Comma 3 105" xfId="684"/>
    <cellStyle name="Comma 3 106" xfId="685"/>
    <cellStyle name="Comma 3 107" xfId="686"/>
    <cellStyle name="Comma 3 108" xfId="687"/>
    <cellStyle name="Comma 3 109" xfId="688"/>
    <cellStyle name="Comma 3 11" xfId="689"/>
    <cellStyle name="Comma 3 11 2" xfId="690"/>
    <cellStyle name="Comma 3 11 2 2" xfId="691"/>
    <cellStyle name="Comma 3 11 3" xfId="692"/>
    <cellStyle name="Comma 3 110" xfId="693"/>
    <cellStyle name="Comma 3 111" xfId="694"/>
    <cellStyle name="Comma 3 112" xfId="695"/>
    <cellStyle name="Comma 3 113" xfId="696"/>
    <cellStyle name="Comma 3 114" xfId="697"/>
    <cellStyle name="Comma 3 115" xfId="698"/>
    <cellStyle name="Comma 3 116" xfId="699"/>
    <cellStyle name="Comma 3 117" xfId="700"/>
    <cellStyle name="Comma 3 118" xfId="701"/>
    <cellStyle name="Comma 3 119" xfId="702"/>
    <cellStyle name="Comma 3 12" xfId="703"/>
    <cellStyle name="Comma 3 12 2" xfId="704"/>
    <cellStyle name="Comma 3 12 2 2" xfId="705"/>
    <cellStyle name="Comma 3 12 3" xfId="706"/>
    <cellStyle name="Comma 3 120" xfId="707"/>
    <cellStyle name="Comma 3 121" xfId="708"/>
    <cellStyle name="Comma 3 122" xfId="709"/>
    <cellStyle name="Comma 3 123" xfId="710"/>
    <cellStyle name="Comma 3 124" xfId="711"/>
    <cellStyle name="Comma 3 125" xfId="712"/>
    <cellStyle name="Comma 3 126" xfId="713"/>
    <cellStyle name="Comma 3 127" xfId="714"/>
    <cellStyle name="Comma 3 128" xfId="715"/>
    <cellStyle name="Comma 3 129" xfId="716"/>
    <cellStyle name="Comma 3 13" xfId="717"/>
    <cellStyle name="Comma 3 13 2" xfId="718"/>
    <cellStyle name="Comma 3 13 2 2" xfId="719"/>
    <cellStyle name="Comma 3 13 3" xfId="720"/>
    <cellStyle name="Comma 3 130" xfId="721"/>
    <cellStyle name="Comma 3 131" xfId="722"/>
    <cellStyle name="Comma 3 132" xfId="723"/>
    <cellStyle name="Comma 3 133" xfId="724"/>
    <cellStyle name="Comma 3 134" xfId="725"/>
    <cellStyle name="Comma 3 135" xfId="726"/>
    <cellStyle name="Comma 3 136" xfId="727"/>
    <cellStyle name="Comma 3 137" xfId="728"/>
    <cellStyle name="Comma 3 138" xfId="729"/>
    <cellStyle name="Comma 3 139" xfId="730"/>
    <cellStyle name="Comma 3 14" xfId="731"/>
    <cellStyle name="Comma 3 14 2" xfId="732"/>
    <cellStyle name="Comma 3 14 2 2" xfId="733"/>
    <cellStyle name="Comma 3 14 3" xfId="734"/>
    <cellStyle name="Comma 3 140" xfId="735"/>
    <cellStyle name="Comma 3 141" xfId="736"/>
    <cellStyle name="Comma 3 142" xfId="737"/>
    <cellStyle name="Comma 3 143" xfId="738"/>
    <cellStyle name="Comma 3 144" xfId="739"/>
    <cellStyle name="Comma 3 145" xfId="740"/>
    <cellStyle name="Comma 3 146" xfId="741"/>
    <cellStyle name="Comma 3 147" xfId="742"/>
    <cellStyle name="Comma 3 148" xfId="743"/>
    <cellStyle name="Comma 3 149" xfId="744"/>
    <cellStyle name="Comma 3 15" xfId="745"/>
    <cellStyle name="Comma 3 15 2" xfId="746"/>
    <cellStyle name="Comma 3 15 2 2" xfId="747"/>
    <cellStyle name="Comma 3 15 3" xfId="748"/>
    <cellStyle name="Comma 3 150" xfId="749"/>
    <cellStyle name="Comma 3 151" xfId="750"/>
    <cellStyle name="Comma 3 152" xfId="7418"/>
    <cellStyle name="Comma 3 16" xfId="751"/>
    <cellStyle name="Comma 3 16 2" xfId="752"/>
    <cellStyle name="Comma 3 16 2 2" xfId="753"/>
    <cellStyle name="Comma 3 16 3" xfId="754"/>
    <cellStyle name="Comma 3 17" xfId="755"/>
    <cellStyle name="Comma 3 17 2" xfId="756"/>
    <cellStyle name="Comma 3 17 2 2" xfId="757"/>
    <cellStyle name="Comma 3 17 3" xfId="758"/>
    <cellStyle name="Comma 3 18" xfId="759"/>
    <cellStyle name="Comma 3 18 2" xfId="760"/>
    <cellStyle name="Comma 3 18 2 2" xfId="761"/>
    <cellStyle name="Comma 3 18 3" xfId="762"/>
    <cellStyle name="Comma 3 19" xfId="763"/>
    <cellStyle name="Comma 3 19 2" xfId="764"/>
    <cellStyle name="Comma 3 19 3" xfId="765"/>
    <cellStyle name="Comma 3 2" xfId="766"/>
    <cellStyle name="Comma 3 2 10" xfId="767"/>
    <cellStyle name="Comma 3 2 10 2" xfId="768"/>
    <cellStyle name="Comma 3 2 11" xfId="769"/>
    <cellStyle name="Comma 3 2 11 2" xfId="770"/>
    <cellStyle name="Comma 3 2 12" xfId="771"/>
    <cellStyle name="Comma 3 2 12 2" xfId="772"/>
    <cellStyle name="Comma 3 2 12 2 2" xfId="773"/>
    <cellStyle name="Comma 3 2 12 3" xfId="774"/>
    <cellStyle name="Comma 3 2 13" xfId="775"/>
    <cellStyle name="Comma 3 2 13 2" xfId="776"/>
    <cellStyle name="Comma 3 2 14" xfId="777"/>
    <cellStyle name="Comma 3 2 14 2" xfId="778"/>
    <cellStyle name="Comma 3 2 14 2 2" xfId="779"/>
    <cellStyle name="Comma 3 2 14 3" xfId="780"/>
    <cellStyle name="Comma 3 2 15" xfId="781"/>
    <cellStyle name="Comma 3 2 15 2" xfId="782"/>
    <cellStyle name="Comma 3 2 15 2 2" xfId="783"/>
    <cellStyle name="Comma 3 2 15 3" xfId="784"/>
    <cellStyle name="Comma 3 2 16" xfId="785"/>
    <cellStyle name="Comma 3 2 16 2" xfId="786"/>
    <cellStyle name="Comma 3 2 16 2 2" xfId="787"/>
    <cellStyle name="Comma 3 2 16 3" xfId="788"/>
    <cellStyle name="Comma 3 2 17" xfId="789"/>
    <cellStyle name="Comma 3 2 17 2" xfId="790"/>
    <cellStyle name="Comma 3 2 17 2 2" xfId="791"/>
    <cellStyle name="Comma 3 2 17 3" xfId="792"/>
    <cellStyle name="Comma 3 2 18" xfId="793"/>
    <cellStyle name="Comma 3 2 19" xfId="794"/>
    <cellStyle name="Comma 3 2 2" xfId="795"/>
    <cellStyle name="Comma 3 2 2 10" xfId="796"/>
    <cellStyle name="Comma 3 2 2 11" xfId="797"/>
    <cellStyle name="Comma 3 2 2 12" xfId="798"/>
    <cellStyle name="Comma 3 2 2 13" xfId="799"/>
    <cellStyle name="Comma 3 2 2 14" xfId="800"/>
    <cellStyle name="Comma 3 2 2 15" xfId="801"/>
    <cellStyle name="Comma 3 2 2 16" xfId="802"/>
    <cellStyle name="Comma 3 2 2 17" xfId="803"/>
    <cellStyle name="Comma 3 2 2 18" xfId="804"/>
    <cellStyle name="Comma 3 2 2 18 2" xfId="805"/>
    <cellStyle name="Comma 3 2 2 19" xfId="806"/>
    <cellStyle name="Comma 3 2 2 2" xfId="807"/>
    <cellStyle name="Comma 3 2 2 2 10" xfId="808"/>
    <cellStyle name="Comma 3 2 2 2 10 2" xfId="809"/>
    <cellStyle name="Comma 3 2 2 2 10 2 2" xfId="810"/>
    <cellStyle name="Comma 3 2 2 2 10 3" xfId="811"/>
    <cellStyle name="Comma 3 2 2 2 11" xfId="812"/>
    <cellStyle name="Comma 3 2 2 2 11 2" xfId="813"/>
    <cellStyle name="Comma 3 2 2 2 11 2 2" xfId="814"/>
    <cellStyle name="Comma 3 2 2 2 11 3" xfId="815"/>
    <cellStyle name="Comma 3 2 2 2 12" xfId="816"/>
    <cellStyle name="Comma 3 2 2 2 12 2" xfId="817"/>
    <cellStyle name="Comma 3 2 2 2 12 2 2" xfId="818"/>
    <cellStyle name="Comma 3 2 2 2 12 3" xfId="819"/>
    <cellStyle name="Comma 3 2 2 2 13" xfId="820"/>
    <cellStyle name="Comma 3 2 2 2 13 2" xfId="821"/>
    <cellStyle name="Comma 3 2 2 2 13 2 2" xfId="822"/>
    <cellStyle name="Comma 3 2 2 2 13 3" xfId="823"/>
    <cellStyle name="Comma 3 2 2 2 14" xfId="824"/>
    <cellStyle name="Comma 3 2 2 2 14 2" xfId="825"/>
    <cellStyle name="Comma 3 2 2 2 14 2 2" xfId="826"/>
    <cellStyle name="Comma 3 2 2 2 14 3" xfId="827"/>
    <cellStyle name="Comma 3 2 2 2 15" xfId="828"/>
    <cellStyle name="Comma 3 2 2 2 15 2" xfId="829"/>
    <cellStyle name="Comma 3 2 2 2 15 2 2" xfId="830"/>
    <cellStyle name="Comma 3 2 2 2 15 3" xfId="831"/>
    <cellStyle name="Comma 3 2 2 2 16" xfId="832"/>
    <cellStyle name="Comma 3 2 2 2 16 2" xfId="833"/>
    <cellStyle name="Comma 3 2 2 2 16 2 2" xfId="834"/>
    <cellStyle name="Comma 3 2 2 2 16 3" xfId="835"/>
    <cellStyle name="Comma 3 2 2 2 17" xfId="836"/>
    <cellStyle name="Comma 3 2 2 2 17 2" xfId="837"/>
    <cellStyle name="Comma 3 2 2 2 17 2 2" xfId="838"/>
    <cellStyle name="Comma 3 2 2 2 17 3" xfId="839"/>
    <cellStyle name="Comma 3 2 2 2 2" xfId="840"/>
    <cellStyle name="Comma 3 2 2 2 2 2" xfId="841"/>
    <cellStyle name="Comma 3 2 2 2 2 2 2" xfId="842"/>
    <cellStyle name="Comma 3 2 2 2 2 2 2 2" xfId="843"/>
    <cellStyle name="Comma 3 2 2 2 2 2 2 2 2" xfId="844"/>
    <cellStyle name="Comma 3 2 2 2 2 2 2 3" xfId="845"/>
    <cellStyle name="Comma 3 2 2 2 2 2 3" xfId="846"/>
    <cellStyle name="Comma 3 2 2 2 2 2 3 2" xfId="847"/>
    <cellStyle name="Comma 3 2 2 2 2 2 3 2 2" xfId="848"/>
    <cellStyle name="Comma 3 2 2 2 2 2 3 3" xfId="849"/>
    <cellStyle name="Comma 3 2 2 2 2 2 4" xfId="850"/>
    <cellStyle name="Comma 3 2 2 2 2 2 4 2" xfId="851"/>
    <cellStyle name="Comma 3 2 2 2 2 2 4 2 2" xfId="852"/>
    <cellStyle name="Comma 3 2 2 2 2 2 4 3" xfId="853"/>
    <cellStyle name="Comma 3 2 2 2 2 2 5" xfId="854"/>
    <cellStyle name="Comma 3 2 2 2 2 2 5 2" xfId="855"/>
    <cellStyle name="Comma 3 2 2 2 2 2 5 2 2" xfId="856"/>
    <cellStyle name="Comma 3 2 2 2 2 2 5 3" xfId="857"/>
    <cellStyle name="Comma 3 2 2 2 2 3" xfId="858"/>
    <cellStyle name="Comma 3 2 2 2 2 4" xfId="859"/>
    <cellStyle name="Comma 3 2 2 2 2 5" xfId="860"/>
    <cellStyle name="Comma 3 2 2 2 2 6" xfId="861"/>
    <cellStyle name="Comma 3 2 2 2 2 6 2" xfId="862"/>
    <cellStyle name="Comma 3 2 2 2 2 7" xfId="863"/>
    <cellStyle name="Comma 3 2 2 2 3" xfId="864"/>
    <cellStyle name="Comma 3 2 2 2 3 2" xfId="865"/>
    <cellStyle name="Comma 3 2 2 2 3 2 2" xfId="866"/>
    <cellStyle name="Comma 3 2 2 2 3 3" xfId="867"/>
    <cellStyle name="Comma 3 2 2 2 4" xfId="868"/>
    <cellStyle name="Comma 3 2 2 2 4 2" xfId="869"/>
    <cellStyle name="Comma 3 2 2 2 4 2 2" xfId="870"/>
    <cellStyle name="Comma 3 2 2 2 4 3" xfId="871"/>
    <cellStyle name="Comma 3 2 2 2 5" xfId="872"/>
    <cellStyle name="Comma 3 2 2 2 5 2" xfId="873"/>
    <cellStyle name="Comma 3 2 2 2 5 2 2" xfId="874"/>
    <cellStyle name="Comma 3 2 2 2 5 3" xfId="875"/>
    <cellStyle name="Comma 3 2 2 2 6" xfId="876"/>
    <cellStyle name="Comma 3 2 2 2 6 2" xfId="877"/>
    <cellStyle name="Comma 3 2 2 2 6 2 2" xfId="878"/>
    <cellStyle name="Comma 3 2 2 2 6 3" xfId="879"/>
    <cellStyle name="Comma 3 2 2 2 7" xfId="880"/>
    <cellStyle name="Comma 3 2 2 2 7 2" xfId="881"/>
    <cellStyle name="Comma 3 2 2 2 7 2 2" xfId="882"/>
    <cellStyle name="Comma 3 2 2 2 7 3" xfId="883"/>
    <cellStyle name="Comma 3 2 2 2 8" xfId="884"/>
    <cellStyle name="Comma 3 2 2 2 8 2" xfId="885"/>
    <cellStyle name="Comma 3 2 2 2 8 2 2" xfId="886"/>
    <cellStyle name="Comma 3 2 2 2 8 3" xfId="887"/>
    <cellStyle name="Comma 3 2 2 2 9" xfId="888"/>
    <cellStyle name="Comma 3 2 2 2 9 2" xfId="889"/>
    <cellStyle name="Comma 3 2 2 2 9 2 2" xfId="890"/>
    <cellStyle name="Comma 3 2 2 2 9 3" xfId="891"/>
    <cellStyle name="Comma 3 2 2 3" xfId="892"/>
    <cellStyle name="Comma 3 2 2 4" xfId="893"/>
    <cellStyle name="Comma 3 2 2 5" xfId="894"/>
    <cellStyle name="Comma 3 2 2 6" xfId="895"/>
    <cellStyle name="Comma 3 2 2 7" xfId="896"/>
    <cellStyle name="Comma 3 2 2 8" xfId="897"/>
    <cellStyle name="Comma 3 2 2 9" xfId="898"/>
    <cellStyle name="Comma 3 2 20" xfId="899"/>
    <cellStyle name="Comma 3 2 21" xfId="7481"/>
    <cellStyle name="Comma 3 2 3" xfId="900"/>
    <cellStyle name="Comma 3 2 3 2" xfId="901"/>
    <cellStyle name="Comma 3 2 4" xfId="902"/>
    <cellStyle name="Comma 3 2 4 2" xfId="903"/>
    <cellStyle name="Comma 3 2 5" xfId="904"/>
    <cellStyle name="Comma 3 2 5 2" xfId="905"/>
    <cellStyle name="Comma 3 2 6" xfId="906"/>
    <cellStyle name="Comma 3 2 6 2" xfId="907"/>
    <cellStyle name="Comma 3 2 7" xfId="908"/>
    <cellStyle name="Comma 3 2 7 2" xfId="909"/>
    <cellStyle name="Comma 3 2 8" xfId="910"/>
    <cellStyle name="Comma 3 2 8 2" xfId="911"/>
    <cellStyle name="Comma 3 2 9" xfId="912"/>
    <cellStyle name="Comma 3 2 9 2" xfId="913"/>
    <cellStyle name="Comma 3 20" xfId="914"/>
    <cellStyle name="Comma 3 20 2" xfId="915"/>
    <cellStyle name="Comma 3 21" xfId="916"/>
    <cellStyle name="Comma 3 21 2" xfId="917"/>
    <cellStyle name="Comma 3 22" xfId="918"/>
    <cellStyle name="Comma 3 22 2" xfId="919"/>
    <cellStyle name="Comma 3 23" xfId="920"/>
    <cellStyle name="Comma 3 23 2" xfId="921"/>
    <cellStyle name="Comma 3 24" xfId="922"/>
    <cellStyle name="Comma 3 24 2" xfId="923"/>
    <cellStyle name="Comma 3 25" xfId="924"/>
    <cellStyle name="Comma 3 25 2" xfId="925"/>
    <cellStyle name="Comma 3 26" xfId="926"/>
    <cellStyle name="Comma 3 26 2" xfId="927"/>
    <cellStyle name="Comma 3 27" xfId="928"/>
    <cellStyle name="Comma 3 27 2" xfId="929"/>
    <cellStyle name="Comma 3 28" xfId="930"/>
    <cellStyle name="Comma 3 28 2" xfId="931"/>
    <cellStyle name="Comma 3 29" xfId="932"/>
    <cellStyle name="Comma 3 29 2" xfId="933"/>
    <cellStyle name="Comma 3 3" xfId="934"/>
    <cellStyle name="Comma 3 3 2" xfId="935"/>
    <cellStyle name="Comma 3 3 2 2" xfId="936"/>
    <cellStyle name="Comma 3 3 2 2 2" xfId="937"/>
    <cellStyle name="Comma 3 3 2 3" xfId="938"/>
    <cellStyle name="Comma 3 3 2 4" xfId="939"/>
    <cellStyle name="Comma 3 3 2 5" xfId="940"/>
    <cellStyle name="Comma 3 3 3" xfId="941"/>
    <cellStyle name="Comma 3 3 4" xfId="942"/>
    <cellStyle name="Comma 3 3 5" xfId="943"/>
    <cellStyle name="Comma 3 3 6" xfId="944"/>
    <cellStyle name="Comma 3 30" xfId="945"/>
    <cellStyle name="Comma 3 30 2" xfId="946"/>
    <cellStyle name="Comma 3 31" xfId="947"/>
    <cellStyle name="Comma 3 31 2" xfId="948"/>
    <cellStyle name="Comma 3 32" xfId="949"/>
    <cellStyle name="Comma 3 32 2" xfId="950"/>
    <cellStyle name="Comma 3 33" xfId="951"/>
    <cellStyle name="Comma 3 33 2" xfId="952"/>
    <cellStyle name="Comma 3 34" xfId="953"/>
    <cellStyle name="Comma 3 34 2" xfId="954"/>
    <cellStyle name="Comma 3 35" xfId="955"/>
    <cellStyle name="Comma 3 35 2" xfId="956"/>
    <cellStyle name="Comma 3 36" xfId="957"/>
    <cellStyle name="Comma 3 36 2" xfId="958"/>
    <cellStyle name="Comma 3 37" xfId="959"/>
    <cellStyle name="Comma 3 37 2" xfId="960"/>
    <cellStyle name="Comma 3 38" xfId="961"/>
    <cellStyle name="Comma 3 38 2" xfId="962"/>
    <cellStyle name="Comma 3 39" xfId="963"/>
    <cellStyle name="Comma 3 39 2" xfId="964"/>
    <cellStyle name="Comma 3 4" xfId="965"/>
    <cellStyle name="Comma 3 4 2" xfId="966"/>
    <cellStyle name="Comma 3 4 2 2" xfId="967"/>
    <cellStyle name="Comma 3 4 3" xfId="968"/>
    <cellStyle name="Comma 3 40" xfId="969"/>
    <cellStyle name="Comma 3 40 2" xfId="970"/>
    <cellStyle name="Comma 3 41" xfId="971"/>
    <cellStyle name="Comma 3 41 2" xfId="972"/>
    <cellStyle name="Comma 3 42" xfId="973"/>
    <cellStyle name="Comma 3 42 2" xfId="974"/>
    <cellStyle name="Comma 3 43" xfId="975"/>
    <cellStyle name="Comma 3 43 2" xfId="976"/>
    <cellStyle name="Comma 3 44" xfId="977"/>
    <cellStyle name="Comma 3 44 2" xfId="978"/>
    <cellStyle name="Comma 3 45" xfId="979"/>
    <cellStyle name="Comma 3 45 2" xfId="980"/>
    <cellStyle name="Comma 3 46" xfId="981"/>
    <cellStyle name="Comma 3 46 2" xfId="982"/>
    <cellStyle name="Comma 3 47" xfId="983"/>
    <cellStyle name="Comma 3 47 2" xfId="984"/>
    <cellStyle name="Comma 3 48" xfId="985"/>
    <cellStyle name="Comma 3 48 2" xfId="986"/>
    <cellStyle name="Comma 3 49" xfId="987"/>
    <cellStyle name="Comma 3 49 2" xfId="988"/>
    <cellStyle name="Comma 3 5" xfId="989"/>
    <cellStyle name="Comma 3 5 2" xfId="990"/>
    <cellStyle name="Comma 3 5 2 2" xfId="991"/>
    <cellStyle name="Comma 3 5 3" xfId="992"/>
    <cellStyle name="Comma 3 50" xfId="993"/>
    <cellStyle name="Comma 3 50 2" xfId="994"/>
    <cellStyle name="Comma 3 51" xfId="995"/>
    <cellStyle name="Comma 3 51 2" xfId="996"/>
    <cellStyle name="Comma 3 52" xfId="997"/>
    <cellStyle name="Comma 3 52 2" xfId="998"/>
    <cellStyle name="Comma 3 53" xfId="999"/>
    <cellStyle name="Comma 3 53 2" xfId="1000"/>
    <cellStyle name="Comma 3 54" xfId="1001"/>
    <cellStyle name="Comma 3 54 2" xfId="1002"/>
    <cellStyle name="Comma 3 55" xfId="1003"/>
    <cellStyle name="Comma 3 55 2" xfId="1004"/>
    <cellStyle name="Comma 3 56" xfId="1005"/>
    <cellStyle name="Comma 3 56 2" xfId="1006"/>
    <cellStyle name="Comma 3 57" xfId="1007"/>
    <cellStyle name="Comma 3 57 2" xfId="1008"/>
    <cellStyle name="Comma 3 58" xfId="1009"/>
    <cellStyle name="Comma 3 58 2" xfId="1010"/>
    <cellStyle name="Comma 3 59" xfId="1011"/>
    <cellStyle name="Comma 3 59 2" xfId="1012"/>
    <cellStyle name="Comma 3 6" xfId="1013"/>
    <cellStyle name="Comma 3 6 2" xfId="1014"/>
    <cellStyle name="Comma 3 6 2 2" xfId="1015"/>
    <cellStyle name="Comma 3 6 3" xfId="1016"/>
    <cellStyle name="Comma 3 60" xfId="1017"/>
    <cellStyle name="Comma 3 60 2" xfId="1018"/>
    <cellStyle name="Comma 3 61" xfId="1019"/>
    <cellStyle name="Comma 3 61 2" xfId="1020"/>
    <cellStyle name="Comma 3 62" xfId="1021"/>
    <cellStyle name="Comma 3 63" xfId="1022"/>
    <cellStyle name="Comma 3 64" xfId="1023"/>
    <cellStyle name="Comma 3 65" xfId="1024"/>
    <cellStyle name="Comma 3 66" xfId="1025"/>
    <cellStyle name="Comma 3 67" xfId="1026"/>
    <cellStyle name="Comma 3 68" xfId="1027"/>
    <cellStyle name="Comma 3 69" xfId="1028"/>
    <cellStyle name="Comma 3 7" xfId="1029"/>
    <cellStyle name="Comma 3 7 2" xfId="1030"/>
    <cellStyle name="Comma 3 7 2 2" xfId="1031"/>
    <cellStyle name="Comma 3 7 3" xfId="1032"/>
    <cellStyle name="Comma 3 70" xfId="1033"/>
    <cellStyle name="Comma 3 71" xfId="1034"/>
    <cellStyle name="Comma 3 72" xfId="1035"/>
    <cellStyle name="Comma 3 73" xfId="1036"/>
    <cellStyle name="Comma 3 74" xfId="1037"/>
    <cellStyle name="Comma 3 75" xfId="1038"/>
    <cellStyle name="Comma 3 76" xfId="1039"/>
    <cellStyle name="Comma 3 77" xfId="1040"/>
    <cellStyle name="Comma 3 78" xfId="1041"/>
    <cellStyle name="Comma 3 79" xfId="1042"/>
    <cellStyle name="Comma 3 8" xfId="1043"/>
    <cellStyle name="Comma 3 8 2" xfId="1044"/>
    <cellStyle name="Comma 3 8 2 2" xfId="1045"/>
    <cellStyle name="Comma 3 8 3" xfId="1046"/>
    <cellStyle name="Comma 3 80" xfId="1047"/>
    <cellStyle name="Comma 3 81" xfId="1048"/>
    <cellStyle name="Comma 3 82" xfId="1049"/>
    <cellStyle name="Comma 3 83" xfId="1050"/>
    <cellStyle name="Comma 3 84" xfId="1051"/>
    <cellStyle name="Comma 3 85" xfId="1052"/>
    <cellStyle name="Comma 3 86" xfId="1053"/>
    <cellStyle name="Comma 3 87" xfId="1054"/>
    <cellStyle name="Comma 3 88" xfId="1055"/>
    <cellStyle name="Comma 3 89" xfId="1056"/>
    <cellStyle name="Comma 3 9" xfId="1057"/>
    <cellStyle name="Comma 3 9 2" xfId="1058"/>
    <cellStyle name="Comma 3 9 2 2" xfId="1059"/>
    <cellStyle name="Comma 3 9 3" xfId="1060"/>
    <cellStyle name="Comma 3 90" xfId="1061"/>
    <cellStyle name="Comma 3 91" xfId="1062"/>
    <cellStyle name="Comma 3 92" xfId="1063"/>
    <cellStyle name="Comma 3 93" xfId="1064"/>
    <cellStyle name="Comma 3 94" xfId="1065"/>
    <cellStyle name="Comma 3 95" xfId="1066"/>
    <cellStyle name="Comma 3 96" xfId="1067"/>
    <cellStyle name="Comma 3 97" xfId="1068"/>
    <cellStyle name="Comma 3 98" xfId="1069"/>
    <cellStyle name="Comma 3 99" xfId="1070"/>
    <cellStyle name="Comma 30" xfId="1071"/>
    <cellStyle name="Comma 31" xfId="1072"/>
    <cellStyle name="Comma 32" xfId="1073"/>
    <cellStyle name="Comma 33" xfId="1074"/>
    <cellStyle name="Comma 34" xfId="1075"/>
    <cellStyle name="Comma 35" xfId="1076"/>
    <cellStyle name="Comma 36" xfId="1077"/>
    <cellStyle name="Comma 37" xfId="1078"/>
    <cellStyle name="Comma 38" xfId="1079"/>
    <cellStyle name="Comma 39" xfId="1080"/>
    <cellStyle name="Comma 4" xfId="1081"/>
    <cellStyle name="Comma 4 10" xfId="1082"/>
    <cellStyle name="Comma 4 11" xfId="1083"/>
    <cellStyle name="Comma 4 12" xfId="1084"/>
    <cellStyle name="Comma 4 13" xfId="1085"/>
    <cellStyle name="Comma 4 13 2" xfId="1086"/>
    <cellStyle name="Comma 4 13 3" xfId="1087"/>
    <cellStyle name="Comma 4 13 4" xfId="1088"/>
    <cellStyle name="Comma 4 14" xfId="1089"/>
    <cellStyle name="Comma 4 15" xfId="1090"/>
    <cellStyle name="Comma 4 16" xfId="7482"/>
    <cellStyle name="Comma 4 17" xfId="7539"/>
    <cellStyle name="Comma 4 2" xfId="1091"/>
    <cellStyle name="Comma 4 2 10" xfId="1092"/>
    <cellStyle name="Comma 4 2 10 2" xfId="1093"/>
    <cellStyle name="Comma 4 2 11" xfId="1094"/>
    <cellStyle name="Comma 4 2 11 2" xfId="1095"/>
    <cellStyle name="Comma 4 2 12" xfId="1096"/>
    <cellStyle name="Comma 4 2 13" xfId="1097"/>
    <cellStyle name="Comma 4 2 14" xfId="1098"/>
    <cellStyle name="Comma 4 2 2" xfId="1099"/>
    <cellStyle name="Comma 4 2 2 2" xfId="1100"/>
    <cellStyle name="Comma 4 2 3" xfId="1101"/>
    <cellStyle name="Comma 4 2 3 2" xfId="1102"/>
    <cellStyle name="Comma 4 2 4" xfId="1103"/>
    <cellStyle name="Comma 4 2 4 2" xfId="1104"/>
    <cellStyle name="Comma 4 2 5" xfId="1105"/>
    <cellStyle name="Comma 4 2 5 2" xfId="1106"/>
    <cellStyle name="Comma 4 2 6" xfId="1107"/>
    <cellStyle name="Comma 4 2 6 2" xfId="1108"/>
    <cellStyle name="Comma 4 2 7" xfId="1109"/>
    <cellStyle name="Comma 4 2 7 2" xfId="1110"/>
    <cellStyle name="Comma 4 2 8" xfId="1111"/>
    <cellStyle name="Comma 4 2 8 2" xfId="1112"/>
    <cellStyle name="Comma 4 2 9" xfId="1113"/>
    <cellStyle name="Comma 4 2 9 2" xfId="1114"/>
    <cellStyle name="Comma 4 3" xfId="1115"/>
    <cellStyle name="Comma 4 3 2" xfId="1116"/>
    <cellStyle name="Comma 4 3 3" xfId="1117"/>
    <cellStyle name="Comma 4 3 4" xfId="1118"/>
    <cellStyle name="Comma 4 4" xfId="1119"/>
    <cellStyle name="Comma 4 5" xfId="1120"/>
    <cellStyle name="Comma 4 6" xfId="1121"/>
    <cellStyle name="Comma 4 7" xfId="1122"/>
    <cellStyle name="Comma 4 8" xfId="1123"/>
    <cellStyle name="Comma 4 9" xfId="1124"/>
    <cellStyle name="Comma 40" xfId="1125"/>
    <cellStyle name="Comma 41" xfId="1126"/>
    <cellStyle name="Comma 42" xfId="1127"/>
    <cellStyle name="Comma 43" xfId="1128"/>
    <cellStyle name="Comma 44" xfId="1129"/>
    <cellStyle name="Comma 45" xfId="1130"/>
    <cellStyle name="Comma 46" xfId="1131"/>
    <cellStyle name="Comma 47" xfId="1132"/>
    <cellStyle name="Comma 48" xfId="1133"/>
    <cellStyle name="Comma 49" xfId="1134"/>
    <cellStyle name="Comma 5" xfId="1135"/>
    <cellStyle name="Comma 5 10" xfId="1136"/>
    <cellStyle name="Comma 5 10 2" xfId="1137"/>
    <cellStyle name="Comma 5 10 2 2" xfId="1138"/>
    <cellStyle name="Comma 5 10 3" xfId="1139"/>
    <cellStyle name="Comma 5 100" xfId="1140"/>
    <cellStyle name="Comma 5 101" xfId="1141"/>
    <cellStyle name="Comma 5 102" xfId="1142"/>
    <cellStyle name="Comma 5 103" xfId="1143"/>
    <cellStyle name="Comma 5 104" xfId="1144"/>
    <cellStyle name="Comma 5 105" xfId="1145"/>
    <cellStyle name="Comma 5 106" xfId="1146"/>
    <cellStyle name="Comma 5 107" xfId="1147"/>
    <cellStyle name="Comma 5 108" xfId="1148"/>
    <cellStyle name="Comma 5 109" xfId="1149"/>
    <cellStyle name="Comma 5 11" xfId="1150"/>
    <cellStyle name="Comma 5 11 2" xfId="1151"/>
    <cellStyle name="Comma 5 11 2 2" xfId="1152"/>
    <cellStyle name="Comma 5 11 3" xfId="1153"/>
    <cellStyle name="Comma 5 110" xfId="1154"/>
    <cellStyle name="Comma 5 111" xfId="1155"/>
    <cellStyle name="Comma 5 112" xfId="1156"/>
    <cellStyle name="Comma 5 113" xfId="1157"/>
    <cellStyle name="Comma 5 114" xfId="1158"/>
    <cellStyle name="Comma 5 115" xfId="1159"/>
    <cellStyle name="Comma 5 116" xfId="1160"/>
    <cellStyle name="Comma 5 117" xfId="1161"/>
    <cellStyle name="Comma 5 118" xfId="1162"/>
    <cellStyle name="Comma 5 119" xfId="1163"/>
    <cellStyle name="Comma 5 12" xfId="1164"/>
    <cellStyle name="Comma 5 12 2" xfId="1165"/>
    <cellStyle name="Comma 5 12 2 2" xfId="1166"/>
    <cellStyle name="Comma 5 12 3" xfId="1167"/>
    <cellStyle name="Comma 5 120" xfId="1168"/>
    <cellStyle name="Comma 5 121" xfId="1169"/>
    <cellStyle name="Comma 5 122" xfId="1170"/>
    <cellStyle name="Comma 5 123" xfId="1171"/>
    <cellStyle name="Comma 5 124" xfId="1172"/>
    <cellStyle name="Comma 5 125" xfId="1173"/>
    <cellStyle name="Comma 5 126" xfId="1174"/>
    <cellStyle name="Comma 5 127" xfId="1175"/>
    <cellStyle name="Comma 5 128" xfId="1176"/>
    <cellStyle name="Comma 5 129" xfId="1177"/>
    <cellStyle name="Comma 5 13" xfId="1178"/>
    <cellStyle name="Comma 5 13 2" xfId="1179"/>
    <cellStyle name="Comma 5 13 2 2" xfId="1180"/>
    <cellStyle name="Comma 5 13 3" xfId="1181"/>
    <cellStyle name="Comma 5 130" xfId="1182"/>
    <cellStyle name="Comma 5 131" xfId="1183"/>
    <cellStyle name="Comma 5 132" xfId="1184"/>
    <cellStyle name="Comma 5 133" xfId="1185"/>
    <cellStyle name="Comma 5 134" xfId="1186"/>
    <cellStyle name="Comma 5 135" xfId="1187"/>
    <cellStyle name="Comma 5 136" xfId="1188"/>
    <cellStyle name="Comma 5 137" xfId="7483"/>
    <cellStyle name="Comma 5 14" xfId="1189"/>
    <cellStyle name="Comma 5 14 2" xfId="1190"/>
    <cellStyle name="Comma 5 14 3" xfId="1191"/>
    <cellStyle name="Comma 5 15" xfId="1192"/>
    <cellStyle name="Comma 5 15 2" xfId="1193"/>
    <cellStyle name="Comma 5 16" xfId="1194"/>
    <cellStyle name="Comma 5 16 2" xfId="1195"/>
    <cellStyle name="Comma 5 17" xfId="1196"/>
    <cellStyle name="Comma 5 17 2" xfId="1197"/>
    <cellStyle name="Comma 5 18" xfId="1198"/>
    <cellStyle name="Comma 5 18 2" xfId="1199"/>
    <cellStyle name="Comma 5 19" xfId="1200"/>
    <cellStyle name="Comma 5 19 2" xfId="1201"/>
    <cellStyle name="Comma 5 2" xfId="1202"/>
    <cellStyle name="Comma 5 2 10" xfId="1203"/>
    <cellStyle name="Comma 5 2 10 2" xfId="1204"/>
    <cellStyle name="Comma 5 2 11" xfId="1205"/>
    <cellStyle name="Comma 5 2 11 2" xfId="1206"/>
    <cellStyle name="Comma 5 2 12" xfId="1207"/>
    <cellStyle name="Comma 5 2 13" xfId="1208"/>
    <cellStyle name="Comma 5 2 14" xfId="1209"/>
    <cellStyle name="Comma 5 2 14 2" xfId="1210"/>
    <cellStyle name="Comma 5 2 15" xfId="1211"/>
    <cellStyle name="Comma 5 2 16" xfId="7484"/>
    <cellStyle name="Comma 5 2 2" xfId="1212"/>
    <cellStyle name="Comma 5 2 2 10" xfId="1213"/>
    <cellStyle name="Comma 5 2 2 10 2" xfId="1214"/>
    <cellStyle name="Comma 5 2 2 10 2 2" xfId="1215"/>
    <cellStyle name="Comma 5 2 2 10 3" xfId="1216"/>
    <cellStyle name="Comma 5 2 2 11" xfId="1217"/>
    <cellStyle name="Comma 5 2 2 11 2" xfId="1218"/>
    <cellStyle name="Comma 5 2 2 11 2 2" xfId="1219"/>
    <cellStyle name="Comma 5 2 2 11 3" xfId="1220"/>
    <cellStyle name="Comma 5 2 2 12" xfId="1221"/>
    <cellStyle name="Comma 5 2 2 12 2" xfId="1222"/>
    <cellStyle name="Comma 5 2 2 12 2 2" xfId="1223"/>
    <cellStyle name="Comma 5 2 2 12 3" xfId="1224"/>
    <cellStyle name="Comma 5 2 2 13" xfId="1225"/>
    <cellStyle name="Comma 5 2 2 13 2" xfId="1226"/>
    <cellStyle name="Comma 5 2 2 13 2 2" xfId="1227"/>
    <cellStyle name="Comma 5 2 2 13 3" xfId="1228"/>
    <cellStyle name="Comma 5 2 2 14" xfId="1229"/>
    <cellStyle name="Comma 5 2 2 15" xfId="1230"/>
    <cellStyle name="Comma 5 2 2 2" xfId="1231"/>
    <cellStyle name="Comma 5 2 2 2 2" xfId="1232"/>
    <cellStyle name="Comma 5 2 2 2 2 2" xfId="1233"/>
    <cellStyle name="Comma 5 2 2 2 3" xfId="1234"/>
    <cellStyle name="Comma 5 2 2 3" xfId="1235"/>
    <cellStyle name="Comma 5 2 2 3 2" xfId="1236"/>
    <cellStyle name="Comma 5 2 2 3 2 2" xfId="1237"/>
    <cellStyle name="Comma 5 2 2 3 3" xfId="1238"/>
    <cellStyle name="Comma 5 2 2 4" xfId="1239"/>
    <cellStyle name="Comma 5 2 2 4 2" xfId="1240"/>
    <cellStyle name="Comma 5 2 2 4 2 2" xfId="1241"/>
    <cellStyle name="Comma 5 2 2 4 3" xfId="1242"/>
    <cellStyle name="Comma 5 2 2 5" xfId="1243"/>
    <cellStyle name="Comma 5 2 2 5 2" xfId="1244"/>
    <cellStyle name="Comma 5 2 2 5 2 2" xfId="1245"/>
    <cellStyle name="Comma 5 2 2 5 3" xfId="1246"/>
    <cellStyle name="Comma 5 2 2 6" xfId="1247"/>
    <cellStyle name="Comma 5 2 2 6 2" xfId="1248"/>
    <cellStyle name="Comma 5 2 2 6 2 2" xfId="1249"/>
    <cellStyle name="Comma 5 2 2 6 3" xfId="1250"/>
    <cellStyle name="Comma 5 2 2 7" xfId="1251"/>
    <cellStyle name="Comma 5 2 2 7 2" xfId="1252"/>
    <cellStyle name="Comma 5 2 2 7 2 2" xfId="1253"/>
    <cellStyle name="Comma 5 2 2 7 3" xfId="1254"/>
    <cellStyle name="Comma 5 2 2 8" xfId="1255"/>
    <cellStyle name="Comma 5 2 2 8 2" xfId="1256"/>
    <cellStyle name="Comma 5 2 2 8 2 2" xfId="1257"/>
    <cellStyle name="Comma 5 2 2 8 3" xfId="1258"/>
    <cellStyle name="Comma 5 2 2 9" xfId="1259"/>
    <cellStyle name="Comma 5 2 2 9 2" xfId="1260"/>
    <cellStyle name="Comma 5 2 2 9 2 2" xfId="1261"/>
    <cellStyle name="Comma 5 2 2 9 3" xfId="1262"/>
    <cellStyle name="Comma 5 2 3" xfId="1263"/>
    <cellStyle name="Comma 5 2 3 2" xfId="1264"/>
    <cellStyle name="Comma 5 2 4" xfId="1265"/>
    <cellStyle name="Comma 5 2 4 2" xfId="1266"/>
    <cellStyle name="Comma 5 2 5" xfId="1267"/>
    <cellStyle name="Comma 5 2 5 2" xfId="1268"/>
    <cellStyle name="Comma 5 2 6" xfId="1269"/>
    <cellStyle name="Comma 5 2 6 2" xfId="1270"/>
    <cellStyle name="Comma 5 2 7" xfId="1271"/>
    <cellStyle name="Comma 5 2 7 2" xfId="1272"/>
    <cellStyle name="Comma 5 2 8" xfId="1273"/>
    <cellStyle name="Comma 5 2 8 2" xfId="1274"/>
    <cellStyle name="Comma 5 2 9" xfId="1275"/>
    <cellStyle name="Comma 5 2 9 2" xfId="1276"/>
    <cellStyle name="Comma 5 20" xfId="1277"/>
    <cellStyle name="Comma 5 20 2" xfId="1278"/>
    <cellStyle name="Comma 5 21" xfId="1279"/>
    <cellStyle name="Comma 5 21 2" xfId="1280"/>
    <cellStyle name="Comma 5 22" xfId="1281"/>
    <cellStyle name="Comma 5 22 2" xfId="1282"/>
    <cellStyle name="Comma 5 23" xfId="1283"/>
    <cellStyle name="Comma 5 23 2" xfId="1284"/>
    <cellStyle name="Comma 5 24" xfId="1285"/>
    <cellStyle name="Comma 5 24 2" xfId="1286"/>
    <cellStyle name="Comma 5 25" xfId="1287"/>
    <cellStyle name="Comma 5 25 2" xfId="1288"/>
    <cellStyle name="Comma 5 26" xfId="1289"/>
    <cellStyle name="Comma 5 26 2" xfId="1290"/>
    <cellStyle name="Comma 5 27" xfId="1291"/>
    <cellStyle name="Comma 5 27 2" xfId="1292"/>
    <cellStyle name="Comma 5 28" xfId="1293"/>
    <cellStyle name="Comma 5 28 2" xfId="1294"/>
    <cellStyle name="Comma 5 29" xfId="1295"/>
    <cellStyle name="Comma 5 29 2" xfId="1296"/>
    <cellStyle name="Comma 5 3" xfId="1297"/>
    <cellStyle name="Comma 5 3 10" xfId="1298"/>
    <cellStyle name="Comma 5 3 10 2" xfId="1299"/>
    <cellStyle name="Comma 5 3 11" xfId="1300"/>
    <cellStyle name="Comma 5 3 11 2" xfId="1301"/>
    <cellStyle name="Comma 5 3 12" xfId="1302"/>
    <cellStyle name="Comma 5 3 12 2" xfId="1303"/>
    <cellStyle name="Comma 5 3 13" xfId="1304"/>
    <cellStyle name="Comma 5 3 13 2" xfId="1305"/>
    <cellStyle name="Comma 5 3 14" xfId="1306"/>
    <cellStyle name="Comma 5 3 15" xfId="1307"/>
    <cellStyle name="Comma 5 3 2" xfId="1308"/>
    <cellStyle name="Comma 5 3 2 2" xfId="1309"/>
    <cellStyle name="Comma 5 3 3" xfId="1310"/>
    <cellStyle name="Comma 5 3 3 2" xfId="1311"/>
    <cellStyle name="Comma 5 3 4" xfId="1312"/>
    <cellStyle name="Comma 5 3 4 2" xfId="1313"/>
    <cellStyle name="Comma 5 3 5" xfId="1314"/>
    <cellStyle name="Comma 5 3 5 2" xfId="1315"/>
    <cellStyle name="Comma 5 3 6" xfId="1316"/>
    <cellStyle name="Comma 5 3 6 2" xfId="1317"/>
    <cellStyle name="Comma 5 3 7" xfId="1318"/>
    <cellStyle name="Comma 5 3 7 2" xfId="1319"/>
    <cellStyle name="Comma 5 3 8" xfId="1320"/>
    <cellStyle name="Comma 5 3 8 2" xfId="1321"/>
    <cellStyle name="Comma 5 3 9" xfId="1322"/>
    <cellStyle name="Comma 5 3 9 2" xfId="1323"/>
    <cellStyle name="Comma 5 30" xfId="1324"/>
    <cellStyle name="Comma 5 30 2" xfId="1325"/>
    <cellStyle name="Comma 5 31" xfId="1326"/>
    <cellStyle name="Comma 5 31 2" xfId="1327"/>
    <cellStyle name="Comma 5 32" xfId="1328"/>
    <cellStyle name="Comma 5 32 2" xfId="1329"/>
    <cellStyle name="Comma 5 33" xfId="1330"/>
    <cellStyle name="Comma 5 33 2" xfId="1331"/>
    <cellStyle name="Comma 5 34" xfId="1332"/>
    <cellStyle name="Comma 5 34 2" xfId="1333"/>
    <cellStyle name="Comma 5 35" xfId="1334"/>
    <cellStyle name="Comma 5 35 2" xfId="1335"/>
    <cellStyle name="Comma 5 36" xfId="1336"/>
    <cellStyle name="Comma 5 36 2" xfId="1337"/>
    <cellStyle name="Comma 5 37" xfId="1338"/>
    <cellStyle name="Comma 5 37 2" xfId="1339"/>
    <cellStyle name="Comma 5 38" xfId="1340"/>
    <cellStyle name="Comma 5 38 2" xfId="1341"/>
    <cellStyle name="Comma 5 39" xfId="1342"/>
    <cellStyle name="Comma 5 39 2" xfId="1343"/>
    <cellStyle name="Comma 5 4" xfId="1344"/>
    <cellStyle name="Comma 5 4 2" xfId="1345"/>
    <cellStyle name="Comma 5 4 2 2" xfId="1346"/>
    <cellStyle name="Comma 5 4 3" xfId="1347"/>
    <cellStyle name="Comma 5 40" xfId="1348"/>
    <cellStyle name="Comma 5 40 2" xfId="1349"/>
    <cellStyle name="Comma 5 41" xfId="1350"/>
    <cellStyle name="Comma 5 41 2" xfId="1351"/>
    <cellStyle name="Comma 5 42" xfId="1352"/>
    <cellStyle name="Comma 5 42 2" xfId="1353"/>
    <cellStyle name="Comma 5 43" xfId="1354"/>
    <cellStyle name="Comma 5 43 2" xfId="1355"/>
    <cellStyle name="Comma 5 44" xfId="1356"/>
    <cellStyle name="Comma 5 44 2" xfId="1357"/>
    <cellStyle name="Comma 5 45" xfId="1358"/>
    <cellStyle name="Comma 5 45 2" xfId="1359"/>
    <cellStyle name="Comma 5 46" xfId="1360"/>
    <cellStyle name="Comma 5 46 2" xfId="1361"/>
    <cellStyle name="Comma 5 47" xfId="1362"/>
    <cellStyle name="Comma 5 47 2" xfId="1363"/>
    <cellStyle name="Comma 5 48" xfId="1364"/>
    <cellStyle name="Comma 5 48 2" xfId="1365"/>
    <cellStyle name="Comma 5 49" xfId="1366"/>
    <cellStyle name="Comma 5 49 2" xfId="1367"/>
    <cellStyle name="Comma 5 5" xfId="1368"/>
    <cellStyle name="Comma 5 5 2" xfId="1369"/>
    <cellStyle name="Comma 5 5 2 2" xfId="1370"/>
    <cellStyle name="Comma 5 5 3" xfId="1371"/>
    <cellStyle name="Comma 5 50" xfId="1372"/>
    <cellStyle name="Comma 5 50 2" xfId="1373"/>
    <cellStyle name="Comma 5 51" xfId="1374"/>
    <cellStyle name="Comma 5 51 2" xfId="1375"/>
    <cellStyle name="Comma 5 52" xfId="1376"/>
    <cellStyle name="Comma 5 52 2" xfId="1377"/>
    <cellStyle name="Comma 5 53" xfId="1378"/>
    <cellStyle name="Comma 5 53 2" xfId="1379"/>
    <cellStyle name="Comma 5 54" xfId="1380"/>
    <cellStyle name="Comma 5 54 2" xfId="1381"/>
    <cellStyle name="Comma 5 55" xfId="1382"/>
    <cellStyle name="Comma 5 55 2" xfId="1383"/>
    <cellStyle name="Comma 5 56" xfId="1384"/>
    <cellStyle name="Comma 5 56 2" xfId="1385"/>
    <cellStyle name="Comma 5 57" xfId="1386"/>
    <cellStyle name="Comma 5 57 2" xfId="1387"/>
    <cellStyle name="Comma 5 58" xfId="1388"/>
    <cellStyle name="Comma 5 58 2" xfId="1389"/>
    <cellStyle name="Comma 5 59" xfId="1390"/>
    <cellStyle name="Comma 5 59 2" xfId="1391"/>
    <cellStyle name="Comma 5 6" xfId="1392"/>
    <cellStyle name="Comma 5 6 2" xfId="1393"/>
    <cellStyle name="Comma 5 6 2 2" xfId="1394"/>
    <cellStyle name="Comma 5 6 3" xfId="1395"/>
    <cellStyle name="Comma 5 60" xfId="1396"/>
    <cellStyle name="Comma 5 60 2" xfId="1397"/>
    <cellStyle name="Comma 5 61" xfId="1398"/>
    <cellStyle name="Comma 5 61 2" xfId="1399"/>
    <cellStyle name="Comma 5 62" xfId="1400"/>
    <cellStyle name="Comma 5 63" xfId="1401"/>
    <cellStyle name="Comma 5 64" xfId="1402"/>
    <cellStyle name="Comma 5 65" xfId="1403"/>
    <cellStyle name="Comma 5 66" xfId="1404"/>
    <cellStyle name="Comma 5 67" xfId="1405"/>
    <cellStyle name="Comma 5 68" xfId="1406"/>
    <cellStyle name="Comma 5 69" xfId="1407"/>
    <cellStyle name="Comma 5 7" xfId="1408"/>
    <cellStyle name="Comma 5 7 2" xfId="1409"/>
    <cellStyle name="Comma 5 7 2 2" xfId="1410"/>
    <cellStyle name="Comma 5 7 3" xfId="1411"/>
    <cellStyle name="Comma 5 70" xfId="1412"/>
    <cellStyle name="Comma 5 71" xfId="1413"/>
    <cellStyle name="Comma 5 72" xfId="1414"/>
    <cellStyle name="Comma 5 73" xfId="1415"/>
    <cellStyle name="Comma 5 74" xfId="1416"/>
    <cellStyle name="Comma 5 75" xfId="1417"/>
    <cellStyle name="Comma 5 76" xfId="1418"/>
    <cellStyle name="Comma 5 77" xfId="1419"/>
    <cellStyle name="Comma 5 78" xfId="1420"/>
    <cellStyle name="Comma 5 79" xfId="1421"/>
    <cellStyle name="Comma 5 8" xfId="1422"/>
    <cellStyle name="Comma 5 8 2" xfId="1423"/>
    <cellStyle name="Comma 5 8 2 2" xfId="1424"/>
    <cellStyle name="Comma 5 8 3" xfId="1425"/>
    <cellStyle name="Comma 5 80" xfId="1426"/>
    <cellStyle name="Comma 5 81" xfId="1427"/>
    <cellStyle name="Comma 5 82" xfId="1428"/>
    <cellStyle name="Comma 5 83" xfId="1429"/>
    <cellStyle name="Comma 5 84" xfId="1430"/>
    <cellStyle name="Comma 5 85" xfId="1431"/>
    <cellStyle name="Comma 5 86" xfId="1432"/>
    <cellStyle name="Comma 5 87" xfId="1433"/>
    <cellStyle name="Comma 5 88" xfId="1434"/>
    <cellStyle name="Comma 5 89" xfId="1435"/>
    <cellStyle name="Comma 5 9" xfId="1436"/>
    <cellStyle name="Comma 5 9 2" xfId="1437"/>
    <cellStyle name="Comma 5 9 2 2" xfId="1438"/>
    <cellStyle name="Comma 5 9 3" xfId="1439"/>
    <cellStyle name="Comma 5 90" xfId="1440"/>
    <cellStyle name="Comma 5 91" xfId="1441"/>
    <cellStyle name="Comma 5 92" xfId="1442"/>
    <cellStyle name="Comma 5 92 2" xfId="1443"/>
    <cellStyle name="Comma 5 93" xfId="1444"/>
    <cellStyle name="Comma 5 94" xfId="1445"/>
    <cellStyle name="Comma 5 95" xfId="1446"/>
    <cellStyle name="Comma 5 96" xfId="1447"/>
    <cellStyle name="Comma 5 97" xfId="1448"/>
    <cellStyle name="Comma 5 98" xfId="1449"/>
    <cellStyle name="Comma 5 99" xfId="1450"/>
    <cellStyle name="Comma 50" xfId="1451"/>
    <cellStyle name="Comma 51" xfId="1452"/>
    <cellStyle name="Comma 52" xfId="1453"/>
    <cellStyle name="Comma 53" xfId="1454"/>
    <cellStyle name="Comma 54" xfId="1455"/>
    <cellStyle name="Comma 55" xfId="1456"/>
    <cellStyle name="Comma 56" xfId="1457"/>
    <cellStyle name="Comma 57" xfId="1458"/>
    <cellStyle name="Comma 58" xfId="1459"/>
    <cellStyle name="Comma 59" xfId="1460"/>
    <cellStyle name="Comma 6" xfId="1461"/>
    <cellStyle name="Comma 6 2" xfId="1462"/>
    <cellStyle name="Comma 60" xfId="1463"/>
    <cellStyle name="Comma 61" xfId="1464"/>
    <cellStyle name="Comma 62" xfId="1465"/>
    <cellStyle name="Comma 63" xfId="1466"/>
    <cellStyle name="Comma 64" xfId="1467"/>
    <cellStyle name="Comma 65" xfId="1468"/>
    <cellStyle name="Comma 66" xfId="1469"/>
    <cellStyle name="Comma 67" xfId="1470"/>
    <cellStyle name="Comma 68" xfId="1471"/>
    <cellStyle name="Comma 69" xfId="1472"/>
    <cellStyle name="Comma 7" xfId="1473"/>
    <cellStyle name="Comma 7 10" xfId="1474"/>
    <cellStyle name="Comma 7 11" xfId="1475"/>
    <cellStyle name="Comma 7 12" xfId="1476"/>
    <cellStyle name="Comma 7 12 2" xfId="1477"/>
    <cellStyle name="Comma 7 13" xfId="1478"/>
    <cellStyle name="Comma 7 14" xfId="7485"/>
    <cellStyle name="Comma 7 2" xfId="1479"/>
    <cellStyle name="Comma 7 2 10" xfId="1480"/>
    <cellStyle name="Comma 7 2 10 2" xfId="1481"/>
    <cellStyle name="Comma 7 2 11" xfId="1482"/>
    <cellStyle name="Comma 7 2 11 2" xfId="1483"/>
    <cellStyle name="Comma 7 2 12" xfId="1484"/>
    <cellStyle name="Comma 7 2 12 2" xfId="1485"/>
    <cellStyle name="Comma 7 2 13" xfId="1486"/>
    <cellStyle name="Comma 7 2 13 2" xfId="1487"/>
    <cellStyle name="Comma 7 2 14" xfId="1488"/>
    <cellStyle name="Comma 7 2 2" xfId="1489"/>
    <cellStyle name="Comma 7 2 2 2" xfId="1490"/>
    <cellStyle name="Comma 7 2 3" xfId="1491"/>
    <cellStyle name="Comma 7 2 3 2" xfId="1492"/>
    <cellStyle name="Comma 7 2 4" xfId="1493"/>
    <cellStyle name="Comma 7 2 4 2" xfId="1494"/>
    <cellStyle name="Comma 7 2 5" xfId="1495"/>
    <cellStyle name="Comma 7 2 5 2" xfId="1496"/>
    <cellStyle name="Comma 7 2 6" xfId="1497"/>
    <cellStyle name="Comma 7 2 6 2" xfId="1498"/>
    <cellStyle name="Comma 7 2 7" xfId="1499"/>
    <cellStyle name="Comma 7 2 7 2" xfId="1500"/>
    <cellStyle name="Comma 7 2 8" xfId="1501"/>
    <cellStyle name="Comma 7 2 8 2" xfId="1502"/>
    <cellStyle name="Comma 7 2 9" xfId="1503"/>
    <cellStyle name="Comma 7 2 9 2" xfId="1504"/>
    <cellStyle name="Comma 7 3" xfId="1505"/>
    <cellStyle name="Comma 7 4" xfId="1506"/>
    <cellStyle name="Comma 7 5" xfId="1507"/>
    <cellStyle name="Comma 7 6" xfId="1508"/>
    <cellStyle name="Comma 7 7" xfId="1509"/>
    <cellStyle name="Comma 7 8" xfId="1510"/>
    <cellStyle name="Comma 7 9" xfId="1511"/>
    <cellStyle name="Comma 70" xfId="1512"/>
    <cellStyle name="Comma 71" xfId="1513"/>
    <cellStyle name="Comma 72" xfId="1514"/>
    <cellStyle name="Comma 73" xfId="1515"/>
    <cellStyle name="Comma 74" xfId="1516"/>
    <cellStyle name="Comma 75" xfId="1517"/>
    <cellStyle name="Comma 76" xfId="1518"/>
    <cellStyle name="Comma 77" xfId="1519"/>
    <cellStyle name="Comma 78" xfId="1520"/>
    <cellStyle name="Comma 79" xfId="1521"/>
    <cellStyle name="Comma 8" xfId="1522"/>
    <cellStyle name="Comma 8 2" xfId="1523"/>
    <cellStyle name="Comma 8 2 2" xfId="1524"/>
    <cellStyle name="Comma 8 2 3" xfId="1525"/>
    <cellStyle name="Comma 8 3" xfId="1526"/>
    <cellStyle name="Comma 80" xfId="1527"/>
    <cellStyle name="Comma 81" xfId="1528"/>
    <cellStyle name="Comma 82" xfId="1529"/>
    <cellStyle name="Comma 83" xfId="1530"/>
    <cellStyle name="Comma 84" xfId="1531"/>
    <cellStyle name="Comma 85" xfId="1532"/>
    <cellStyle name="Comma 86" xfId="1533"/>
    <cellStyle name="Comma 87" xfId="7525"/>
    <cellStyle name="Comma 88" xfId="7548"/>
    <cellStyle name="Comma 9" xfId="1534"/>
    <cellStyle name="Comma 9 2" xfId="1535"/>
    <cellStyle name="Comma 9 3" xfId="1536"/>
    <cellStyle name="Comma 9 4" xfId="1537"/>
    <cellStyle name="Comma0" xfId="1538"/>
    <cellStyle name="corpload" xfId="1539"/>
    <cellStyle name="Currency [0] 2" xfId="1540"/>
    <cellStyle name="Currency [0] 2 2" xfId="1541"/>
    <cellStyle name="Currency [0] 3" xfId="1542"/>
    <cellStyle name="Currency 10" xfId="39"/>
    <cellStyle name="Currency 11" xfId="1543"/>
    <cellStyle name="Currency 12" xfId="1544"/>
    <cellStyle name="Currency 12 2" xfId="1545"/>
    <cellStyle name="Currency 13" xfId="1546"/>
    <cellStyle name="Currency 14" xfId="1547"/>
    <cellStyle name="Currency 15" xfId="1548"/>
    <cellStyle name="Currency 16" xfId="1549"/>
    <cellStyle name="Currency 17" xfId="1550"/>
    <cellStyle name="Currency 18" xfId="1551"/>
    <cellStyle name="Currency 19" xfId="1552"/>
    <cellStyle name="Currency 2" xfId="1553"/>
    <cellStyle name="Currency 2 10" xfId="1554"/>
    <cellStyle name="Currency 2 10 2" xfId="1555"/>
    <cellStyle name="Currency 2 10 2 2" xfId="1556"/>
    <cellStyle name="Currency 2 10 3" xfId="1557"/>
    <cellStyle name="Currency 2 100" xfId="1558"/>
    <cellStyle name="Currency 2 101" xfId="1559"/>
    <cellStyle name="Currency 2 102" xfId="1560"/>
    <cellStyle name="Currency 2 103" xfId="1561"/>
    <cellStyle name="Currency 2 104" xfId="1562"/>
    <cellStyle name="Currency 2 105" xfId="1563"/>
    <cellStyle name="Currency 2 106" xfId="1564"/>
    <cellStyle name="Currency 2 107" xfId="1565"/>
    <cellStyle name="Currency 2 108" xfId="1566"/>
    <cellStyle name="Currency 2 109" xfId="1567"/>
    <cellStyle name="Currency 2 11" xfId="1568"/>
    <cellStyle name="Currency 2 11 2" xfId="1569"/>
    <cellStyle name="Currency 2 11 2 2" xfId="1570"/>
    <cellStyle name="Currency 2 11 3" xfId="1571"/>
    <cellStyle name="Currency 2 110" xfId="1572"/>
    <cellStyle name="Currency 2 111" xfId="1573"/>
    <cellStyle name="Currency 2 112" xfId="1574"/>
    <cellStyle name="Currency 2 113" xfId="1575"/>
    <cellStyle name="Currency 2 114" xfId="1576"/>
    <cellStyle name="Currency 2 115" xfId="1577"/>
    <cellStyle name="Currency 2 116" xfId="1578"/>
    <cellStyle name="Currency 2 117" xfId="1579"/>
    <cellStyle name="Currency 2 118" xfId="1580"/>
    <cellStyle name="Currency 2 119" xfId="1581"/>
    <cellStyle name="Currency 2 12" xfId="1582"/>
    <cellStyle name="Currency 2 12 2" xfId="1583"/>
    <cellStyle name="Currency 2 12 2 2" xfId="1584"/>
    <cellStyle name="Currency 2 12 3" xfId="1585"/>
    <cellStyle name="Currency 2 120" xfId="1586"/>
    <cellStyle name="Currency 2 121" xfId="1587"/>
    <cellStyle name="Currency 2 122" xfId="1588"/>
    <cellStyle name="Currency 2 123" xfId="1589"/>
    <cellStyle name="Currency 2 124" xfId="1590"/>
    <cellStyle name="Currency 2 125" xfId="1591"/>
    <cellStyle name="Currency 2 126" xfId="1592"/>
    <cellStyle name="Currency 2 127" xfId="1593"/>
    <cellStyle name="Currency 2 128" xfId="1594"/>
    <cellStyle name="Currency 2 129" xfId="1595"/>
    <cellStyle name="Currency 2 13" xfId="1596"/>
    <cellStyle name="Currency 2 13 2" xfId="1597"/>
    <cellStyle name="Currency 2 13 2 2" xfId="1598"/>
    <cellStyle name="Currency 2 13 3" xfId="1599"/>
    <cellStyle name="Currency 2 130" xfId="1600"/>
    <cellStyle name="Currency 2 131" xfId="1601"/>
    <cellStyle name="Currency 2 132" xfId="1602"/>
    <cellStyle name="Currency 2 133" xfId="1603"/>
    <cellStyle name="Currency 2 134" xfId="1604"/>
    <cellStyle name="Currency 2 135" xfId="1605"/>
    <cellStyle name="Currency 2 136" xfId="1606"/>
    <cellStyle name="Currency 2 137" xfId="1607"/>
    <cellStyle name="Currency 2 138" xfId="1608"/>
    <cellStyle name="Currency 2 14" xfId="1609"/>
    <cellStyle name="Currency 2 14 2" xfId="1610"/>
    <cellStyle name="Currency 2 14 2 2" xfId="1611"/>
    <cellStyle name="Currency 2 14 3" xfId="1612"/>
    <cellStyle name="Currency 2 15" xfId="1613"/>
    <cellStyle name="Currency 2 15 2" xfId="1614"/>
    <cellStyle name="Currency 2 15 2 2" xfId="1615"/>
    <cellStyle name="Currency 2 15 3" xfId="1616"/>
    <cellStyle name="Currency 2 16" xfId="1617"/>
    <cellStyle name="Currency 2 16 2" xfId="1618"/>
    <cellStyle name="Currency 2 16 2 2" xfId="1619"/>
    <cellStyle name="Currency 2 16 3" xfId="1620"/>
    <cellStyle name="Currency 2 17" xfId="1621"/>
    <cellStyle name="Currency 2 17 2" xfId="1622"/>
    <cellStyle name="Currency 2 18" xfId="1623"/>
    <cellStyle name="Currency 2 18 2" xfId="1624"/>
    <cellStyle name="Currency 2 19" xfId="1625"/>
    <cellStyle name="Currency 2 19 2" xfId="1626"/>
    <cellStyle name="Currency 2 2" xfId="1627"/>
    <cellStyle name="Currency 2 2 10" xfId="1628"/>
    <cellStyle name="Currency 2 2 10 2" xfId="1629"/>
    <cellStyle name="Currency 2 2 11" xfId="1630"/>
    <cellStyle name="Currency 2 2 11 2" xfId="1631"/>
    <cellStyle name="Currency 2 2 12" xfId="1632"/>
    <cellStyle name="Currency 2 2 12 2" xfId="1633"/>
    <cellStyle name="Currency 2 2 12 2 2" xfId="1634"/>
    <cellStyle name="Currency 2 2 12 3" xfId="1635"/>
    <cellStyle name="Currency 2 2 13" xfId="1636"/>
    <cellStyle name="Currency 2 2 13 2" xfId="1637"/>
    <cellStyle name="Currency 2 2 14" xfId="1638"/>
    <cellStyle name="Currency 2 2 14 2" xfId="1639"/>
    <cellStyle name="Currency 2 2 14 2 2" xfId="1640"/>
    <cellStyle name="Currency 2 2 14 3" xfId="1641"/>
    <cellStyle name="Currency 2 2 15" xfId="1642"/>
    <cellStyle name="Currency 2 2 15 2" xfId="1643"/>
    <cellStyle name="Currency 2 2 15 2 2" xfId="1644"/>
    <cellStyle name="Currency 2 2 15 3" xfId="1645"/>
    <cellStyle name="Currency 2 2 16" xfId="1646"/>
    <cellStyle name="Currency 2 2 16 2" xfId="1647"/>
    <cellStyle name="Currency 2 2 16 2 2" xfId="1648"/>
    <cellStyle name="Currency 2 2 16 3" xfId="1649"/>
    <cellStyle name="Currency 2 2 17" xfId="1650"/>
    <cellStyle name="Currency 2 2 17 2" xfId="1651"/>
    <cellStyle name="Currency 2 2 17 2 2" xfId="1652"/>
    <cellStyle name="Currency 2 2 17 3" xfId="1653"/>
    <cellStyle name="Currency 2 2 18" xfId="1654"/>
    <cellStyle name="Currency 2 2 19" xfId="1655"/>
    <cellStyle name="Currency 2 2 2" xfId="1656"/>
    <cellStyle name="Currency 2 2 2 10" xfId="1657"/>
    <cellStyle name="Currency 2 2 2 11" xfId="1658"/>
    <cellStyle name="Currency 2 2 2 12" xfId="1659"/>
    <cellStyle name="Currency 2 2 2 13" xfId="1660"/>
    <cellStyle name="Currency 2 2 2 14" xfId="1661"/>
    <cellStyle name="Currency 2 2 2 15" xfId="1662"/>
    <cellStyle name="Currency 2 2 2 16" xfId="1663"/>
    <cellStyle name="Currency 2 2 2 17" xfId="1664"/>
    <cellStyle name="Currency 2 2 2 18" xfId="1665"/>
    <cellStyle name="Currency 2 2 2 18 2" xfId="1666"/>
    <cellStyle name="Currency 2 2 2 19" xfId="1667"/>
    <cellStyle name="Currency 2 2 2 2" xfId="1668"/>
    <cellStyle name="Currency 2 2 2 2 10" xfId="1669"/>
    <cellStyle name="Currency 2 2 2 2 10 2" xfId="1670"/>
    <cellStyle name="Currency 2 2 2 2 10 2 2" xfId="1671"/>
    <cellStyle name="Currency 2 2 2 2 10 3" xfId="1672"/>
    <cellStyle name="Currency 2 2 2 2 11" xfId="1673"/>
    <cellStyle name="Currency 2 2 2 2 11 2" xfId="1674"/>
    <cellStyle name="Currency 2 2 2 2 11 2 2" xfId="1675"/>
    <cellStyle name="Currency 2 2 2 2 11 3" xfId="1676"/>
    <cellStyle name="Currency 2 2 2 2 12" xfId="1677"/>
    <cellStyle name="Currency 2 2 2 2 12 2" xfId="1678"/>
    <cellStyle name="Currency 2 2 2 2 12 2 2" xfId="1679"/>
    <cellStyle name="Currency 2 2 2 2 12 3" xfId="1680"/>
    <cellStyle name="Currency 2 2 2 2 13" xfId="1681"/>
    <cellStyle name="Currency 2 2 2 2 13 2" xfId="1682"/>
    <cellStyle name="Currency 2 2 2 2 13 2 2" xfId="1683"/>
    <cellStyle name="Currency 2 2 2 2 13 3" xfId="1684"/>
    <cellStyle name="Currency 2 2 2 2 14" xfId="1685"/>
    <cellStyle name="Currency 2 2 2 2 14 2" xfId="1686"/>
    <cellStyle name="Currency 2 2 2 2 14 2 2" xfId="1687"/>
    <cellStyle name="Currency 2 2 2 2 14 3" xfId="1688"/>
    <cellStyle name="Currency 2 2 2 2 15" xfId="1689"/>
    <cellStyle name="Currency 2 2 2 2 15 2" xfId="1690"/>
    <cellStyle name="Currency 2 2 2 2 15 2 2" xfId="1691"/>
    <cellStyle name="Currency 2 2 2 2 15 3" xfId="1692"/>
    <cellStyle name="Currency 2 2 2 2 16" xfId="1693"/>
    <cellStyle name="Currency 2 2 2 2 16 2" xfId="1694"/>
    <cellStyle name="Currency 2 2 2 2 16 2 2" xfId="1695"/>
    <cellStyle name="Currency 2 2 2 2 16 3" xfId="1696"/>
    <cellStyle name="Currency 2 2 2 2 17" xfId="1697"/>
    <cellStyle name="Currency 2 2 2 2 17 2" xfId="1698"/>
    <cellStyle name="Currency 2 2 2 2 17 2 2" xfId="1699"/>
    <cellStyle name="Currency 2 2 2 2 17 3" xfId="1700"/>
    <cellStyle name="Currency 2 2 2 2 2" xfId="1701"/>
    <cellStyle name="Currency 2 2 2 2 2 2" xfId="1702"/>
    <cellStyle name="Currency 2 2 2 2 2 2 2" xfId="1703"/>
    <cellStyle name="Currency 2 2 2 2 2 2 2 2" xfId="1704"/>
    <cellStyle name="Currency 2 2 2 2 2 2 2 2 2" xfId="1705"/>
    <cellStyle name="Currency 2 2 2 2 2 2 2 3" xfId="1706"/>
    <cellStyle name="Currency 2 2 2 2 2 2 3" xfId="1707"/>
    <cellStyle name="Currency 2 2 2 2 2 2 3 2" xfId="1708"/>
    <cellStyle name="Currency 2 2 2 2 2 2 3 2 2" xfId="1709"/>
    <cellStyle name="Currency 2 2 2 2 2 2 3 3" xfId="1710"/>
    <cellStyle name="Currency 2 2 2 2 2 2 4" xfId="1711"/>
    <cellStyle name="Currency 2 2 2 2 2 2 4 2" xfId="1712"/>
    <cellStyle name="Currency 2 2 2 2 2 2 4 2 2" xfId="1713"/>
    <cellStyle name="Currency 2 2 2 2 2 2 4 3" xfId="1714"/>
    <cellStyle name="Currency 2 2 2 2 2 2 5" xfId="1715"/>
    <cellStyle name="Currency 2 2 2 2 2 2 5 2" xfId="1716"/>
    <cellStyle name="Currency 2 2 2 2 2 2 5 2 2" xfId="1717"/>
    <cellStyle name="Currency 2 2 2 2 2 2 5 3" xfId="1718"/>
    <cellStyle name="Currency 2 2 2 2 2 3" xfId="1719"/>
    <cellStyle name="Currency 2 2 2 2 2 4" xfId="1720"/>
    <cellStyle name="Currency 2 2 2 2 2 5" xfId="1721"/>
    <cellStyle name="Currency 2 2 2 2 2 6" xfId="1722"/>
    <cellStyle name="Currency 2 2 2 2 2 6 2" xfId="1723"/>
    <cellStyle name="Currency 2 2 2 2 2 7" xfId="1724"/>
    <cellStyle name="Currency 2 2 2 2 3" xfId="1725"/>
    <cellStyle name="Currency 2 2 2 2 3 2" xfId="1726"/>
    <cellStyle name="Currency 2 2 2 2 3 2 2" xfId="1727"/>
    <cellStyle name="Currency 2 2 2 2 3 3" xfId="1728"/>
    <cellStyle name="Currency 2 2 2 2 4" xfId="1729"/>
    <cellStyle name="Currency 2 2 2 2 4 2" xfId="1730"/>
    <cellStyle name="Currency 2 2 2 2 4 2 2" xfId="1731"/>
    <cellStyle name="Currency 2 2 2 2 4 3" xfId="1732"/>
    <cellStyle name="Currency 2 2 2 2 5" xfId="1733"/>
    <cellStyle name="Currency 2 2 2 2 5 2" xfId="1734"/>
    <cellStyle name="Currency 2 2 2 2 5 2 2" xfId="1735"/>
    <cellStyle name="Currency 2 2 2 2 5 3" xfId="1736"/>
    <cellStyle name="Currency 2 2 2 2 6" xfId="1737"/>
    <cellStyle name="Currency 2 2 2 2 6 2" xfId="1738"/>
    <cellStyle name="Currency 2 2 2 2 6 2 2" xfId="1739"/>
    <cellStyle name="Currency 2 2 2 2 6 3" xfId="1740"/>
    <cellStyle name="Currency 2 2 2 2 7" xfId="1741"/>
    <cellStyle name="Currency 2 2 2 2 7 2" xfId="1742"/>
    <cellStyle name="Currency 2 2 2 2 7 2 2" xfId="1743"/>
    <cellStyle name="Currency 2 2 2 2 7 3" xfId="1744"/>
    <cellStyle name="Currency 2 2 2 2 8" xfId="1745"/>
    <cellStyle name="Currency 2 2 2 2 8 2" xfId="1746"/>
    <cellStyle name="Currency 2 2 2 2 8 2 2" xfId="1747"/>
    <cellStyle name="Currency 2 2 2 2 8 3" xfId="1748"/>
    <cellStyle name="Currency 2 2 2 2 9" xfId="1749"/>
    <cellStyle name="Currency 2 2 2 2 9 2" xfId="1750"/>
    <cellStyle name="Currency 2 2 2 2 9 2 2" xfId="1751"/>
    <cellStyle name="Currency 2 2 2 2 9 3" xfId="1752"/>
    <cellStyle name="Currency 2 2 2 3" xfId="1753"/>
    <cellStyle name="Currency 2 2 2 4" xfId="1754"/>
    <cellStyle name="Currency 2 2 2 5" xfId="1755"/>
    <cellStyle name="Currency 2 2 2 6" xfId="1756"/>
    <cellStyle name="Currency 2 2 2 7" xfId="1757"/>
    <cellStyle name="Currency 2 2 2 8" xfId="1758"/>
    <cellStyle name="Currency 2 2 2 9" xfId="1759"/>
    <cellStyle name="Currency 2 2 20" xfId="1760"/>
    <cellStyle name="Currency 2 2 21" xfId="7486"/>
    <cellStyle name="Currency 2 2 3" xfId="1761"/>
    <cellStyle name="Currency 2 2 3 2" xfId="1762"/>
    <cellStyle name="Currency 2 2 4" xfId="1763"/>
    <cellStyle name="Currency 2 2 4 2" xfId="1764"/>
    <cellStyle name="Currency 2 2 5" xfId="1765"/>
    <cellStyle name="Currency 2 2 5 2" xfId="1766"/>
    <cellStyle name="Currency 2 2 6" xfId="1767"/>
    <cellStyle name="Currency 2 2 6 2" xfId="1768"/>
    <cellStyle name="Currency 2 2 7" xfId="1769"/>
    <cellStyle name="Currency 2 2 7 2" xfId="1770"/>
    <cellStyle name="Currency 2 2 8" xfId="1771"/>
    <cellStyle name="Currency 2 2 8 2" xfId="1772"/>
    <cellStyle name="Currency 2 2 9" xfId="1773"/>
    <cellStyle name="Currency 2 2 9 2" xfId="1774"/>
    <cellStyle name="Currency 2 20" xfId="1775"/>
    <cellStyle name="Currency 2 20 2" xfId="1776"/>
    <cellStyle name="Currency 2 21" xfId="1777"/>
    <cellStyle name="Currency 2 21 2" xfId="1778"/>
    <cellStyle name="Currency 2 22" xfId="1779"/>
    <cellStyle name="Currency 2 22 2" xfId="1780"/>
    <cellStyle name="Currency 2 23" xfId="1781"/>
    <cellStyle name="Currency 2 23 2" xfId="1782"/>
    <cellStyle name="Currency 2 24" xfId="1783"/>
    <cellStyle name="Currency 2 24 2" xfId="1784"/>
    <cellStyle name="Currency 2 25" xfId="1785"/>
    <cellStyle name="Currency 2 25 2" xfId="1786"/>
    <cellStyle name="Currency 2 26" xfId="1787"/>
    <cellStyle name="Currency 2 26 2" xfId="1788"/>
    <cellStyle name="Currency 2 27" xfId="1789"/>
    <cellStyle name="Currency 2 27 2" xfId="1790"/>
    <cellStyle name="Currency 2 28" xfId="1791"/>
    <cellStyle name="Currency 2 28 2" xfId="1792"/>
    <cellStyle name="Currency 2 29" xfId="1793"/>
    <cellStyle name="Currency 2 29 2" xfId="1794"/>
    <cellStyle name="Currency 2 3" xfId="1795"/>
    <cellStyle name="Currency 2 3 2" xfId="1796"/>
    <cellStyle name="Currency 2 3 2 2" xfId="1797"/>
    <cellStyle name="Currency 2 3 3" xfId="1798"/>
    <cellStyle name="Currency 2 30" xfId="1799"/>
    <cellStyle name="Currency 2 30 2" xfId="1800"/>
    <cellStyle name="Currency 2 31" xfId="1801"/>
    <cellStyle name="Currency 2 31 2" xfId="1802"/>
    <cellStyle name="Currency 2 32" xfId="1803"/>
    <cellStyle name="Currency 2 32 2" xfId="1804"/>
    <cellStyle name="Currency 2 33" xfId="1805"/>
    <cellStyle name="Currency 2 33 2" xfId="1806"/>
    <cellStyle name="Currency 2 34" xfId="1807"/>
    <cellStyle name="Currency 2 34 2" xfId="1808"/>
    <cellStyle name="Currency 2 35" xfId="1809"/>
    <cellStyle name="Currency 2 35 2" xfId="1810"/>
    <cellStyle name="Currency 2 36" xfId="1811"/>
    <cellStyle name="Currency 2 36 2" xfId="1812"/>
    <cellStyle name="Currency 2 37" xfId="1813"/>
    <cellStyle name="Currency 2 37 2" xfId="1814"/>
    <cellStyle name="Currency 2 38" xfId="1815"/>
    <cellStyle name="Currency 2 38 2" xfId="1816"/>
    <cellStyle name="Currency 2 39" xfId="1817"/>
    <cellStyle name="Currency 2 39 2" xfId="1818"/>
    <cellStyle name="Currency 2 4" xfId="1819"/>
    <cellStyle name="Currency 2 4 2" xfId="1820"/>
    <cellStyle name="Currency 2 4 2 2" xfId="1821"/>
    <cellStyle name="Currency 2 4 3" xfId="1822"/>
    <cellStyle name="Currency 2 40" xfId="1823"/>
    <cellStyle name="Currency 2 40 2" xfId="1824"/>
    <cellStyle name="Currency 2 41" xfId="1825"/>
    <cellStyle name="Currency 2 41 2" xfId="1826"/>
    <cellStyle name="Currency 2 42" xfId="1827"/>
    <cellStyle name="Currency 2 42 2" xfId="1828"/>
    <cellStyle name="Currency 2 43" xfId="1829"/>
    <cellStyle name="Currency 2 43 2" xfId="1830"/>
    <cellStyle name="Currency 2 44" xfId="1831"/>
    <cellStyle name="Currency 2 44 2" xfId="1832"/>
    <cellStyle name="Currency 2 45" xfId="1833"/>
    <cellStyle name="Currency 2 45 2" xfId="1834"/>
    <cellStyle name="Currency 2 46" xfId="1835"/>
    <cellStyle name="Currency 2 46 2" xfId="1836"/>
    <cellStyle name="Currency 2 47" xfId="1837"/>
    <cellStyle name="Currency 2 47 2" xfId="1838"/>
    <cellStyle name="Currency 2 48" xfId="1839"/>
    <cellStyle name="Currency 2 48 2" xfId="1840"/>
    <cellStyle name="Currency 2 49" xfId="1841"/>
    <cellStyle name="Currency 2 49 2" xfId="1842"/>
    <cellStyle name="Currency 2 5" xfId="1843"/>
    <cellStyle name="Currency 2 5 2" xfId="1844"/>
    <cellStyle name="Currency 2 5 2 2" xfId="1845"/>
    <cellStyle name="Currency 2 5 3" xfId="1846"/>
    <cellStyle name="Currency 2 50" xfId="1847"/>
    <cellStyle name="Currency 2 50 2" xfId="1848"/>
    <cellStyle name="Currency 2 51" xfId="1849"/>
    <cellStyle name="Currency 2 51 2" xfId="1850"/>
    <cellStyle name="Currency 2 52" xfId="1851"/>
    <cellStyle name="Currency 2 52 2" xfId="1852"/>
    <cellStyle name="Currency 2 53" xfId="1853"/>
    <cellStyle name="Currency 2 53 2" xfId="1854"/>
    <cellStyle name="Currency 2 54" xfId="1855"/>
    <cellStyle name="Currency 2 54 2" xfId="1856"/>
    <cellStyle name="Currency 2 55" xfId="1857"/>
    <cellStyle name="Currency 2 55 2" xfId="1858"/>
    <cellStyle name="Currency 2 56" xfId="1859"/>
    <cellStyle name="Currency 2 56 2" xfId="1860"/>
    <cellStyle name="Currency 2 57" xfId="1861"/>
    <cellStyle name="Currency 2 57 2" xfId="1862"/>
    <cellStyle name="Currency 2 58" xfId="1863"/>
    <cellStyle name="Currency 2 58 2" xfId="1864"/>
    <cellStyle name="Currency 2 59" xfId="1865"/>
    <cellStyle name="Currency 2 59 2" xfId="1866"/>
    <cellStyle name="Currency 2 6" xfId="1867"/>
    <cellStyle name="Currency 2 6 2" xfId="1868"/>
    <cellStyle name="Currency 2 6 2 2" xfId="1869"/>
    <cellStyle name="Currency 2 6 3" xfId="1870"/>
    <cellStyle name="Currency 2 60" xfId="1871"/>
    <cellStyle name="Currency 2 60 2" xfId="1872"/>
    <cellStyle name="Currency 2 61" xfId="1873"/>
    <cellStyle name="Currency 2 61 2" xfId="1874"/>
    <cellStyle name="Currency 2 62" xfId="1875"/>
    <cellStyle name="Currency 2 63" xfId="1876"/>
    <cellStyle name="Currency 2 64" xfId="1877"/>
    <cellStyle name="Currency 2 65" xfId="1878"/>
    <cellStyle name="Currency 2 66" xfId="1879"/>
    <cellStyle name="Currency 2 67" xfId="1880"/>
    <cellStyle name="Currency 2 68" xfId="1881"/>
    <cellStyle name="Currency 2 69" xfId="1882"/>
    <cellStyle name="Currency 2 7" xfId="1883"/>
    <cellStyle name="Currency 2 7 2" xfId="1884"/>
    <cellStyle name="Currency 2 7 2 2" xfId="1885"/>
    <cellStyle name="Currency 2 7 3" xfId="1886"/>
    <cellStyle name="Currency 2 70" xfId="1887"/>
    <cellStyle name="Currency 2 71" xfId="1888"/>
    <cellStyle name="Currency 2 72" xfId="1889"/>
    <cellStyle name="Currency 2 73" xfId="1890"/>
    <cellStyle name="Currency 2 74" xfId="1891"/>
    <cellStyle name="Currency 2 75" xfId="1892"/>
    <cellStyle name="Currency 2 76" xfId="1893"/>
    <cellStyle name="Currency 2 77" xfId="1894"/>
    <cellStyle name="Currency 2 78" xfId="1895"/>
    <cellStyle name="Currency 2 79" xfId="1896"/>
    <cellStyle name="Currency 2 8" xfId="1897"/>
    <cellStyle name="Currency 2 8 2" xfId="1898"/>
    <cellStyle name="Currency 2 8 2 2" xfId="1899"/>
    <cellStyle name="Currency 2 8 3" xfId="1900"/>
    <cellStyle name="Currency 2 80" xfId="1901"/>
    <cellStyle name="Currency 2 81" xfId="1902"/>
    <cellStyle name="Currency 2 82" xfId="1903"/>
    <cellStyle name="Currency 2 83" xfId="1904"/>
    <cellStyle name="Currency 2 84" xfId="1905"/>
    <cellStyle name="Currency 2 85" xfId="1906"/>
    <cellStyle name="Currency 2 86" xfId="1907"/>
    <cellStyle name="Currency 2 87" xfId="1908"/>
    <cellStyle name="Currency 2 88" xfId="1909"/>
    <cellStyle name="Currency 2 89" xfId="1910"/>
    <cellStyle name="Currency 2 9" xfId="1911"/>
    <cellStyle name="Currency 2 9 2" xfId="1912"/>
    <cellStyle name="Currency 2 9 2 2" xfId="1913"/>
    <cellStyle name="Currency 2 9 3" xfId="1914"/>
    <cellStyle name="Currency 2 90" xfId="1915"/>
    <cellStyle name="Currency 2 91" xfId="1916"/>
    <cellStyle name="Currency 2 92" xfId="1917"/>
    <cellStyle name="Currency 2 93" xfId="1918"/>
    <cellStyle name="Currency 2 94" xfId="1919"/>
    <cellStyle name="Currency 2 95" xfId="1920"/>
    <cellStyle name="Currency 2 96" xfId="1921"/>
    <cellStyle name="Currency 2 97" xfId="1922"/>
    <cellStyle name="Currency 2 98" xfId="1923"/>
    <cellStyle name="Currency 2 99" xfId="1924"/>
    <cellStyle name="Currency 20" xfId="1925"/>
    <cellStyle name="Currency 21" xfId="1926"/>
    <cellStyle name="Currency 22" xfId="1927"/>
    <cellStyle name="Currency 23" xfId="1928"/>
    <cellStyle name="Currency 24" xfId="1929"/>
    <cellStyle name="Currency 25" xfId="1930"/>
    <cellStyle name="Currency 26" xfId="1931"/>
    <cellStyle name="Currency 27" xfId="1932"/>
    <cellStyle name="Currency 28" xfId="1933"/>
    <cellStyle name="Currency 29" xfId="1934"/>
    <cellStyle name="Currency 3" xfId="25"/>
    <cellStyle name="Currency 3 10" xfId="1935"/>
    <cellStyle name="Currency 3 10 2" xfId="1936"/>
    <cellStyle name="Currency 3 10 2 2" xfId="1937"/>
    <cellStyle name="Currency 3 10 3" xfId="1938"/>
    <cellStyle name="Currency 3 100" xfId="1939"/>
    <cellStyle name="Currency 3 101" xfId="1940"/>
    <cellStyle name="Currency 3 102" xfId="1941"/>
    <cellStyle name="Currency 3 103" xfId="1942"/>
    <cellStyle name="Currency 3 104" xfId="1943"/>
    <cellStyle name="Currency 3 105" xfId="1944"/>
    <cellStyle name="Currency 3 106" xfId="1945"/>
    <cellStyle name="Currency 3 107" xfId="1946"/>
    <cellStyle name="Currency 3 108" xfId="1947"/>
    <cellStyle name="Currency 3 109" xfId="1948"/>
    <cellStyle name="Currency 3 11" xfId="1949"/>
    <cellStyle name="Currency 3 11 2" xfId="1950"/>
    <cellStyle name="Currency 3 11 2 2" xfId="1951"/>
    <cellStyle name="Currency 3 11 3" xfId="1952"/>
    <cellStyle name="Currency 3 110" xfId="1953"/>
    <cellStyle name="Currency 3 111" xfId="1954"/>
    <cellStyle name="Currency 3 112" xfId="1955"/>
    <cellStyle name="Currency 3 113" xfId="1956"/>
    <cellStyle name="Currency 3 114" xfId="1957"/>
    <cellStyle name="Currency 3 115" xfId="1958"/>
    <cellStyle name="Currency 3 116" xfId="1959"/>
    <cellStyle name="Currency 3 117" xfId="1960"/>
    <cellStyle name="Currency 3 118" xfId="1961"/>
    <cellStyle name="Currency 3 119" xfId="1962"/>
    <cellStyle name="Currency 3 12" xfId="1963"/>
    <cellStyle name="Currency 3 12 2" xfId="1964"/>
    <cellStyle name="Currency 3 12 2 2" xfId="1965"/>
    <cellStyle name="Currency 3 12 3" xfId="1966"/>
    <cellStyle name="Currency 3 120" xfId="1967"/>
    <cellStyle name="Currency 3 121" xfId="1968"/>
    <cellStyle name="Currency 3 122" xfId="1969"/>
    <cellStyle name="Currency 3 123" xfId="1970"/>
    <cellStyle name="Currency 3 124" xfId="1971"/>
    <cellStyle name="Currency 3 125" xfId="1972"/>
    <cellStyle name="Currency 3 126" xfId="1973"/>
    <cellStyle name="Currency 3 127" xfId="1974"/>
    <cellStyle name="Currency 3 128" xfId="1975"/>
    <cellStyle name="Currency 3 129" xfId="1976"/>
    <cellStyle name="Currency 3 13" xfId="1977"/>
    <cellStyle name="Currency 3 13 2" xfId="1978"/>
    <cellStyle name="Currency 3 13 2 2" xfId="1979"/>
    <cellStyle name="Currency 3 13 3" xfId="1980"/>
    <cellStyle name="Currency 3 130" xfId="1981"/>
    <cellStyle name="Currency 3 131" xfId="1982"/>
    <cellStyle name="Currency 3 132" xfId="1983"/>
    <cellStyle name="Currency 3 133" xfId="1984"/>
    <cellStyle name="Currency 3 134" xfId="1985"/>
    <cellStyle name="Currency 3 135" xfId="1986"/>
    <cellStyle name="Currency 3 136" xfId="1987"/>
    <cellStyle name="Currency 3 137" xfId="1988"/>
    <cellStyle name="Currency 3 138" xfId="1989"/>
    <cellStyle name="Currency 3 139" xfId="1990"/>
    <cellStyle name="Currency 3 14" xfId="1991"/>
    <cellStyle name="Currency 3 14 2" xfId="1992"/>
    <cellStyle name="Currency 3 14 2 2" xfId="1993"/>
    <cellStyle name="Currency 3 14 3" xfId="1994"/>
    <cellStyle name="Currency 3 15" xfId="1995"/>
    <cellStyle name="Currency 3 15 2" xfId="1996"/>
    <cellStyle name="Currency 3 15 2 2" xfId="1997"/>
    <cellStyle name="Currency 3 15 3" xfId="1998"/>
    <cellStyle name="Currency 3 16" xfId="1999"/>
    <cellStyle name="Currency 3 16 2" xfId="2000"/>
    <cellStyle name="Currency 3 16 2 2" xfId="2001"/>
    <cellStyle name="Currency 3 16 3" xfId="2002"/>
    <cellStyle name="Currency 3 17" xfId="2003"/>
    <cellStyle name="Currency 3 17 2" xfId="2004"/>
    <cellStyle name="Currency 3 17 2 2" xfId="2005"/>
    <cellStyle name="Currency 3 17 3" xfId="2006"/>
    <cellStyle name="Currency 3 18" xfId="2007"/>
    <cellStyle name="Currency 3 18 2" xfId="2008"/>
    <cellStyle name="Currency 3 18 2 2" xfId="2009"/>
    <cellStyle name="Currency 3 18 3" xfId="2010"/>
    <cellStyle name="Currency 3 19" xfId="2011"/>
    <cellStyle name="Currency 3 19 2" xfId="2012"/>
    <cellStyle name="Currency 3 19 2 2" xfId="2013"/>
    <cellStyle name="Currency 3 19 3" xfId="2014"/>
    <cellStyle name="Currency 3 2" xfId="2015"/>
    <cellStyle name="Currency 3 2 10" xfId="2016"/>
    <cellStyle name="Currency 3 2 11" xfId="2017"/>
    <cellStyle name="Currency 3 2 12" xfId="2018"/>
    <cellStyle name="Currency 3 2 13" xfId="2019"/>
    <cellStyle name="Currency 3 2 14" xfId="2020"/>
    <cellStyle name="Currency 3 2 15" xfId="2021"/>
    <cellStyle name="Currency 3 2 15 2" xfId="2022"/>
    <cellStyle name="Currency 3 2 16" xfId="2023"/>
    <cellStyle name="Currency 3 2 17" xfId="2024"/>
    <cellStyle name="Currency 3 2 18" xfId="2025"/>
    <cellStyle name="Currency 3 2 18 2" xfId="2026"/>
    <cellStyle name="Currency 3 2 19" xfId="2027"/>
    <cellStyle name="Currency 3 2 2" xfId="2028"/>
    <cellStyle name="Currency 3 2 2 10" xfId="2029"/>
    <cellStyle name="Currency 3 2 2 11" xfId="2030"/>
    <cellStyle name="Currency 3 2 2 12" xfId="2031"/>
    <cellStyle name="Currency 3 2 2 13" xfId="2032"/>
    <cellStyle name="Currency 3 2 2 14" xfId="2033"/>
    <cellStyle name="Currency 3 2 2 15" xfId="2034"/>
    <cellStyle name="Currency 3 2 2 16" xfId="2035"/>
    <cellStyle name="Currency 3 2 2 17" xfId="2036"/>
    <cellStyle name="Currency 3 2 2 18" xfId="2037"/>
    <cellStyle name="Currency 3 2 2 2" xfId="2038"/>
    <cellStyle name="Currency 3 2 2 2 10" xfId="2039"/>
    <cellStyle name="Currency 3 2 2 2 11" xfId="2040"/>
    <cellStyle name="Currency 3 2 2 2 12" xfId="2041"/>
    <cellStyle name="Currency 3 2 2 2 13" xfId="2042"/>
    <cellStyle name="Currency 3 2 2 2 14" xfId="2043"/>
    <cellStyle name="Currency 3 2 2 2 15" xfId="2044"/>
    <cellStyle name="Currency 3 2 2 2 16" xfId="2045"/>
    <cellStyle name="Currency 3 2 2 2 17" xfId="2046"/>
    <cellStyle name="Currency 3 2 2 2 2" xfId="2047"/>
    <cellStyle name="Currency 3 2 2 2 2 2" xfId="2048"/>
    <cellStyle name="Currency 3 2 2 2 2 2 2" xfId="2049"/>
    <cellStyle name="Currency 3 2 2 2 2 2 3" xfId="2050"/>
    <cellStyle name="Currency 3 2 2 2 2 2 4" xfId="2051"/>
    <cellStyle name="Currency 3 2 2 2 2 2 5" xfId="2052"/>
    <cellStyle name="Currency 3 2 2 2 2 3" xfId="2053"/>
    <cellStyle name="Currency 3 2 2 2 2 4" xfId="2054"/>
    <cellStyle name="Currency 3 2 2 2 2 5" xfId="2055"/>
    <cellStyle name="Currency 3 2 2 2 3" xfId="2056"/>
    <cellStyle name="Currency 3 2 2 2 4" xfId="2057"/>
    <cellStyle name="Currency 3 2 2 2 5" xfId="2058"/>
    <cellStyle name="Currency 3 2 2 2 6" xfId="2059"/>
    <cellStyle name="Currency 3 2 2 2 7" xfId="2060"/>
    <cellStyle name="Currency 3 2 2 2 8" xfId="2061"/>
    <cellStyle name="Currency 3 2 2 2 9" xfId="2062"/>
    <cellStyle name="Currency 3 2 2 3" xfId="2063"/>
    <cellStyle name="Currency 3 2 2 4" xfId="2064"/>
    <cellStyle name="Currency 3 2 2 5" xfId="2065"/>
    <cellStyle name="Currency 3 2 2 6" xfId="2066"/>
    <cellStyle name="Currency 3 2 2 7" xfId="2067"/>
    <cellStyle name="Currency 3 2 2 8" xfId="2068"/>
    <cellStyle name="Currency 3 2 2 9" xfId="2069"/>
    <cellStyle name="Currency 3 2 20" xfId="2070"/>
    <cellStyle name="Currency 3 2 21" xfId="7419"/>
    <cellStyle name="Currency 3 2 3" xfId="2071"/>
    <cellStyle name="Currency 3 2 4" xfId="2072"/>
    <cellStyle name="Currency 3 2 5" xfId="2073"/>
    <cellStyle name="Currency 3 2 6" xfId="2074"/>
    <cellStyle name="Currency 3 2 7" xfId="2075"/>
    <cellStyle name="Currency 3 2 8" xfId="2076"/>
    <cellStyle name="Currency 3 2 9" xfId="2077"/>
    <cellStyle name="Currency 3 20" xfId="2078"/>
    <cellStyle name="Currency 3 20 2" xfId="2079"/>
    <cellStyle name="Currency 3 20 3" xfId="2080"/>
    <cellStyle name="Currency 3 21" xfId="2081"/>
    <cellStyle name="Currency 3 21 2" xfId="2082"/>
    <cellStyle name="Currency 3 22" xfId="2083"/>
    <cellStyle name="Currency 3 22 2" xfId="2084"/>
    <cellStyle name="Currency 3 23" xfId="2085"/>
    <cellStyle name="Currency 3 23 2" xfId="2086"/>
    <cellStyle name="Currency 3 24" xfId="2087"/>
    <cellStyle name="Currency 3 24 2" xfId="2088"/>
    <cellStyle name="Currency 3 25" xfId="2089"/>
    <cellStyle name="Currency 3 25 2" xfId="2090"/>
    <cellStyle name="Currency 3 26" xfId="2091"/>
    <cellStyle name="Currency 3 26 2" xfId="2092"/>
    <cellStyle name="Currency 3 27" xfId="2093"/>
    <cellStyle name="Currency 3 27 2" xfId="2094"/>
    <cellStyle name="Currency 3 28" xfId="2095"/>
    <cellStyle name="Currency 3 28 2" xfId="2096"/>
    <cellStyle name="Currency 3 29" xfId="2097"/>
    <cellStyle name="Currency 3 29 2" xfId="2098"/>
    <cellStyle name="Currency 3 3" xfId="2099"/>
    <cellStyle name="Currency 3 3 10" xfId="2100"/>
    <cellStyle name="Currency 3 3 10 2" xfId="2101"/>
    <cellStyle name="Currency 3 3 11" xfId="2102"/>
    <cellStyle name="Currency 3 3 11 2" xfId="2103"/>
    <cellStyle name="Currency 3 3 12" xfId="2104"/>
    <cellStyle name="Currency 3 3 13" xfId="2105"/>
    <cellStyle name="Currency 3 3 14" xfId="2106"/>
    <cellStyle name="Currency 3 3 14 2" xfId="2107"/>
    <cellStyle name="Currency 3 3 15" xfId="2108"/>
    <cellStyle name="Currency 3 3 16" xfId="7487"/>
    <cellStyle name="Currency 3 3 2" xfId="2109"/>
    <cellStyle name="Currency 3 3 2 10" xfId="2110"/>
    <cellStyle name="Currency 3 3 2 10 2" xfId="2111"/>
    <cellStyle name="Currency 3 3 2 10 2 2" xfId="2112"/>
    <cellStyle name="Currency 3 3 2 10 3" xfId="2113"/>
    <cellStyle name="Currency 3 3 2 11" xfId="2114"/>
    <cellStyle name="Currency 3 3 2 11 2" xfId="2115"/>
    <cellStyle name="Currency 3 3 2 11 2 2" xfId="2116"/>
    <cellStyle name="Currency 3 3 2 11 3" xfId="2117"/>
    <cellStyle name="Currency 3 3 2 12" xfId="2118"/>
    <cellStyle name="Currency 3 3 2 12 2" xfId="2119"/>
    <cellStyle name="Currency 3 3 2 12 2 2" xfId="2120"/>
    <cellStyle name="Currency 3 3 2 12 3" xfId="2121"/>
    <cellStyle name="Currency 3 3 2 13" xfId="2122"/>
    <cellStyle name="Currency 3 3 2 13 2" xfId="2123"/>
    <cellStyle name="Currency 3 3 2 13 2 2" xfId="2124"/>
    <cellStyle name="Currency 3 3 2 13 3" xfId="2125"/>
    <cellStyle name="Currency 3 3 2 14" xfId="2126"/>
    <cellStyle name="Currency 3 3 2 15" xfId="2127"/>
    <cellStyle name="Currency 3 3 2 2" xfId="2128"/>
    <cellStyle name="Currency 3 3 2 2 2" xfId="2129"/>
    <cellStyle name="Currency 3 3 2 2 2 2" xfId="2130"/>
    <cellStyle name="Currency 3 3 2 2 3" xfId="2131"/>
    <cellStyle name="Currency 3 3 2 3" xfId="2132"/>
    <cellStyle name="Currency 3 3 2 3 2" xfId="2133"/>
    <cellStyle name="Currency 3 3 2 3 2 2" xfId="2134"/>
    <cellStyle name="Currency 3 3 2 3 3" xfId="2135"/>
    <cellStyle name="Currency 3 3 2 4" xfId="2136"/>
    <cellStyle name="Currency 3 3 2 4 2" xfId="2137"/>
    <cellStyle name="Currency 3 3 2 4 2 2" xfId="2138"/>
    <cellStyle name="Currency 3 3 2 4 3" xfId="2139"/>
    <cellStyle name="Currency 3 3 2 5" xfId="2140"/>
    <cellStyle name="Currency 3 3 2 5 2" xfId="2141"/>
    <cellStyle name="Currency 3 3 2 5 2 2" xfId="2142"/>
    <cellStyle name="Currency 3 3 2 5 3" xfId="2143"/>
    <cellStyle name="Currency 3 3 2 6" xfId="2144"/>
    <cellStyle name="Currency 3 3 2 6 2" xfId="2145"/>
    <cellStyle name="Currency 3 3 2 6 2 2" xfId="2146"/>
    <cellStyle name="Currency 3 3 2 6 3" xfId="2147"/>
    <cellStyle name="Currency 3 3 2 7" xfId="2148"/>
    <cellStyle name="Currency 3 3 2 7 2" xfId="2149"/>
    <cellStyle name="Currency 3 3 2 7 2 2" xfId="2150"/>
    <cellStyle name="Currency 3 3 2 7 3" xfId="2151"/>
    <cellStyle name="Currency 3 3 2 8" xfId="2152"/>
    <cellStyle name="Currency 3 3 2 8 2" xfId="2153"/>
    <cellStyle name="Currency 3 3 2 8 2 2" xfId="2154"/>
    <cellStyle name="Currency 3 3 2 8 3" xfId="2155"/>
    <cellStyle name="Currency 3 3 2 9" xfId="2156"/>
    <cellStyle name="Currency 3 3 2 9 2" xfId="2157"/>
    <cellStyle name="Currency 3 3 2 9 2 2" xfId="2158"/>
    <cellStyle name="Currency 3 3 2 9 3" xfId="2159"/>
    <cellStyle name="Currency 3 3 3" xfId="2160"/>
    <cellStyle name="Currency 3 3 3 2" xfId="2161"/>
    <cellStyle name="Currency 3 3 4" xfId="2162"/>
    <cellStyle name="Currency 3 3 4 2" xfId="2163"/>
    <cellStyle name="Currency 3 3 5" xfId="2164"/>
    <cellStyle name="Currency 3 3 5 2" xfId="2165"/>
    <cellStyle name="Currency 3 3 6" xfId="2166"/>
    <cellStyle name="Currency 3 3 6 2" xfId="2167"/>
    <cellStyle name="Currency 3 3 7" xfId="2168"/>
    <cellStyle name="Currency 3 3 7 2" xfId="2169"/>
    <cellStyle name="Currency 3 3 8" xfId="2170"/>
    <cellStyle name="Currency 3 3 8 2" xfId="2171"/>
    <cellStyle name="Currency 3 3 9" xfId="2172"/>
    <cellStyle name="Currency 3 3 9 2" xfId="2173"/>
    <cellStyle name="Currency 3 30" xfId="2174"/>
    <cellStyle name="Currency 3 30 2" xfId="2175"/>
    <cellStyle name="Currency 3 31" xfId="2176"/>
    <cellStyle name="Currency 3 31 2" xfId="2177"/>
    <cellStyle name="Currency 3 32" xfId="2178"/>
    <cellStyle name="Currency 3 32 2" xfId="2179"/>
    <cellStyle name="Currency 3 33" xfId="2180"/>
    <cellStyle name="Currency 3 33 2" xfId="2181"/>
    <cellStyle name="Currency 3 34" xfId="2182"/>
    <cellStyle name="Currency 3 34 2" xfId="2183"/>
    <cellStyle name="Currency 3 35" xfId="2184"/>
    <cellStyle name="Currency 3 35 2" xfId="2185"/>
    <cellStyle name="Currency 3 36" xfId="2186"/>
    <cellStyle name="Currency 3 36 2" xfId="2187"/>
    <cellStyle name="Currency 3 37" xfId="2188"/>
    <cellStyle name="Currency 3 37 2" xfId="2189"/>
    <cellStyle name="Currency 3 38" xfId="2190"/>
    <cellStyle name="Currency 3 38 2" xfId="2191"/>
    <cellStyle name="Currency 3 39" xfId="2192"/>
    <cellStyle name="Currency 3 39 2" xfId="2193"/>
    <cellStyle name="Currency 3 4" xfId="2194"/>
    <cellStyle name="Currency 3 4 2" xfId="2195"/>
    <cellStyle name="Currency 3 4 2 2" xfId="2196"/>
    <cellStyle name="Currency 3 4 2 2 2" xfId="2197"/>
    <cellStyle name="Currency 3 4 2 3" xfId="2198"/>
    <cellStyle name="Currency 3 4 2 4" xfId="2199"/>
    <cellStyle name="Currency 3 4 2 5" xfId="2200"/>
    <cellStyle name="Currency 3 4 3" xfId="2201"/>
    <cellStyle name="Currency 3 4 4" xfId="2202"/>
    <cellStyle name="Currency 3 4 5" xfId="2203"/>
    <cellStyle name="Currency 3 4 6" xfId="2204"/>
    <cellStyle name="Currency 3 40" xfId="2205"/>
    <cellStyle name="Currency 3 40 2" xfId="2206"/>
    <cellStyle name="Currency 3 41" xfId="2207"/>
    <cellStyle name="Currency 3 41 2" xfId="2208"/>
    <cellStyle name="Currency 3 42" xfId="2209"/>
    <cellStyle name="Currency 3 42 2" xfId="2210"/>
    <cellStyle name="Currency 3 43" xfId="2211"/>
    <cellStyle name="Currency 3 43 2" xfId="2212"/>
    <cellStyle name="Currency 3 44" xfId="2213"/>
    <cellStyle name="Currency 3 44 2" xfId="2214"/>
    <cellStyle name="Currency 3 45" xfId="2215"/>
    <cellStyle name="Currency 3 45 2" xfId="2216"/>
    <cellStyle name="Currency 3 46" xfId="2217"/>
    <cellStyle name="Currency 3 46 2" xfId="2218"/>
    <cellStyle name="Currency 3 47" xfId="2219"/>
    <cellStyle name="Currency 3 47 2" xfId="2220"/>
    <cellStyle name="Currency 3 48" xfId="2221"/>
    <cellStyle name="Currency 3 48 2" xfId="2222"/>
    <cellStyle name="Currency 3 49" xfId="2223"/>
    <cellStyle name="Currency 3 49 2" xfId="2224"/>
    <cellStyle name="Currency 3 5" xfId="2225"/>
    <cellStyle name="Currency 3 5 2" xfId="2226"/>
    <cellStyle name="Currency 3 5 2 2" xfId="2227"/>
    <cellStyle name="Currency 3 5 3" xfId="2228"/>
    <cellStyle name="Currency 3 50" xfId="2229"/>
    <cellStyle name="Currency 3 50 2" xfId="2230"/>
    <cellStyle name="Currency 3 51" xfId="2231"/>
    <cellStyle name="Currency 3 51 2" xfId="2232"/>
    <cellStyle name="Currency 3 52" xfId="2233"/>
    <cellStyle name="Currency 3 52 2" xfId="2234"/>
    <cellStyle name="Currency 3 53" xfId="2235"/>
    <cellStyle name="Currency 3 53 2" xfId="2236"/>
    <cellStyle name="Currency 3 54" xfId="2237"/>
    <cellStyle name="Currency 3 54 2" xfId="2238"/>
    <cellStyle name="Currency 3 55" xfId="2239"/>
    <cellStyle name="Currency 3 55 2" xfId="2240"/>
    <cellStyle name="Currency 3 56" xfId="2241"/>
    <cellStyle name="Currency 3 56 2" xfId="2242"/>
    <cellStyle name="Currency 3 57" xfId="2243"/>
    <cellStyle name="Currency 3 57 2" xfId="2244"/>
    <cellStyle name="Currency 3 58" xfId="2245"/>
    <cellStyle name="Currency 3 58 2" xfId="2246"/>
    <cellStyle name="Currency 3 59" xfId="2247"/>
    <cellStyle name="Currency 3 59 2" xfId="2248"/>
    <cellStyle name="Currency 3 6" xfId="2249"/>
    <cellStyle name="Currency 3 6 2" xfId="2250"/>
    <cellStyle name="Currency 3 6 2 2" xfId="2251"/>
    <cellStyle name="Currency 3 6 3" xfId="2252"/>
    <cellStyle name="Currency 3 60" xfId="2253"/>
    <cellStyle name="Currency 3 60 2" xfId="2254"/>
    <cellStyle name="Currency 3 61" xfId="2255"/>
    <cellStyle name="Currency 3 61 2" xfId="2256"/>
    <cellStyle name="Currency 3 62" xfId="2257"/>
    <cellStyle name="Currency 3 63" xfId="2258"/>
    <cellStyle name="Currency 3 64" xfId="2259"/>
    <cellStyle name="Currency 3 65" xfId="2260"/>
    <cellStyle name="Currency 3 66" xfId="2261"/>
    <cellStyle name="Currency 3 67" xfId="2262"/>
    <cellStyle name="Currency 3 68" xfId="2263"/>
    <cellStyle name="Currency 3 69" xfId="2264"/>
    <cellStyle name="Currency 3 7" xfId="2265"/>
    <cellStyle name="Currency 3 7 2" xfId="2266"/>
    <cellStyle name="Currency 3 7 2 2" xfId="2267"/>
    <cellStyle name="Currency 3 7 3" xfId="2268"/>
    <cellStyle name="Currency 3 70" xfId="2269"/>
    <cellStyle name="Currency 3 71" xfId="2270"/>
    <cellStyle name="Currency 3 72" xfId="2271"/>
    <cellStyle name="Currency 3 73" xfId="2272"/>
    <cellStyle name="Currency 3 74" xfId="2273"/>
    <cellStyle name="Currency 3 75" xfId="2274"/>
    <cellStyle name="Currency 3 76" xfId="2275"/>
    <cellStyle name="Currency 3 77" xfId="2276"/>
    <cellStyle name="Currency 3 78" xfId="2277"/>
    <cellStyle name="Currency 3 79" xfId="2278"/>
    <cellStyle name="Currency 3 8" xfId="2279"/>
    <cellStyle name="Currency 3 8 2" xfId="2280"/>
    <cellStyle name="Currency 3 8 2 2" xfId="2281"/>
    <cellStyle name="Currency 3 8 3" xfId="2282"/>
    <cellStyle name="Currency 3 80" xfId="2283"/>
    <cellStyle name="Currency 3 81" xfId="2284"/>
    <cellStyle name="Currency 3 82" xfId="2285"/>
    <cellStyle name="Currency 3 83" xfId="2286"/>
    <cellStyle name="Currency 3 84" xfId="2287"/>
    <cellStyle name="Currency 3 85" xfId="2288"/>
    <cellStyle name="Currency 3 86" xfId="2289"/>
    <cellStyle name="Currency 3 87" xfId="2290"/>
    <cellStyle name="Currency 3 88" xfId="2291"/>
    <cellStyle name="Currency 3 89" xfId="2292"/>
    <cellStyle name="Currency 3 9" xfId="2293"/>
    <cellStyle name="Currency 3 9 2" xfId="2294"/>
    <cellStyle name="Currency 3 9 2 2" xfId="2295"/>
    <cellStyle name="Currency 3 9 3" xfId="2296"/>
    <cellStyle name="Currency 3 90" xfId="2297"/>
    <cellStyle name="Currency 3 91" xfId="2298"/>
    <cellStyle name="Currency 3 92" xfId="2299"/>
    <cellStyle name="Currency 3 93" xfId="2300"/>
    <cellStyle name="Currency 3 94" xfId="2301"/>
    <cellStyle name="Currency 3 95" xfId="2302"/>
    <cellStyle name="Currency 3 96" xfId="2303"/>
    <cellStyle name="Currency 3 97" xfId="2304"/>
    <cellStyle name="Currency 3 98" xfId="2305"/>
    <cellStyle name="Currency 3 99" xfId="2306"/>
    <cellStyle name="Currency 30" xfId="2307"/>
    <cellStyle name="Currency 31" xfId="2308"/>
    <cellStyle name="Currency 32" xfId="2309"/>
    <cellStyle name="Currency 33" xfId="2310"/>
    <cellStyle name="Currency 34" xfId="7549"/>
    <cellStyle name="Currency 4" xfId="2311"/>
    <cellStyle name="Currency 4 10" xfId="2312"/>
    <cellStyle name="Currency 4 11" xfId="2313"/>
    <cellStyle name="Currency 4 12" xfId="2314"/>
    <cellStyle name="Currency 4 13" xfId="2315"/>
    <cellStyle name="Currency 4 14" xfId="2316"/>
    <cellStyle name="Currency 4 15" xfId="2317"/>
    <cellStyle name="Currency 4 16" xfId="2318"/>
    <cellStyle name="Currency 4 17" xfId="2319"/>
    <cellStyle name="Currency 4 18" xfId="2320"/>
    <cellStyle name="Currency 4 19" xfId="2321"/>
    <cellStyle name="Currency 4 2" xfId="2322"/>
    <cellStyle name="Currency 4 2 2" xfId="2323"/>
    <cellStyle name="Currency 4 2 2 2" xfId="2324"/>
    <cellStyle name="Currency 4 2 2 3" xfId="2325"/>
    <cellStyle name="Currency 4 2 2 4" xfId="2326"/>
    <cellStyle name="Currency 4 2 2 5" xfId="2327"/>
    <cellStyle name="Currency 4 2 2 6" xfId="2328"/>
    <cellStyle name="Currency 4 2 2 7" xfId="2329"/>
    <cellStyle name="Currency 4 2 2 8" xfId="2330"/>
    <cellStyle name="Currency 4 2 2 9" xfId="2331"/>
    <cellStyle name="Currency 4 2 3" xfId="2332"/>
    <cellStyle name="Currency 4 2 4" xfId="2333"/>
    <cellStyle name="Currency 4 2 5" xfId="2334"/>
    <cellStyle name="Currency 4 2 6" xfId="2335"/>
    <cellStyle name="Currency 4 2 7" xfId="2336"/>
    <cellStyle name="Currency 4 2 8" xfId="2337"/>
    <cellStyle name="Currency 4 2 9" xfId="2338"/>
    <cellStyle name="Currency 4 20" xfId="2339"/>
    <cellStyle name="Currency 4 21" xfId="2340"/>
    <cellStyle name="Currency 4 22" xfId="2341"/>
    <cellStyle name="Currency 4 23" xfId="2342"/>
    <cellStyle name="Currency 4 24" xfId="2343"/>
    <cellStyle name="Currency 4 25" xfId="2344"/>
    <cellStyle name="Currency 4 26" xfId="2345"/>
    <cellStyle name="Currency 4 27" xfId="2346"/>
    <cellStyle name="Currency 4 28" xfId="2347"/>
    <cellStyle name="Currency 4 29" xfId="2348"/>
    <cellStyle name="Currency 4 3" xfId="2349"/>
    <cellStyle name="Currency 4 30" xfId="2350"/>
    <cellStyle name="Currency 4 31" xfId="2351"/>
    <cellStyle name="Currency 4 32" xfId="2352"/>
    <cellStyle name="Currency 4 33" xfId="2353"/>
    <cellStyle name="Currency 4 34" xfId="2354"/>
    <cellStyle name="Currency 4 35" xfId="2355"/>
    <cellStyle name="Currency 4 36" xfId="2356"/>
    <cellStyle name="Currency 4 37" xfId="2357"/>
    <cellStyle name="Currency 4 38" xfId="2358"/>
    <cellStyle name="Currency 4 39" xfId="2359"/>
    <cellStyle name="Currency 4 4" xfId="2360"/>
    <cellStyle name="Currency 4 40" xfId="2361"/>
    <cellStyle name="Currency 4 41" xfId="2362"/>
    <cellStyle name="Currency 4 42" xfId="2363"/>
    <cellStyle name="Currency 4 43" xfId="2364"/>
    <cellStyle name="Currency 4 44" xfId="2365"/>
    <cellStyle name="Currency 4 45" xfId="2366"/>
    <cellStyle name="Currency 4 46" xfId="2367"/>
    <cellStyle name="Currency 4 5" xfId="2368"/>
    <cellStyle name="Currency 4 6" xfId="2369"/>
    <cellStyle name="Currency 4 7" xfId="2370"/>
    <cellStyle name="Currency 4 8" xfId="2371"/>
    <cellStyle name="Currency 4 9" xfId="2372"/>
    <cellStyle name="Currency 5" xfId="2373"/>
    <cellStyle name="Currency 5 10" xfId="2374"/>
    <cellStyle name="Currency 5 100" xfId="2375"/>
    <cellStyle name="Currency 5 11" xfId="2376"/>
    <cellStyle name="Currency 5 12" xfId="2377"/>
    <cellStyle name="Currency 5 13" xfId="2378"/>
    <cellStyle name="Currency 5 14" xfId="2379"/>
    <cellStyle name="Currency 5 15" xfId="2380"/>
    <cellStyle name="Currency 5 16" xfId="2381"/>
    <cellStyle name="Currency 5 17" xfId="2382"/>
    <cellStyle name="Currency 5 18" xfId="2383"/>
    <cellStyle name="Currency 5 19" xfId="2384"/>
    <cellStyle name="Currency 5 2" xfId="2385"/>
    <cellStyle name="Currency 5 2 10" xfId="2386"/>
    <cellStyle name="Currency 5 2 10 2" xfId="2387"/>
    <cellStyle name="Currency 5 2 11" xfId="2388"/>
    <cellStyle name="Currency 5 2 11 2" xfId="2389"/>
    <cellStyle name="Currency 5 2 12" xfId="2390"/>
    <cellStyle name="Currency 5 2 13" xfId="2391"/>
    <cellStyle name="Currency 5 2 14" xfId="2392"/>
    <cellStyle name="Currency 5 2 14 2" xfId="2393"/>
    <cellStyle name="Currency 5 2 15" xfId="2394"/>
    <cellStyle name="Currency 5 2 16" xfId="7488"/>
    <cellStyle name="Currency 5 2 2" xfId="2395"/>
    <cellStyle name="Currency 5 2 2 10" xfId="2396"/>
    <cellStyle name="Currency 5 2 2 10 2" xfId="2397"/>
    <cellStyle name="Currency 5 2 2 10 2 2" xfId="2398"/>
    <cellStyle name="Currency 5 2 2 10 3" xfId="2399"/>
    <cellStyle name="Currency 5 2 2 11" xfId="2400"/>
    <cellStyle name="Currency 5 2 2 11 2" xfId="2401"/>
    <cellStyle name="Currency 5 2 2 11 2 2" xfId="2402"/>
    <cellStyle name="Currency 5 2 2 11 3" xfId="2403"/>
    <cellStyle name="Currency 5 2 2 12" xfId="2404"/>
    <cellStyle name="Currency 5 2 2 12 2" xfId="2405"/>
    <cellStyle name="Currency 5 2 2 12 2 2" xfId="2406"/>
    <cellStyle name="Currency 5 2 2 12 3" xfId="2407"/>
    <cellStyle name="Currency 5 2 2 13" xfId="2408"/>
    <cellStyle name="Currency 5 2 2 13 2" xfId="2409"/>
    <cellStyle name="Currency 5 2 2 13 2 2" xfId="2410"/>
    <cellStyle name="Currency 5 2 2 13 3" xfId="2411"/>
    <cellStyle name="Currency 5 2 2 14" xfId="2412"/>
    <cellStyle name="Currency 5 2 2 15" xfId="2413"/>
    <cellStyle name="Currency 5 2 2 2" xfId="2414"/>
    <cellStyle name="Currency 5 2 2 2 2" xfId="2415"/>
    <cellStyle name="Currency 5 2 2 2 2 2" xfId="2416"/>
    <cellStyle name="Currency 5 2 2 2 3" xfId="2417"/>
    <cellStyle name="Currency 5 2 2 3" xfId="2418"/>
    <cellStyle name="Currency 5 2 2 3 2" xfId="2419"/>
    <cellStyle name="Currency 5 2 2 3 2 2" xfId="2420"/>
    <cellStyle name="Currency 5 2 2 3 3" xfId="2421"/>
    <cellStyle name="Currency 5 2 2 4" xfId="2422"/>
    <cellStyle name="Currency 5 2 2 4 2" xfId="2423"/>
    <cellStyle name="Currency 5 2 2 4 2 2" xfId="2424"/>
    <cellStyle name="Currency 5 2 2 4 3" xfId="2425"/>
    <cellStyle name="Currency 5 2 2 5" xfId="2426"/>
    <cellStyle name="Currency 5 2 2 5 2" xfId="2427"/>
    <cellStyle name="Currency 5 2 2 5 2 2" xfId="2428"/>
    <cellStyle name="Currency 5 2 2 5 3" xfId="2429"/>
    <cellStyle name="Currency 5 2 2 6" xfId="2430"/>
    <cellStyle name="Currency 5 2 2 6 2" xfId="2431"/>
    <cellStyle name="Currency 5 2 2 6 2 2" xfId="2432"/>
    <cellStyle name="Currency 5 2 2 6 3" xfId="2433"/>
    <cellStyle name="Currency 5 2 2 7" xfId="2434"/>
    <cellStyle name="Currency 5 2 2 7 2" xfId="2435"/>
    <cellStyle name="Currency 5 2 2 7 2 2" xfId="2436"/>
    <cellStyle name="Currency 5 2 2 7 3" xfId="2437"/>
    <cellStyle name="Currency 5 2 2 8" xfId="2438"/>
    <cellStyle name="Currency 5 2 2 8 2" xfId="2439"/>
    <cellStyle name="Currency 5 2 2 8 2 2" xfId="2440"/>
    <cellStyle name="Currency 5 2 2 8 3" xfId="2441"/>
    <cellStyle name="Currency 5 2 2 9" xfId="2442"/>
    <cellStyle name="Currency 5 2 2 9 2" xfId="2443"/>
    <cellStyle name="Currency 5 2 2 9 2 2" xfId="2444"/>
    <cellStyle name="Currency 5 2 2 9 3" xfId="2445"/>
    <cellStyle name="Currency 5 2 3" xfId="2446"/>
    <cellStyle name="Currency 5 2 3 2" xfId="2447"/>
    <cellStyle name="Currency 5 2 4" xfId="2448"/>
    <cellStyle name="Currency 5 2 4 2" xfId="2449"/>
    <cellStyle name="Currency 5 2 5" xfId="2450"/>
    <cellStyle name="Currency 5 2 5 2" xfId="2451"/>
    <cellStyle name="Currency 5 2 6" xfId="2452"/>
    <cellStyle name="Currency 5 2 6 2" xfId="2453"/>
    <cellStyle name="Currency 5 2 7" xfId="2454"/>
    <cellStyle name="Currency 5 2 7 2" xfId="2455"/>
    <cellStyle name="Currency 5 2 8" xfId="2456"/>
    <cellStyle name="Currency 5 2 8 2" xfId="2457"/>
    <cellStyle name="Currency 5 2 9" xfId="2458"/>
    <cellStyle name="Currency 5 2 9 2" xfId="2459"/>
    <cellStyle name="Currency 5 20" xfId="2460"/>
    <cellStyle name="Currency 5 21" xfId="2461"/>
    <cellStyle name="Currency 5 22" xfId="2462"/>
    <cellStyle name="Currency 5 23" xfId="2463"/>
    <cellStyle name="Currency 5 24" xfId="2464"/>
    <cellStyle name="Currency 5 25" xfId="2465"/>
    <cellStyle name="Currency 5 26" xfId="2466"/>
    <cellStyle name="Currency 5 27" xfId="2467"/>
    <cellStyle name="Currency 5 28" xfId="2468"/>
    <cellStyle name="Currency 5 29" xfId="2469"/>
    <cellStyle name="Currency 5 3" xfId="2470"/>
    <cellStyle name="Currency 5 3 2" xfId="2471"/>
    <cellStyle name="Currency 5 30" xfId="2472"/>
    <cellStyle name="Currency 5 31" xfId="2473"/>
    <cellStyle name="Currency 5 32" xfId="2474"/>
    <cellStyle name="Currency 5 33" xfId="2475"/>
    <cellStyle name="Currency 5 34" xfId="2476"/>
    <cellStyle name="Currency 5 35" xfId="2477"/>
    <cellStyle name="Currency 5 36" xfId="2478"/>
    <cellStyle name="Currency 5 37" xfId="2479"/>
    <cellStyle name="Currency 5 38" xfId="2480"/>
    <cellStyle name="Currency 5 39" xfId="2481"/>
    <cellStyle name="Currency 5 4" xfId="2482"/>
    <cellStyle name="Currency 5 40" xfId="2483"/>
    <cellStyle name="Currency 5 41" xfId="2484"/>
    <cellStyle name="Currency 5 42" xfId="2485"/>
    <cellStyle name="Currency 5 43" xfId="2486"/>
    <cellStyle name="Currency 5 44" xfId="2487"/>
    <cellStyle name="Currency 5 45" xfId="2488"/>
    <cellStyle name="Currency 5 46" xfId="2489"/>
    <cellStyle name="Currency 5 47" xfId="2490"/>
    <cellStyle name="Currency 5 48" xfId="2491"/>
    <cellStyle name="Currency 5 49" xfId="2492"/>
    <cellStyle name="Currency 5 5" xfId="2493"/>
    <cellStyle name="Currency 5 50" xfId="2494"/>
    <cellStyle name="Currency 5 51" xfId="2495"/>
    <cellStyle name="Currency 5 52" xfId="2496"/>
    <cellStyle name="Currency 5 53" xfId="2497"/>
    <cellStyle name="Currency 5 54" xfId="2498"/>
    <cellStyle name="Currency 5 55" xfId="2499"/>
    <cellStyle name="Currency 5 56" xfId="2500"/>
    <cellStyle name="Currency 5 57" xfId="2501"/>
    <cellStyle name="Currency 5 58" xfId="2502"/>
    <cellStyle name="Currency 5 59" xfId="2503"/>
    <cellStyle name="Currency 5 6" xfId="2504"/>
    <cellStyle name="Currency 5 60" xfId="2505"/>
    <cellStyle name="Currency 5 61" xfId="2506"/>
    <cellStyle name="Currency 5 62" xfId="2507"/>
    <cellStyle name="Currency 5 63" xfId="2508"/>
    <cellStyle name="Currency 5 64" xfId="2509"/>
    <cellStyle name="Currency 5 65" xfId="2510"/>
    <cellStyle name="Currency 5 66" xfId="2511"/>
    <cellStyle name="Currency 5 67" xfId="2512"/>
    <cellStyle name="Currency 5 68" xfId="2513"/>
    <cellStyle name="Currency 5 69" xfId="2514"/>
    <cellStyle name="Currency 5 7" xfId="2515"/>
    <cellStyle name="Currency 5 70" xfId="2516"/>
    <cellStyle name="Currency 5 71" xfId="2517"/>
    <cellStyle name="Currency 5 72" xfId="2518"/>
    <cellStyle name="Currency 5 73" xfId="2519"/>
    <cellStyle name="Currency 5 74" xfId="2520"/>
    <cellStyle name="Currency 5 75" xfId="2521"/>
    <cellStyle name="Currency 5 76" xfId="2522"/>
    <cellStyle name="Currency 5 77" xfId="2523"/>
    <cellStyle name="Currency 5 78" xfId="2524"/>
    <cellStyle name="Currency 5 79" xfId="2525"/>
    <cellStyle name="Currency 5 8" xfId="2526"/>
    <cellStyle name="Currency 5 80" xfId="2527"/>
    <cellStyle name="Currency 5 81" xfId="2528"/>
    <cellStyle name="Currency 5 82" xfId="2529"/>
    <cellStyle name="Currency 5 83" xfId="2530"/>
    <cellStyle name="Currency 5 84" xfId="2531"/>
    <cellStyle name="Currency 5 85" xfId="2532"/>
    <cellStyle name="Currency 5 86" xfId="2533"/>
    <cellStyle name="Currency 5 87" xfId="2534"/>
    <cellStyle name="Currency 5 88" xfId="2535"/>
    <cellStyle name="Currency 5 89" xfId="2536"/>
    <cellStyle name="Currency 5 9" xfId="2537"/>
    <cellStyle name="Currency 5 90" xfId="2538"/>
    <cellStyle name="Currency 5 91" xfId="2539"/>
    <cellStyle name="Currency 5 92" xfId="2540"/>
    <cellStyle name="Currency 5 93" xfId="2541"/>
    <cellStyle name="Currency 5 94" xfId="2542"/>
    <cellStyle name="Currency 5 95" xfId="2543"/>
    <cellStyle name="Currency 5 96" xfId="2544"/>
    <cellStyle name="Currency 5 97" xfId="2545"/>
    <cellStyle name="Currency 5 98" xfId="2546"/>
    <cellStyle name="Currency 5 99" xfId="2547"/>
    <cellStyle name="Currency 6" xfId="2548"/>
    <cellStyle name="Currency 6 10" xfId="2549"/>
    <cellStyle name="Currency 6 11" xfId="2550"/>
    <cellStyle name="Currency 6 12" xfId="2551"/>
    <cellStyle name="Currency 6 13" xfId="2552"/>
    <cellStyle name="Currency 6 14" xfId="2553"/>
    <cellStyle name="Currency 6 15" xfId="2554"/>
    <cellStyle name="Currency 6 16" xfId="2555"/>
    <cellStyle name="Currency 6 17" xfId="2556"/>
    <cellStyle name="Currency 6 18" xfId="2557"/>
    <cellStyle name="Currency 6 2" xfId="2558"/>
    <cellStyle name="Currency 6 2 2" xfId="2559"/>
    <cellStyle name="Currency 6 2 2 2" xfId="2560"/>
    <cellStyle name="Currency 6 2 3" xfId="2561"/>
    <cellStyle name="Currency 6 3" xfId="2562"/>
    <cellStyle name="Currency 6 4" xfId="2563"/>
    <cellStyle name="Currency 6 5" xfId="2564"/>
    <cellStyle name="Currency 6 6" xfId="2565"/>
    <cellStyle name="Currency 6 7" xfId="2566"/>
    <cellStyle name="Currency 6 8" xfId="2567"/>
    <cellStyle name="Currency 6 9" xfId="2568"/>
    <cellStyle name="Currency 7" xfId="2569"/>
    <cellStyle name="Currency 7 10" xfId="2570"/>
    <cellStyle name="Currency 7 11" xfId="2571"/>
    <cellStyle name="Currency 7 12" xfId="2572"/>
    <cellStyle name="Currency 7 13" xfId="2573"/>
    <cellStyle name="Currency 7 13 2" xfId="2574"/>
    <cellStyle name="Currency 7 13 3" xfId="2575"/>
    <cellStyle name="Currency 7 13 4" xfId="2576"/>
    <cellStyle name="Currency 7 14" xfId="2577"/>
    <cellStyle name="Currency 7 15" xfId="2578"/>
    <cellStyle name="Currency 7 16" xfId="7489"/>
    <cellStyle name="Currency 7 2" xfId="2579"/>
    <cellStyle name="Currency 7 2 10" xfId="2580"/>
    <cellStyle name="Currency 7 2 10 2" xfId="2581"/>
    <cellStyle name="Currency 7 2 11" xfId="2582"/>
    <cellStyle name="Currency 7 2 11 2" xfId="2583"/>
    <cellStyle name="Currency 7 2 12" xfId="2584"/>
    <cellStyle name="Currency 7 2 13" xfId="2585"/>
    <cellStyle name="Currency 7 2 14" xfId="2586"/>
    <cellStyle name="Currency 7 2 2" xfId="2587"/>
    <cellStyle name="Currency 7 2 2 2" xfId="2588"/>
    <cellStyle name="Currency 7 2 3" xfId="2589"/>
    <cellStyle name="Currency 7 2 3 2" xfId="2590"/>
    <cellStyle name="Currency 7 2 4" xfId="2591"/>
    <cellStyle name="Currency 7 2 4 2" xfId="2592"/>
    <cellStyle name="Currency 7 2 5" xfId="2593"/>
    <cellStyle name="Currency 7 2 5 2" xfId="2594"/>
    <cellStyle name="Currency 7 2 6" xfId="2595"/>
    <cellStyle name="Currency 7 2 6 2" xfId="2596"/>
    <cellStyle name="Currency 7 2 7" xfId="2597"/>
    <cellStyle name="Currency 7 2 7 2" xfId="2598"/>
    <cellStyle name="Currency 7 2 8" xfId="2599"/>
    <cellStyle name="Currency 7 2 8 2" xfId="2600"/>
    <cellStyle name="Currency 7 2 9" xfId="2601"/>
    <cellStyle name="Currency 7 2 9 2" xfId="2602"/>
    <cellStyle name="Currency 7 3" xfId="2603"/>
    <cellStyle name="Currency 7 3 2" xfId="2604"/>
    <cellStyle name="Currency 7 4" xfId="2605"/>
    <cellStyle name="Currency 7 5" xfId="2606"/>
    <cellStyle name="Currency 7 6" xfId="2607"/>
    <cellStyle name="Currency 7 7" xfId="2608"/>
    <cellStyle name="Currency 7 8" xfId="2609"/>
    <cellStyle name="Currency 7 9" xfId="2610"/>
    <cellStyle name="Currency 8" xfId="2611"/>
    <cellStyle name="Currency 9" xfId="2612"/>
    <cellStyle name="Currency No$" xfId="2613"/>
    <cellStyle name="Currency Total" xfId="2614"/>
    <cellStyle name="Currency Total 2" xfId="2615"/>
    <cellStyle name="Currency x2 No$" xfId="2616"/>
    <cellStyle name="Currency0" xfId="2617"/>
    <cellStyle name="Custom - Style1" xfId="2618"/>
    <cellStyle name="Custom - Style8" xfId="2619"/>
    <cellStyle name="Data   - Style2" xfId="2620"/>
    <cellStyle name="Date" xfId="2621"/>
    <cellStyle name="Dollarsign" xfId="2622"/>
    <cellStyle name="DOUBLEL" xfId="2623"/>
    <cellStyle name="eatme" xfId="2624"/>
    <cellStyle name="Explanatory Text 2" xfId="2625"/>
    <cellStyle name="Explanatory Text 3" xfId="2626"/>
    <cellStyle name="Explanatory Text 4" xfId="2627"/>
    <cellStyle name="Explanatory Text 5" xfId="2628"/>
    <cellStyle name="Explanatory Text 6" xfId="2629"/>
    <cellStyle name="Fixed" xfId="2630"/>
    <cellStyle name="Formula" xfId="2631"/>
    <cellStyle name="Gas Cost x5" xfId="2632"/>
    <cellStyle name="Good 2" xfId="2633"/>
    <cellStyle name="Good 3" xfId="2634"/>
    <cellStyle name="Good 4" xfId="2635"/>
    <cellStyle name="Good 5" xfId="2636"/>
    <cellStyle name="Good 6" xfId="2637"/>
    <cellStyle name="Hardcoded" xfId="2638"/>
    <cellStyle name="Head Title" xfId="2639"/>
    <cellStyle name="Heading 1 2" xfId="2640"/>
    <cellStyle name="Heading 1 3" xfId="2641"/>
    <cellStyle name="Heading 1 4" xfId="2642"/>
    <cellStyle name="Heading 1 5" xfId="2643"/>
    <cellStyle name="Heading 1 6" xfId="2644"/>
    <cellStyle name="Heading 2 2" xfId="2645"/>
    <cellStyle name="Heading 2 3" xfId="2646"/>
    <cellStyle name="Heading 2 4" xfId="2647"/>
    <cellStyle name="Heading 2 5" xfId="2648"/>
    <cellStyle name="Heading 2 6" xfId="2649"/>
    <cellStyle name="Heading 3 2" xfId="2650"/>
    <cellStyle name="Heading 3 3" xfId="2651"/>
    <cellStyle name="Heading 3 4" xfId="2652"/>
    <cellStyle name="Heading 3 5" xfId="2653"/>
    <cellStyle name="Heading 3 6" xfId="2654"/>
    <cellStyle name="Heading 4 2" xfId="2655"/>
    <cellStyle name="Heading 4 3" xfId="2656"/>
    <cellStyle name="Heading 4 4" xfId="2657"/>
    <cellStyle name="Heading 4 5" xfId="2658"/>
    <cellStyle name="Heading 4 6" xfId="2659"/>
    <cellStyle name="HeadlineStyle" xfId="1"/>
    <cellStyle name="HeadlineStyle 10" xfId="2660"/>
    <cellStyle name="HeadlineStyle 11" xfId="2661"/>
    <cellStyle name="HeadlineStyle 12" xfId="2662"/>
    <cellStyle name="HeadlineStyle 13" xfId="2663"/>
    <cellStyle name="HeadlineStyle 14" xfId="2664"/>
    <cellStyle name="HeadlineStyle 15" xfId="2665"/>
    <cellStyle name="HeadlineStyle 16" xfId="2666"/>
    <cellStyle name="HeadlineStyle 2" xfId="2667"/>
    <cellStyle name="HeadlineStyle 3" xfId="2668"/>
    <cellStyle name="HeadlineStyle 4" xfId="2669"/>
    <cellStyle name="HeadlineStyle 5" xfId="2670"/>
    <cellStyle name="HeadlineStyle 6" xfId="2671"/>
    <cellStyle name="HeadlineStyle 7" xfId="2672"/>
    <cellStyle name="HeadlineStyle 8" xfId="2673"/>
    <cellStyle name="HeadlineStyle 9" xfId="2674"/>
    <cellStyle name="HeadlineStyleJustified" xfId="2"/>
    <cellStyle name="HeadlineStyleJustified 10" xfId="2675"/>
    <cellStyle name="HeadlineStyleJustified 11" xfId="2676"/>
    <cellStyle name="HeadlineStyleJustified 12" xfId="2677"/>
    <cellStyle name="HeadlineStyleJustified 13" xfId="2678"/>
    <cellStyle name="HeadlineStyleJustified 14" xfId="2679"/>
    <cellStyle name="HeadlineStyleJustified 15" xfId="2680"/>
    <cellStyle name="HeadlineStyleJustified 16" xfId="2681"/>
    <cellStyle name="HeadlineStyleJustified 2" xfId="2682"/>
    <cellStyle name="HeadlineStyleJustified 3" xfId="2683"/>
    <cellStyle name="HeadlineStyleJustified 4" xfId="2684"/>
    <cellStyle name="HeadlineStyleJustified 5" xfId="2685"/>
    <cellStyle name="HeadlineStyleJustified 6" xfId="2686"/>
    <cellStyle name="HeadlineStyleJustified 7" xfId="2687"/>
    <cellStyle name="HeadlineStyleJustified 8" xfId="2688"/>
    <cellStyle name="HeadlineStyleJustified 9" xfId="2689"/>
    <cellStyle name="Hyperlink 2" xfId="34"/>
    <cellStyle name="Hyperlink 2 2" xfId="2690"/>
    <cellStyle name="Hyperlink 3" xfId="2691"/>
    <cellStyle name="inc/dec" xfId="2692"/>
    <cellStyle name="inc/dec 2" xfId="2693"/>
    <cellStyle name="Input 2" xfId="2694"/>
    <cellStyle name="Input 3" xfId="2695"/>
    <cellStyle name="Input 4" xfId="2696"/>
    <cellStyle name="Input 5" xfId="2697"/>
    <cellStyle name="Input 6" xfId="2698"/>
    <cellStyle name="Labels - Style3" xfId="2699"/>
    <cellStyle name="Labor" xfId="2700"/>
    <cellStyle name="Lines" xfId="2701"/>
    <cellStyle name="Linked Amount" xfId="2702"/>
    <cellStyle name="Linked Cell 2" xfId="2703"/>
    <cellStyle name="Linked Cell 3" xfId="2704"/>
    <cellStyle name="Linked Cell 4" xfId="2705"/>
    <cellStyle name="Linked Cell 5" xfId="2706"/>
    <cellStyle name="Linked Cell 6" xfId="2707"/>
    <cellStyle name="Neutral 2" xfId="2708"/>
    <cellStyle name="Neutral 3" xfId="2709"/>
    <cellStyle name="Neutral 4" xfId="2710"/>
    <cellStyle name="Neutral 5" xfId="2711"/>
    <cellStyle name="Neutral 6" xfId="2712"/>
    <cellStyle name="Normal" xfId="0" builtinId="0"/>
    <cellStyle name="Normal - Style1" xfId="2713"/>
    <cellStyle name="Normal - Style2" xfId="2714"/>
    <cellStyle name="Normal - Style3" xfId="2715"/>
    <cellStyle name="Normal - Style4" xfId="2716"/>
    <cellStyle name="Normal - Style5" xfId="2717"/>
    <cellStyle name="Normal - Style6" xfId="2718"/>
    <cellStyle name="Normal - Style7" xfId="2719"/>
    <cellStyle name="Normal - Style8" xfId="2720"/>
    <cellStyle name="Normal 10" xfId="22"/>
    <cellStyle name="Normal 10 10" xfId="2721"/>
    <cellStyle name="Normal 10 10 2" xfId="2722"/>
    <cellStyle name="Normal 10 10 3" xfId="2723"/>
    <cellStyle name="Normal 10 10 3 2" xfId="7541"/>
    <cellStyle name="Normal 10 10 4" xfId="2724"/>
    <cellStyle name="Normal 10 10 5" xfId="7521"/>
    <cellStyle name="Normal 10 10 6 2" xfId="7543"/>
    <cellStyle name="Normal 10 11" xfId="2725"/>
    <cellStyle name="Normal 10 11 2" xfId="2726"/>
    <cellStyle name="Normal 10 11 2 2" xfId="2727"/>
    <cellStyle name="Normal 10 11 3" xfId="2728"/>
    <cellStyle name="Normal 10 11 4" xfId="7523"/>
    <cellStyle name="Normal 10 12" xfId="2729"/>
    <cellStyle name="Normal 10 12 2" xfId="2730"/>
    <cellStyle name="Normal 10 12 2 2" xfId="2731"/>
    <cellStyle name="Normal 10 12 3" xfId="2732"/>
    <cellStyle name="Normal 10 13" xfId="2733"/>
    <cellStyle name="Normal 10 13 2" xfId="2734"/>
    <cellStyle name="Normal 10 13 2 2" xfId="2735"/>
    <cellStyle name="Normal 10 13 3" xfId="2736"/>
    <cellStyle name="Normal 10 14" xfId="2737"/>
    <cellStyle name="Normal 10 14 10" xfId="2738"/>
    <cellStyle name="Normal 10 14 10 2" xfId="2739"/>
    <cellStyle name="Normal 10 14 10 2 2" xfId="2740"/>
    <cellStyle name="Normal 10 14 10 3" xfId="2741"/>
    <cellStyle name="Normal 10 14 11" xfId="2742"/>
    <cellStyle name="Normal 10 14 11 2" xfId="2743"/>
    <cellStyle name="Normal 10 14 11 2 2" xfId="2744"/>
    <cellStyle name="Normal 10 14 11 3" xfId="2745"/>
    <cellStyle name="Normal 10 14 12" xfId="2746"/>
    <cellStyle name="Normal 10 14 12 2" xfId="2747"/>
    <cellStyle name="Normal 10 14 12 2 2" xfId="2748"/>
    <cellStyle name="Normal 10 14 12 3" xfId="2749"/>
    <cellStyle name="Normal 10 14 13" xfId="2750"/>
    <cellStyle name="Normal 10 14 2" xfId="2751"/>
    <cellStyle name="Normal 10 14 2 2" xfId="2752"/>
    <cellStyle name="Normal 10 14 2 2 2" xfId="2753"/>
    <cellStyle name="Normal 10 14 2 3" xfId="2754"/>
    <cellStyle name="Normal 10 14 3" xfId="2755"/>
    <cellStyle name="Normal 10 14 3 2" xfId="2756"/>
    <cellStyle name="Normal 10 14 3 2 2" xfId="2757"/>
    <cellStyle name="Normal 10 14 3 3" xfId="2758"/>
    <cellStyle name="Normal 10 14 4" xfId="2759"/>
    <cellStyle name="Normal 10 14 4 2" xfId="2760"/>
    <cellStyle name="Normal 10 14 4 2 2" xfId="2761"/>
    <cellStyle name="Normal 10 14 4 3" xfId="2762"/>
    <cellStyle name="Normal 10 14 5" xfId="2763"/>
    <cellStyle name="Normal 10 14 5 2" xfId="2764"/>
    <cellStyle name="Normal 10 14 5 2 2" xfId="2765"/>
    <cellStyle name="Normal 10 14 5 3" xfId="2766"/>
    <cellStyle name="Normal 10 14 6" xfId="2767"/>
    <cellStyle name="Normal 10 14 6 2" xfId="2768"/>
    <cellStyle name="Normal 10 14 6 2 2" xfId="2769"/>
    <cellStyle name="Normal 10 14 6 3" xfId="2770"/>
    <cellStyle name="Normal 10 14 7" xfId="2771"/>
    <cellStyle name="Normal 10 14 7 2" xfId="2772"/>
    <cellStyle name="Normal 10 14 7 2 2" xfId="2773"/>
    <cellStyle name="Normal 10 14 7 3" xfId="2774"/>
    <cellStyle name="Normal 10 14 8" xfId="2775"/>
    <cellStyle name="Normal 10 14 8 2" xfId="2776"/>
    <cellStyle name="Normal 10 14 8 2 2" xfId="2777"/>
    <cellStyle name="Normal 10 14 8 3" xfId="2778"/>
    <cellStyle name="Normal 10 14 9" xfId="2779"/>
    <cellStyle name="Normal 10 14 9 2" xfId="2780"/>
    <cellStyle name="Normal 10 14 9 2 2" xfId="2781"/>
    <cellStyle name="Normal 10 14 9 3" xfId="2782"/>
    <cellStyle name="Normal 10 15" xfId="2783"/>
    <cellStyle name="Normal 10 15 2" xfId="2784"/>
    <cellStyle name="Normal 10 15 2 2" xfId="2785"/>
    <cellStyle name="Normal 10 15 3" xfId="2786"/>
    <cellStyle name="Normal 10 16" xfId="2787"/>
    <cellStyle name="Normal 10 16 2" xfId="2788"/>
    <cellStyle name="Normal 10 16 2 2" xfId="2789"/>
    <cellStyle name="Normal 10 16 3" xfId="2790"/>
    <cellStyle name="Normal 10 17" xfId="2791"/>
    <cellStyle name="Normal 10 17 2" xfId="2792"/>
    <cellStyle name="Normal 10 17 2 2" xfId="2793"/>
    <cellStyle name="Normal 10 17 3" xfId="2794"/>
    <cellStyle name="Normal 10 18" xfId="2795"/>
    <cellStyle name="Normal 10 18 2" xfId="2796"/>
    <cellStyle name="Normal 10 18 2 2" xfId="2797"/>
    <cellStyle name="Normal 10 18 3" xfId="2798"/>
    <cellStyle name="Normal 10 19" xfId="2799"/>
    <cellStyle name="Normal 10 19 2" xfId="2800"/>
    <cellStyle name="Normal 10 19 2 2" xfId="2801"/>
    <cellStyle name="Normal 10 19 3" xfId="2802"/>
    <cellStyle name="Normal 10 2" xfId="2803"/>
    <cellStyle name="Normal 10 2 2" xfId="2804"/>
    <cellStyle name="Normal 10 2 2 2" xfId="2805"/>
    <cellStyle name="Normal 10 2 3" xfId="2806"/>
    <cellStyle name="Normal 10 20" xfId="2807"/>
    <cellStyle name="Normal 10 20 2" xfId="2808"/>
    <cellStyle name="Normal 10 20 2 2" xfId="2809"/>
    <cellStyle name="Normal 10 20 3" xfId="2810"/>
    <cellStyle name="Normal 10 21" xfId="2811"/>
    <cellStyle name="Normal 10 21 2" xfId="2812"/>
    <cellStyle name="Normal 10 21 3" xfId="2813"/>
    <cellStyle name="Normal 10 21 4" xfId="2814"/>
    <cellStyle name="Normal 10 22" xfId="2815"/>
    <cellStyle name="Normal 10 22 2" xfId="2816"/>
    <cellStyle name="Normal 10 23" xfId="2817"/>
    <cellStyle name="Normal 10 23 2" xfId="2818"/>
    <cellStyle name="Normal 10 24" xfId="2819"/>
    <cellStyle name="Normal 10 25" xfId="2820"/>
    <cellStyle name="Normal 10 26" xfId="2821"/>
    <cellStyle name="Normal 10 26 2" xfId="2822"/>
    <cellStyle name="Normal 10 27" xfId="2823"/>
    <cellStyle name="Normal 10 28" xfId="2824"/>
    <cellStyle name="Normal 10 29" xfId="2825"/>
    <cellStyle name="Normal 10 3" xfId="2826"/>
    <cellStyle name="Normal 10 3 2" xfId="2827"/>
    <cellStyle name="Normal 10 3 2 2" xfId="2828"/>
    <cellStyle name="Normal 10 3 3" xfId="2829"/>
    <cellStyle name="Normal 10 30" xfId="2830"/>
    <cellStyle name="Normal 10 31" xfId="2831"/>
    <cellStyle name="Normal 10 32" xfId="2832"/>
    <cellStyle name="Normal 10 33" xfId="2833"/>
    <cellStyle name="Normal 10 34" xfId="2834"/>
    <cellStyle name="Normal 10 35" xfId="2835"/>
    <cellStyle name="Normal 10 36" xfId="2836"/>
    <cellStyle name="Normal 10 37" xfId="2837"/>
    <cellStyle name="Normal 10 38" xfId="2838"/>
    <cellStyle name="Normal 10 39" xfId="2839"/>
    <cellStyle name="Normal 10 4" xfId="2840"/>
    <cellStyle name="Normal 10 4 2" xfId="2841"/>
    <cellStyle name="Normal 10 4 2 2" xfId="2842"/>
    <cellStyle name="Normal 10 4 3" xfId="2843"/>
    <cellStyle name="Normal 10 40" xfId="2844"/>
    <cellStyle name="Normal 10 41" xfId="2845"/>
    <cellStyle name="Normal 10 42" xfId="2846"/>
    <cellStyle name="Normal 10 43" xfId="2847"/>
    <cellStyle name="Normal 10 44" xfId="2848"/>
    <cellStyle name="Normal 10 45" xfId="2849"/>
    <cellStyle name="Normal 10 46" xfId="2850"/>
    <cellStyle name="Normal 10 47" xfId="2851"/>
    <cellStyle name="Normal 10 48" xfId="2852"/>
    <cellStyle name="Normal 10 49" xfId="2853"/>
    <cellStyle name="Normal 10 5" xfId="2854"/>
    <cellStyle name="Normal 10 5 2" xfId="2855"/>
    <cellStyle name="Normal 10 5 2 2" xfId="2856"/>
    <cellStyle name="Normal 10 5 3" xfId="2857"/>
    <cellStyle name="Normal 10 50" xfId="2858"/>
    <cellStyle name="Normal 10 51" xfId="2859"/>
    <cellStyle name="Normal 10 52" xfId="2860"/>
    <cellStyle name="Normal 10 53" xfId="2861"/>
    <cellStyle name="Normal 10 54" xfId="2862"/>
    <cellStyle name="Normal 10 55" xfId="2863"/>
    <cellStyle name="Normal 10 56" xfId="2864"/>
    <cellStyle name="Normal 10 57" xfId="2865"/>
    <cellStyle name="Normal 10 58" xfId="2866"/>
    <cellStyle name="Normal 10 59" xfId="2867"/>
    <cellStyle name="Normal 10 6" xfId="2868"/>
    <cellStyle name="Normal 10 6 2" xfId="2869"/>
    <cellStyle name="Normal 10 6 2 2" xfId="2870"/>
    <cellStyle name="Normal 10 6 3" xfId="2871"/>
    <cellStyle name="Normal 10 60" xfId="2872"/>
    <cellStyle name="Normal 10 61" xfId="2873"/>
    <cellStyle name="Normal 10 62" xfId="2874"/>
    <cellStyle name="Normal 10 63" xfId="2875"/>
    <cellStyle name="Normal 10 64" xfId="2876"/>
    <cellStyle name="Normal 10 65" xfId="2877"/>
    <cellStyle name="Normal 10 66" xfId="2878"/>
    <cellStyle name="Normal 10 67" xfId="2879"/>
    <cellStyle name="Normal 10 68" xfId="2880"/>
    <cellStyle name="Normal 10 69" xfId="2881"/>
    <cellStyle name="Normal 10 7" xfId="2882"/>
    <cellStyle name="Normal 10 7 2" xfId="2883"/>
    <cellStyle name="Normal 10 7 2 2" xfId="2884"/>
    <cellStyle name="Normal 10 7 3" xfId="2885"/>
    <cellStyle name="Normal 10 70" xfId="2886"/>
    <cellStyle name="Normal 10 71" xfId="2887"/>
    <cellStyle name="Normal 10 72" xfId="2888"/>
    <cellStyle name="Normal 10 73" xfId="2889"/>
    <cellStyle name="Normal 10 8" xfId="2890"/>
    <cellStyle name="Normal 10 8 2" xfId="2891"/>
    <cellStyle name="Normal 10 8 2 2" xfId="2892"/>
    <cellStyle name="Normal 10 8 3" xfId="2893"/>
    <cellStyle name="Normal 10 9" xfId="2894"/>
    <cellStyle name="Normal 10 9 2" xfId="2895"/>
    <cellStyle name="Normal 10 9 3" xfId="2896"/>
    <cellStyle name="Normal 10 9 4" xfId="2897"/>
    <cellStyle name="Normal 100" xfId="2898"/>
    <cellStyle name="Normal 101" xfId="2899"/>
    <cellStyle name="Normal 102" xfId="2900"/>
    <cellStyle name="Normal 103" xfId="2901"/>
    <cellStyle name="Normal 104" xfId="2902"/>
    <cellStyle name="Normal 105" xfId="2903"/>
    <cellStyle name="Normal 106" xfId="2904"/>
    <cellStyle name="Normal 107" xfId="2905"/>
    <cellStyle name="Normal 108" xfId="2906"/>
    <cellStyle name="Normal 109" xfId="2907"/>
    <cellStyle name="Normal 11" xfId="2908"/>
    <cellStyle name="Normal 11 10" xfId="2909"/>
    <cellStyle name="Normal 11 11" xfId="2910"/>
    <cellStyle name="Normal 11 12" xfId="2911"/>
    <cellStyle name="Normal 11 13" xfId="2912"/>
    <cellStyle name="Normal 11 14" xfId="2913"/>
    <cellStyle name="Normal 11 2" xfId="2914"/>
    <cellStyle name="Normal 11 2 10" xfId="2915"/>
    <cellStyle name="Normal 11 2 2" xfId="2916"/>
    <cellStyle name="Normal 11 2 2 2" xfId="2917"/>
    <cellStyle name="Normal 11 2 2 2 2" xfId="2918"/>
    <cellStyle name="Normal 11 2 2 3" xfId="2919"/>
    <cellStyle name="Normal 11 2 2 4" xfId="2920"/>
    <cellStyle name="Normal 11 2 2 5" xfId="2921"/>
    <cellStyle name="Normal 11 2 2 6" xfId="2922"/>
    <cellStyle name="Normal 11 2 2 7" xfId="2923"/>
    <cellStyle name="Normal 11 2 2 8" xfId="2924"/>
    <cellStyle name="Normal 11 2 2 9" xfId="2925"/>
    <cellStyle name="Normal 11 2 3" xfId="2926"/>
    <cellStyle name="Normal 11 2 4" xfId="2927"/>
    <cellStyle name="Normal 11 2 5" xfId="2928"/>
    <cellStyle name="Normal 11 2 6" xfId="2929"/>
    <cellStyle name="Normal 11 2 7" xfId="2930"/>
    <cellStyle name="Normal 11 2 8" xfId="2931"/>
    <cellStyle name="Normal 11 2 9" xfId="2932"/>
    <cellStyle name="Normal 11 3" xfId="2933"/>
    <cellStyle name="Normal 11 4" xfId="2934"/>
    <cellStyle name="Normal 11 5" xfId="2935"/>
    <cellStyle name="Normal 11 6" xfId="2936"/>
    <cellStyle name="Normal 11 6 2" xfId="2937"/>
    <cellStyle name="Normal 11 7" xfId="2938"/>
    <cellStyle name="Normal 11 8" xfId="2939"/>
    <cellStyle name="Normal 11 9" xfId="2940"/>
    <cellStyle name="Normal 110" xfId="2941"/>
    <cellStyle name="Normal 111" xfId="2942"/>
    <cellStyle name="Normal 112" xfId="2943"/>
    <cellStyle name="Normal 113" xfId="2944"/>
    <cellStyle name="Normal 114" xfId="2945"/>
    <cellStyle name="Normal 115" xfId="2946"/>
    <cellStyle name="Normal 116" xfId="2947"/>
    <cellStyle name="Normal 117" xfId="2948"/>
    <cellStyle name="Normal 118" xfId="2949"/>
    <cellStyle name="Normal 119" xfId="2950"/>
    <cellStyle name="Normal 12" xfId="2951"/>
    <cellStyle name="Normal 12 10" xfId="2952"/>
    <cellStyle name="Normal 12 10 2" xfId="7520"/>
    <cellStyle name="Normal 12 11" xfId="2953"/>
    <cellStyle name="Normal 12 12" xfId="2954"/>
    <cellStyle name="Normal 12 13" xfId="2955"/>
    <cellStyle name="Normal 12 14" xfId="2956"/>
    <cellStyle name="Normal 12 15" xfId="2957"/>
    <cellStyle name="Normal 12 16" xfId="2958"/>
    <cellStyle name="Normal 12 17" xfId="2959"/>
    <cellStyle name="Normal 12 18" xfId="2960"/>
    <cellStyle name="Normal 12 19" xfId="2961"/>
    <cellStyle name="Normal 12 2" xfId="2962"/>
    <cellStyle name="Normal 12 2 2" xfId="2963"/>
    <cellStyle name="Normal 12 2 2 2" xfId="2964"/>
    <cellStyle name="Normal 12 2 3" xfId="2965"/>
    <cellStyle name="Normal 12 20" xfId="2966"/>
    <cellStyle name="Normal 12 21" xfId="2967"/>
    <cellStyle name="Normal 12 22" xfId="2968"/>
    <cellStyle name="Normal 12 23" xfId="2969"/>
    <cellStyle name="Normal 12 24" xfId="2970"/>
    <cellStyle name="Normal 12 25" xfId="2971"/>
    <cellStyle name="Normal 12 26" xfId="2972"/>
    <cellStyle name="Normal 12 27" xfId="2973"/>
    <cellStyle name="Normal 12 28" xfId="2974"/>
    <cellStyle name="Normal 12 29" xfId="2975"/>
    <cellStyle name="Normal 12 3" xfId="2976"/>
    <cellStyle name="Normal 12 30" xfId="2977"/>
    <cellStyle name="Normal 12 31" xfId="2978"/>
    <cellStyle name="Normal 12 32" xfId="2979"/>
    <cellStyle name="Normal 12 33" xfId="2980"/>
    <cellStyle name="Normal 12 34" xfId="2981"/>
    <cellStyle name="Normal 12 35" xfId="2982"/>
    <cellStyle name="Normal 12 36" xfId="2983"/>
    <cellStyle name="Normal 12 37" xfId="2984"/>
    <cellStyle name="Normal 12 38" xfId="2985"/>
    <cellStyle name="Normal 12 39" xfId="2986"/>
    <cellStyle name="Normal 12 4" xfId="2987"/>
    <cellStyle name="Normal 12 40" xfId="2988"/>
    <cellStyle name="Normal 12 41" xfId="2989"/>
    <cellStyle name="Normal 12 42" xfId="2990"/>
    <cellStyle name="Normal 12 43" xfId="2991"/>
    <cellStyle name="Normal 12 44" xfId="2992"/>
    <cellStyle name="Normal 12 45" xfId="2993"/>
    <cellStyle name="Normal 12 46" xfId="2994"/>
    <cellStyle name="Normal 12 47" xfId="2995"/>
    <cellStyle name="Normal 12 48" xfId="2996"/>
    <cellStyle name="Normal 12 49" xfId="2997"/>
    <cellStyle name="Normal 12 5" xfId="2998"/>
    <cellStyle name="Normal 12 50" xfId="7536"/>
    <cellStyle name="Normal 12 6" xfId="2999"/>
    <cellStyle name="Normal 12 7" xfId="3000"/>
    <cellStyle name="Normal 12 8" xfId="3001"/>
    <cellStyle name="Normal 12 9" xfId="3002"/>
    <cellStyle name="Normal 120" xfId="3003"/>
    <cellStyle name="Normal 121" xfId="3004"/>
    <cellStyle name="Normal 122" xfId="3005"/>
    <cellStyle name="Normal 123" xfId="3006"/>
    <cellStyle name="Normal 124" xfId="3007"/>
    <cellStyle name="Normal 125" xfId="3008"/>
    <cellStyle name="Normal 126" xfId="3009"/>
    <cellStyle name="Normal 127" xfId="3010"/>
    <cellStyle name="Normal 128" xfId="3011"/>
    <cellStyle name="Normal 129" xfId="3012"/>
    <cellStyle name="Normal 13" xfId="3013"/>
    <cellStyle name="Normal 13 10" xfId="3014"/>
    <cellStyle name="Normal 13 11" xfId="3015"/>
    <cellStyle name="Normal 13 12" xfId="3016"/>
    <cellStyle name="Normal 13 13" xfId="3017"/>
    <cellStyle name="Normal 13 14" xfId="3018"/>
    <cellStyle name="Normal 13 15" xfId="3019"/>
    <cellStyle name="Normal 13 16" xfId="3020"/>
    <cellStyle name="Normal 13 17" xfId="3021"/>
    <cellStyle name="Normal 13 18" xfId="3022"/>
    <cellStyle name="Normal 13 19" xfId="3023"/>
    <cellStyle name="Normal 13 2" xfId="3024"/>
    <cellStyle name="Normal 13 2 2" xfId="3025"/>
    <cellStyle name="Normal 13 2 2 2" xfId="3026"/>
    <cellStyle name="Normal 13 2 3" xfId="3027"/>
    <cellStyle name="Normal 13 2 4" xfId="3028"/>
    <cellStyle name="Normal 13 2 5" xfId="3029"/>
    <cellStyle name="Normal 13 20" xfId="3030"/>
    <cellStyle name="Normal 13 21" xfId="3031"/>
    <cellStyle name="Normal 13 22" xfId="3032"/>
    <cellStyle name="Normal 13 3" xfId="3033"/>
    <cellStyle name="Normal 13 3 2" xfId="3034"/>
    <cellStyle name="Normal 13 4" xfId="3035"/>
    <cellStyle name="Normal 13 4 2" xfId="3036"/>
    <cellStyle name="Normal 13 4 2 2" xfId="3037"/>
    <cellStyle name="Normal 13 4 3" xfId="3038"/>
    <cellStyle name="Normal 13 5" xfId="3039"/>
    <cellStyle name="Normal 13 5 2" xfId="3040"/>
    <cellStyle name="Normal 13 6" xfId="3041"/>
    <cellStyle name="Normal 13 7" xfId="3042"/>
    <cellStyle name="Normal 13 8" xfId="3043"/>
    <cellStyle name="Normal 13 9" xfId="3044"/>
    <cellStyle name="Normal 130" xfId="3045"/>
    <cellStyle name="Normal 131" xfId="3046"/>
    <cellStyle name="Normal 131 2" xfId="3047"/>
    <cellStyle name="Normal 132" xfId="3048"/>
    <cellStyle name="Normal 133" xfId="3049"/>
    <cellStyle name="Normal 134" xfId="3050"/>
    <cellStyle name="Normal 134 2" xfId="3051"/>
    <cellStyle name="Normal 134 2 2" xfId="3052"/>
    <cellStyle name="Normal 135" xfId="3053"/>
    <cellStyle name="Normal 136" xfId="3054"/>
    <cellStyle name="Normal 137" xfId="3055"/>
    <cellStyle name="Normal 138" xfId="3056"/>
    <cellStyle name="Normal 139" xfId="3057"/>
    <cellStyle name="Normal 14" xfId="3058"/>
    <cellStyle name="Normal 14 10" xfId="3059"/>
    <cellStyle name="Normal 14 11" xfId="3060"/>
    <cellStyle name="Normal 14 2" xfId="3061"/>
    <cellStyle name="Normal 14 2 2" xfId="3062"/>
    <cellStyle name="Normal 14 2 3" xfId="3063"/>
    <cellStyle name="Normal 14 3" xfId="3064"/>
    <cellStyle name="Normal 14 3 2" xfId="3065"/>
    <cellStyle name="Normal 14 4" xfId="3066"/>
    <cellStyle name="Normal 14 4 2" xfId="3067"/>
    <cellStyle name="Normal 14 5" xfId="3068"/>
    <cellStyle name="Normal 14 6" xfId="3069"/>
    <cellStyle name="Normal 14 7" xfId="3070"/>
    <cellStyle name="Normal 14 8" xfId="3071"/>
    <cellStyle name="Normal 14 9" xfId="3072"/>
    <cellStyle name="Normal 140" xfId="3073"/>
    <cellStyle name="Normal 140 2" xfId="3074"/>
    <cellStyle name="Normal 141" xfId="3075"/>
    <cellStyle name="Normal 142" xfId="3076"/>
    <cellStyle name="Normal 143" xfId="3077"/>
    <cellStyle name="Normal 144" xfId="3078"/>
    <cellStyle name="Normal 145" xfId="3079"/>
    <cellStyle name="Normal 146" xfId="3080"/>
    <cellStyle name="Normal 147" xfId="3081"/>
    <cellStyle name="Normal 148" xfId="3082"/>
    <cellStyle name="Normal 149" xfId="3083"/>
    <cellStyle name="Normal 15" xfId="3084"/>
    <cellStyle name="Normal 15 2" xfId="3085"/>
    <cellStyle name="Normal 15 2 2" xfId="3086"/>
    <cellStyle name="Normal 15 3" xfId="3087"/>
    <cellStyle name="Normal 15 3 2" xfId="3088"/>
    <cellStyle name="Normal 15 4" xfId="3089"/>
    <cellStyle name="Normal 15 4 2" xfId="3090"/>
    <cellStyle name="Normal 15 5" xfId="3091"/>
    <cellStyle name="Normal 150" xfId="3092"/>
    <cellStyle name="Normal 151" xfId="3093"/>
    <cellStyle name="Normal 152" xfId="3094"/>
    <cellStyle name="Normal 153" xfId="3095"/>
    <cellStyle name="Normal 154" xfId="42"/>
    <cellStyle name="Normal 155" xfId="3096"/>
    <cellStyle name="Normal 156" xfId="3097"/>
    <cellStyle name="Normal 157" xfId="3098"/>
    <cellStyle name="Normal 158" xfId="3099"/>
    <cellStyle name="Normal 159" xfId="3100"/>
    <cellStyle name="Normal 16" xfId="3101"/>
    <cellStyle name="Normal 16 2" xfId="3102"/>
    <cellStyle name="Normal 16 2 2" xfId="3103"/>
    <cellStyle name="Normal 16 2 3" xfId="7516"/>
    <cellStyle name="Normal 16 3" xfId="3104"/>
    <cellStyle name="Normal 16 4" xfId="3105"/>
    <cellStyle name="Normal 16 5" xfId="3106"/>
    <cellStyle name="Normal 16 6" xfId="3107"/>
    <cellStyle name="Normal 16 7" xfId="3108"/>
    <cellStyle name="Normal 160" xfId="3109"/>
    <cellStyle name="Normal 161" xfId="3110"/>
    <cellStyle name="Normal 162" xfId="3111"/>
    <cellStyle name="Normal 163" xfId="3112"/>
    <cellStyle name="Normal 164" xfId="3113"/>
    <cellStyle name="Normal 165" xfId="3114"/>
    <cellStyle name="Normal 166" xfId="3115"/>
    <cellStyle name="Normal 167" xfId="3116"/>
    <cellStyle name="Normal 168" xfId="3117"/>
    <cellStyle name="Normal 169" xfId="3118"/>
    <cellStyle name="Normal 17" xfId="3119"/>
    <cellStyle name="Normal 17 2" xfId="3120"/>
    <cellStyle name="Normal 17 2 2" xfId="3121"/>
    <cellStyle name="Normal 17 3" xfId="3122"/>
    <cellStyle name="Normal 17 4" xfId="3123"/>
    <cellStyle name="Normal 17 4 2" xfId="3124"/>
    <cellStyle name="Normal 170" xfId="3125"/>
    <cellStyle name="Normal 171" xfId="3126"/>
    <cellStyle name="Normal 172" xfId="3127"/>
    <cellStyle name="Normal 173" xfId="3128"/>
    <cellStyle name="Normal 174" xfId="3129"/>
    <cellStyle name="Normal 175" xfId="3130"/>
    <cellStyle name="Normal 176" xfId="3131"/>
    <cellStyle name="Normal 177" xfId="3132"/>
    <cellStyle name="Normal 178" xfId="3133"/>
    <cellStyle name="Normal 179" xfId="3134"/>
    <cellStyle name="Normal 18" xfId="3135"/>
    <cellStyle name="Normal 18 2" xfId="3136"/>
    <cellStyle name="Normal 18 2 2" xfId="3137"/>
    <cellStyle name="Normal 18 3" xfId="3138"/>
    <cellStyle name="Normal 18 4" xfId="3139"/>
    <cellStyle name="Normal 18 5" xfId="3140"/>
    <cellStyle name="Normal 180" xfId="3141"/>
    <cellStyle name="Normal 181" xfId="3142"/>
    <cellStyle name="Normal 182" xfId="3143"/>
    <cellStyle name="Normal 183" xfId="3144"/>
    <cellStyle name="Normal 184" xfId="3145"/>
    <cellStyle name="Normal 185" xfId="3146"/>
    <cellStyle name="Normal 186" xfId="3147"/>
    <cellStyle name="Normal 187" xfId="3148"/>
    <cellStyle name="Normal 188" xfId="3149"/>
    <cellStyle name="Normal 189" xfId="3150"/>
    <cellStyle name="Normal 19" xfId="3151"/>
    <cellStyle name="Normal 19 2" xfId="3152"/>
    <cellStyle name="Normal 190" xfId="3153"/>
    <cellStyle name="Normal 191" xfId="3154"/>
    <cellStyle name="Normal 192" xfId="3155"/>
    <cellStyle name="Normal 193" xfId="7413"/>
    <cellStyle name="Normal 194" xfId="7415"/>
    <cellStyle name="Normal 194 2" xfId="7514"/>
    <cellStyle name="Normal 195" xfId="7423"/>
    <cellStyle name="Normal 196" xfId="7428"/>
    <cellStyle name="Normal 197" xfId="7510"/>
    <cellStyle name="Normal 198" xfId="7524"/>
    <cellStyle name="Normal 199" xfId="7546"/>
    <cellStyle name="Normal 2" xfId="21"/>
    <cellStyle name="Normal 2 10" xfId="3156"/>
    <cellStyle name="Normal 2 10 2" xfId="3157"/>
    <cellStyle name="Normal 2 10 3" xfId="3158"/>
    <cellStyle name="Normal 2 10 4" xfId="3159"/>
    <cellStyle name="Normal 2 10 5" xfId="3160"/>
    <cellStyle name="Normal 2 10 6" xfId="7518"/>
    <cellStyle name="Normal 2 10 9" xfId="7535"/>
    <cellStyle name="Normal 2 100" xfId="3161"/>
    <cellStyle name="Normal 2 101" xfId="3162"/>
    <cellStyle name="Normal 2 102" xfId="3163"/>
    <cellStyle name="Normal 2 103" xfId="3164"/>
    <cellStyle name="Normal 2 104" xfId="3165"/>
    <cellStyle name="Normal 2 105" xfId="3166"/>
    <cellStyle name="Normal 2 106" xfId="3167"/>
    <cellStyle name="Normal 2 107" xfId="3168"/>
    <cellStyle name="Normal 2 108" xfId="3169"/>
    <cellStyle name="Normal 2 109" xfId="3170"/>
    <cellStyle name="Normal 2 11" xfId="3171"/>
    <cellStyle name="Normal 2 11 2" xfId="3172"/>
    <cellStyle name="Normal 2 11 3" xfId="3173"/>
    <cellStyle name="Normal 2 11 4" xfId="3174"/>
    <cellStyle name="Normal 2 110" xfId="3175"/>
    <cellStyle name="Normal 2 111" xfId="3176"/>
    <cellStyle name="Normal 2 112" xfId="3177"/>
    <cellStyle name="Normal 2 113" xfId="3178"/>
    <cellStyle name="Normal 2 114" xfId="3179"/>
    <cellStyle name="Normal 2 115" xfId="3180"/>
    <cellStyle name="Normal 2 116" xfId="3181"/>
    <cellStyle name="Normal 2 117" xfId="3182"/>
    <cellStyle name="Normal 2 118" xfId="3183"/>
    <cellStyle name="Normal 2 119" xfId="3184"/>
    <cellStyle name="Normal 2 12" xfId="3185"/>
    <cellStyle name="Normal 2 12 2" xfId="3186"/>
    <cellStyle name="Normal 2 120" xfId="3187"/>
    <cellStyle name="Normal 2 121" xfId="3188"/>
    <cellStyle name="Normal 2 122" xfId="3189"/>
    <cellStyle name="Normal 2 123" xfId="3190"/>
    <cellStyle name="Normal 2 124" xfId="3191"/>
    <cellStyle name="Normal 2 125" xfId="3192"/>
    <cellStyle name="Normal 2 126" xfId="3193"/>
    <cellStyle name="Normal 2 127" xfId="3194"/>
    <cellStyle name="Normal 2 128" xfId="3195"/>
    <cellStyle name="Normal 2 129" xfId="3196"/>
    <cellStyle name="Normal 2 13" xfId="3197"/>
    <cellStyle name="Normal 2 13 2" xfId="3198"/>
    <cellStyle name="Normal 2 130" xfId="3199"/>
    <cellStyle name="Normal 2 131" xfId="3200"/>
    <cellStyle name="Normal 2 132" xfId="3201"/>
    <cellStyle name="Normal 2 133" xfId="3202"/>
    <cellStyle name="Normal 2 134" xfId="3203"/>
    <cellStyle name="Normal 2 135" xfId="3204"/>
    <cellStyle name="Normal 2 136" xfId="3205"/>
    <cellStyle name="Normal 2 137" xfId="3206"/>
    <cellStyle name="Normal 2 138" xfId="3207"/>
    <cellStyle name="Normal 2 139" xfId="3208"/>
    <cellStyle name="Normal 2 14" xfId="3209"/>
    <cellStyle name="Normal 2 14 2" xfId="3210"/>
    <cellStyle name="Normal 2 140" xfId="3211"/>
    <cellStyle name="Normal 2 141" xfId="3212"/>
    <cellStyle name="Normal 2 142" xfId="3213"/>
    <cellStyle name="Normal 2 142 2" xfId="7522"/>
    <cellStyle name="Normal 2 143" xfId="7425"/>
    <cellStyle name="Normal 2 15" xfId="3214"/>
    <cellStyle name="Normal 2 15 2" xfId="3215"/>
    <cellStyle name="Normal 2 16" xfId="3216"/>
    <cellStyle name="Normal 2 16 2" xfId="3217"/>
    <cellStyle name="Normal 2 17" xfId="3218"/>
    <cellStyle name="Normal 2 17 2" xfId="3219"/>
    <cellStyle name="Normal 2 18" xfId="3220"/>
    <cellStyle name="Normal 2 18 2" xfId="3221"/>
    <cellStyle name="Normal 2 19" xfId="3222"/>
    <cellStyle name="Normal 2 19 2" xfId="3223"/>
    <cellStyle name="Normal 2 2" xfId="28"/>
    <cellStyle name="Normal 2 2 10" xfId="3224"/>
    <cellStyle name="Normal 2 2 10 2" xfId="3225"/>
    <cellStyle name="Normal 2 2 100" xfId="3226"/>
    <cellStyle name="Normal 2 2 101" xfId="3227"/>
    <cellStyle name="Normal 2 2 102" xfId="3228"/>
    <cellStyle name="Normal 2 2 103" xfId="3229"/>
    <cellStyle name="Normal 2 2 104" xfId="3230"/>
    <cellStyle name="Normal 2 2 105" xfId="3231"/>
    <cellStyle name="Normal 2 2 106" xfId="3232"/>
    <cellStyle name="Normal 2 2 107" xfId="3233"/>
    <cellStyle name="Normal 2 2 108" xfId="3234"/>
    <cellStyle name="Normal 2 2 109" xfId="3235"/>
    <cellStyle name="Normal 2 2 11" xfId="3236"/>
    <cellStyle name="Normal 2 2 11 2" xfId="3237"/>
    <cellStyle name="Normal 2 2 110" xfId="3238"/>
    <cellStyle name="Normal 2 2 111" xfId="3239"/>
    <cellStyle name="Normal 2 2 112" xfId="3240"/>
    <cellStyle name="Normal 2 2 113" xfId="3241"/>
    <cellStyle name="Normal 2 2 114" xfId="3242"/>
    <cellStyle name="Normal 2 2 115" xfId="3243"/>
    <cellStyle name="Normal 2 2 116" xfId="3244"/>
    <cellStyle name="Normal 2 2 117" xfId="3245"/>
    <cellStyle name="Normal 2 2 118" xfId="3246"/>
    <cellStyle name="Normal 2 2 119" xfId="3247"/>
    <cellStyle name="Normal 2 2 12" xfId="3248"/>
    <cellStyle name="Normal 2 2 12 2" xfId="3249"/>
    <cellStyle name="Normal 2 2 120" xfId="3250"/>
    <cellStyle name="Normal 2 2 121" xfId="3251"/>
    <cellStyle name="Normal 2 2 122" xfId="3252"/>
    <cellStyle name="Normal 2 2 123" xfId="3253"/>
    <cellStyle name="Normal 2 2 124" xfId="3254"/>
    <cellStyle name="Normal 2 2 125" xfId="3255"/>
    <cellStyle name="Normal 2 2 126" xfId="3256"/>
    <cellStyle name="Normal 2 2 127" xfId="3257"/>
    <cellStyle name="Normal 2 2 128" xfId="3258"/>
    <cellStyle name="Normal 2 2 129" xfId="3259"/>
    <cellStyle name="Normal 2 2 13" xfId="3260"/>
    <cellStyle name="Normal 2 2 13 2" xfId="3261"/>
    <cellStyle name="Normal 2 2 130" xfId="3262"/>
    <cellStyle name="Normal 2 2 131" xfId="3263"/>
    <cellStyle name="Normal 2 2 132" xfId="3264"/>
    <cellStyle name="Normal 2 2 133" xfId="3265"/>
    <cellStyle name="Normal 2 2 134" xfId="3266"/>
    <cellStyle name="Normal 2 2 135" xfId="3267"/>
    <cellStyle name="Normal 2 2 136" xfId="3268"/>
    <cellStyle name="Normal 2 2 137" xfId="3269"/>
    <cellStyle name="Normal 2 2 138" xfId="3270"/>
    <cellStyle name="Normal 2 2 139" xfId="3271"/>
    <cellStyle name="Normal 2 2 14" xfId="3272"/>
    <cellStyle name="Normal 2 2 14 2" xfId="3273"/>
    <cellStyle name="Normal 2 2 140" xfId="3274"/>
    <cellStyle name="Normal 2 2 141" xfId="3275"/>
    <cellStyle name="Normal 2 2 142" xfId="3276"/>
    <cellStyle name="Normal 2 2 143" xfId="3277"/>
    <cellStyle name="Normal 2 2 144" xfId="3278"/>
    <cellStyle name="Normal 2 2 145" xfId="3279"/>
    <cellStyle name="Normal 2 2 146" xfId="3280"/>
    <cellStyle name="Normal 2 2 147" xfId="3281"/>
    <cellStyle name="Normal 2 2 148" xfId="3282"/>
    <cellStyle name="Normal 2 2 149" xfId="3283"/>
    <cellStyle name="Normal 2 2 15" xfId="3284"/>
    <cellStyle name="Normal 2 2 15 2" xfId="3285"/>
    <cellStyle name="Normal 2 2 150" xfId="3286"/>
    <cellStyle name="Normal 2 2 151" xfId="3287"/>
    <cellStyle name="Normal 2 2 152" xfId="3288"/>
    <cellStyle name="Normal 2 2 153" xfId="3289"/>
    <cellStyle name="Normal 2 2 154" xfId="3290"/>
    <cellStyle name="Normal 2 2 155" xfId="7427"/>
    <cellStyle name="Normal 2 2 16" xfId="3291"/>
    <cellStyle name="Normal 2 2 16 2" xfId="3292"/>
    <cellStyle name="Normal 2 2 17" xfId="3293"/>
    <cellStyle name="Normal 2 2 17 2" xfId="3294"/>
    <cellStyle name="Normal 2 2 18" xfId="3295"/>
    <cellStyle name="Normal 2 2 18 2" xfId="3296"/>
    <cellStyle name="Normal 2 2 19" xfId="3297"/>
    <cellStyle name="Normal 2 2 19 2" xfId="3298"/>
    <cellStyle name="Normal 2 2 2" xfId="29"/>
    <cellStyle name="Normal 2 2 2 10" xfId="3299"/>
    <cellStyle name="Normal 2 2 2 10 2" xfId="3300"/>
    <cellStyle name="Normal 2 2 2 100" xfId="3301"/>
    <cellStyle name="Normal 2 2 2 101" xfId="3302"/>
    <cellStyle name="Normal 2 2 2 102" xfId="3303"/>
    <cellStyle name="Normal 2 2 2 103" xfId="3304"/>
    <cellStyle name="Normal 2 2 2 104" xfId="3305"/>
    <cellStyle name="Normal 2 2 2 105" xfId="3306"/>
    <cellStyle name="Normal 2 2 2 106" xfId="3307"/>
    <cellStyle name="Normal 2 2 2 107" xfId="3308"/>
    <cellStyle name="Normal 2 2 2 108" xfId="3309"/>
    <cellStyle name="Normal 2 2 2 109" xfId="3310"/>
    <cellStyle name="Normal 2 2 2 11" xfId="3311"/>
    <cellStyle name="Normal 2 2 2 11 2" xfId="3312"/>
    <cellStyle name="Normal 2 2 2 110" xfId="3313"/>
    <cellStyle name="Normal 2 2 2 111" xfId="3314"/>
    <cellStyle name="Normal 2 2 2 112" xfId="3315"/>
    <cellStyle name="Normal 2 2 2 113" xfId="3316"/>
    <cellStyle name="Normal 2 2 2 114" xfId="3317"/>
    <cellStyle name="Normal 2 2 2 115" xfId="3318"/>
    <cellStyle name="Normal 2 2 2 116" xfId="3319"/>
    <cellStyle name="Normal 2 2 2 117" xfId="3320"/>
    <cellStyle name="Normal 2 2 2 118" xfId="3321"/>
    <cellStyle name="Normal 2 2 2 119" xfId="3322"/>
    <cellStyle name="Normal 2 2 2 12" xfId="3323"/>
    <cellStyle name="Normal 2 2 2 12 2" xfId="3324"/>
    <cellStyle name="Normal 2 2 2 120" xfId="3325"/>
    <cellStyle name="Normal 2 2 2 121" xfId="3326"/>
    <cellStyle name="Normal 2 2 2 122" xfId="3327"/>
    <cellStyle name="Normal 2 2 2 123" xfId="3328"/>
    <cellStyle name="Normal 2 2 2 124" xfId="3329"/>
    <cellStyle name="Normal 2 2 2 125" xfId="3330"/>
    <cellStyle name="Normal 2 2 2 126" xfId="3331"/>
    <cellStyle name="Normal 2 2 2 127" xfId="3332"/>
    <cellStyle name="Normal 2 2 2 128" xfId="3333"/>
    <cellStyle name="Normal 2 2 2 129" xfId="3334"/>
    <cellStyle name="Normal 2 2 2 13" xfId="3335"/>
    <cellStyle name="Normal 2 2 2 13 2" xfId="3336"/>
    <cellStyle name="Normal 2 2 2 130" xfId="3337"/>
    <cellStyle name="Normal 2 2 2 131" xfId="3338"/>
    <cellStyle name="Normal 2 2 2 132" xfId="3339"/>
    <cellStyle name="Normal 2 2 2 133" xfId="3340"/>
    <cellStyle name="Normal 2 2 2 134" xfId="3341"/>
    <cellStyle name="Normal 2 2 2 135" xfId="3342"/>
    <cellStyle name="Normal 2 2 2 136" xfId="3343"/>
    <cellStyle name="Normal 2 2 2 137" xfId="3344"/>
    <cellStyle name="Normal 2 2 2 138" xfId="3345"/>
    <cellStyle name="Normal 2 2 2 139" xfId="3346"/>
    <cellStyle name="Normal 2 2 2 14" xfId="3347"/>
    <cellStyle name="Normal 2 2 2 14 2" xfId="3348"/>
    <cellStyle name="Normal 2 2 2 140" xfId="3349"/>
    <cellStyle name="Normal 2 2 2 141" xfId="3350"/>
    <cellStyle name="Normal 2 2 2 142" xfId="3351"/>
    <cellStyle name="Normal 2 2 2 143" xfId="3352"/>
    <cellStyle name="Normal 2 2 2 144" xfId="3353"/>
    <cellStyle name="Normal 2 2 2 145" xfId="3354"/>
    <cellStyle name="Normal 2 2 2 146" xfId="3355"/>
    <cellStyle name="Normal 2 2 2 147" xfId="3356"/>
    <cellStyle name="Normal 2 2 2 148" xfId="3357"/>
    <cellStyle name="Normal 2 2 2 149" xfId="3358"/>
    <cellStyle name="Normal 2 2 2 15" xfId="3359"/>
    <cellStyle name="Normal 2 2 2 15 2" xfId="3360"/>
    <cellStyle name="Normal 2 2 2 16" xfId="3361"/>
    <cellStyle name="Normal 2 2 2 16 2" xfId="3362"/>
    <cellStyle name="Normal 2 2 2 17" xfId="3363"/>
    <cellStyle name="Normal 2 2 2 17 2" xfId="3364"/>
    <cellStyle name="Normal 2 2 2 18" xfId="3365"/>
    <cellStyle name="Normal 2 2 2 18 2" xfId="3366"/>
    <cellStyle name="Normal 2 2 2 19" xfId="3367"/>
    <cellStyle name="Normal 2 2 2 19 2" xfId="3368"/>
    <cellStyle name="Normal 2 2 2 2" xfId="3369"/>
    <cellStyle name="Normal 2 2 2 2 10" xfId="3370"/>
    <cellStyle name="Normal 2 2 2 2 10 2" xfId="3371"/>
    <cellStyle name="Normal 2 2 2 2 100" xfId="3372"/>
    <cellStyle name="Normal 2 2 2 2 101" xfId="3373"/>
    <cellStyle name="Normal 2 2 2 2 102" xfId="3374"/>
    <cellStyle name="Normal 2 2 2 2 103" xfId="3375"/>
    <cellStyle name="Normal 2 2 2 2 104" xfId="3376"/>
    <cellStyle name="Normal 2 2 2 2 105" xfId="3377"/>
    <cellStyle name="Normal 2 2 2 2 106" xfId="3378"/>
    <cellStyle name="Normal 2 2 2 2 107" xfId="3379"/>
    <cellStyle name="Normal 2 2 2 2 108" xfId="3380"/>
    <cellStyle name="Normal 2 2 2 2 109" xfId="3381"/>
    <cellStyle name="Normal 2 2 2 2 11" xfId="3382"/>
    <cellStyle name="Normal 2 2 2 2 11 2" xfId="3383"/>
    <cellStyle name="Normal 2 2 2 2 110" xfId="3384"/>
    <cellStyle name="Normal 2 2 2 2 111" xfId="3385"/>
    <cellStyle name="Normal 2 2 2 2 112" xfId="3386"/>
    <cellStyle name="Normal 2 2 2 2 113" xfId="3387"/>
    <cellStyle name="Normal 2 2 2 2 114" xfId="3388"/>
    <cellStyle name="Normal 2 2 2 2 115" xfId="3389"/>
    <cellStyle name="Normal 2 2 2 2 116" xfId="3390"/>
    <cellStyle name="Normal 2 2 2 2 117" xfId="3391"/>
    <cellStyle name="Normal 2 2 2 2 118" xfId="3392"/>
    <cellStyle name="Normal 2 2 2 2 119" xfId="3393"/>
    <cellStyle name="Normal 2 2 2 2 12" xfId="3394"/>
    <cellStyle name="Normal 2 2 2 2 12 2" xfId="3395"/>
    <cellStyle name="Normal 2 2 2 2 120" xfId="3396"/>
    <cellStyle name="Normal 2 2 2 2 121" xfId="3397"/>
    <cellStyle name="Normal 2 2 2 2 122" xfId="3398"/>
    <cellStyle name="Normal 2 2 2 2 123" xfId="3399"/>
    <cellStyle name="Normal 2 2 2 2 124" xfId="3400"/>
    <cellStyle name="Normal 2 2 2 2 125" xfId="3401"/>
    <cellStyle name="Normal 2 2 2 2 126" xfId="3402"/>
    <cellStyle name="Normal 2 2 2 2 127" xfId="3403"/>
    <cellStyle name="Normal 2 2 2 2 128" xfId="3404"/>
    <cellStyle name="Normal 2 2 2 2 129" xfId="3405"/>
    <cellStyle name="Normal 2 2 2 2 13" xfId="3406"/>
    <cellStyle name="Normal 2 2 2 2 13 2" xfId="3407"/>
    <cellStyle name="Normal 2 2 2 2 130" xfId="3408"/>
    <cellStyle name="Normal 2 2 2 2 131" xfId="3409"/>
    <cellStyle name="Normal 2 2 2 2 132" xfId="3410"/>
    <cellStyle name="Normal 2 2 2 2 133" xfId="3411"/>
    <cellStyle name="Normal 2 2 2 2 134" xfId="3412"/>
    <cellStyle name="Normal 2 2 2 2 135" xfId="3413"/>
    <cellStyle name="Normal 2 2 2 2 136" xfId="3414"/>
    <cellStyle name="Normal 2 2 2 2 137" xfId="3415"/>
    <cellStyle name="Normal 2 2 2 2 138" xfId="3416"/>
    <cellStyle name="Normal 2 2 2 2 139" xfId="3417"/>
    <cellStyle name="Normal 2 2 2 2 14" xfId="3418"/>
    <cellStyle name="Normal 2 2 2 2 14 2" xfId="3419"/>
    <cellStyle name="Normal 2 2 2 2 140" xfId="3420"/>
    <cellStyle name="Normal 2 2 2 2 141" xfId="3421"/>
    <cellStyle name="Normal 2 2 2 2 142" xfId="3422"/>
    <cellStyle name="Normal 2 2 2 2 143" xfId="3423"/>
    <cellStyle name="Normal 2 2 2 2 144" xfId="3424"/>
    <cellStyle name="Normal 2 2 2 2 145" xfId="7490"/>
    <cellStyle name="Normal 2 2 2 2 15" xfId="3425"/>
    <cellStyle name="Normal 2 2 2 2 15 2" xfId="3426"/>
    <cellStyle name="Normal 2 2 2 2 16" xfId="3427"/>
    <cellStyle name="Normal 2 2 2 2 16 2" xfId="3428"/>
    <cellStyle name="Normal 2 2 2 2 17" xfId="3429"/>
    <cellStyle name="Normal 2 2 2 2 17 2" xfId="3430"/>
    <cellStyle name="Normal 2 2 2 2 18" xfId="3431"/>
    <cellStyle name="Normal 2 2 2 2 18 2" xfId="3432"/>
    <cellStyle name="Normal 2 2 2 2 19" xfId="3433"/>
    <cellStyle name="Normal 2 2 2 2 19 2" xfId="3434"/>
    <cellStyle name="Normal 2 2 2 2 2" xfId="3435"/>
    <cellStyle name="Normal 2 2 2 2 2 2" xfId="3436"/>
    <cellStyle name="Normal 2 2 2 2 2 3" xfId="3437"/>
    <cellStyle name="Normal 2 2 2 2 2 4" xfId="3438"/>
    <cellStyle name="Normal 2 2 2 2 2 5" xfId="7491"/>
    <cellStyle name="Normal 2 2 2 2 20" xfId="3439"/>
    <cellStyle name="Normal 2 2 2 2 20 2" xfId="3440"/>
    <cellStyle name="Normal 2 2 2 2 21" xfId="3441"/>
    <cellStyle name="Normal 2 2 2 2 21 2" xfId="3442"/>
    <cellStyle name="Normal 2 2 2 2 22" xfId="3443"/>
    <cellStyle name="Normal 2 2 2 2 22 2" xfId="3444"/>
    <cellStyle name="Normal 2 2 2 2 23" xfId="3445"/>
    <cellStyle name="Normal 2 2 2 2 23 2" xfId="3446"/>
    <cellStyle name="Normal 2 2 2 2 24" xfId="3447"/>
    <cellStyle name="Normal 2 2 2 2 24 2" xfId="3448"/>
    <cellStyle name="Normal 2 2 2 2 25" xfId="3449"/>
    <cellStyle name="Normal 2 2 2 2 25 2" xfId="3450"/>
    <cellStyle name="Normal 2 2 2 2 26" xfId="3451"/>
    <cellStyle name="Normal 2 2 2 2 26 2" xfId="3452"/>
    <cellStyle name="Normal 2 2 2 2 27" xfId="3453"/>
    <cellStyle name="Normal 2 2 2 2 27 2" xfId="3454"/>
    <cellStyle name="Normal 2 2 2 2 28" xfId="3455"/>
    <cellStyle name="Normal 2 2 2 2 28 2" xfId="3456"/>
    <cellStyle name="Normal 2 2 2 2 29" xfId="3457"/>
    <cellStyle name="Normal 2 2 2 2 29 2" xfId="3458"/>
    <cellStyle name="Normal 2 2 2 2 3" xfId="3459"/>
    <cellStyle name="Normal 2 2 2 2 3 2" xfId="3460"/>
    <cellStyle name="Normal 2 2 2 2 3 2 2" xfId="3461"/>
    <cellStyle name="Normal 2 2 2 2 3 3" xfId="3462"/>
    <cellStyle name="Normal 2 2 2 2 3 4" xfId="3463"/>
    <cellStyle name="Normal 2 2 2 2 3 5" xfId="3464"/>
    <cellStyle name="Normal 2 2 2 2 3 6" xfId="3465"/>
    <cellStyle name="Normal 2 2 2 2 3 7" xfId="3466"/>
    <cellStyle name="Normal 2 2 2 2 3 8" xfId="3467"/>
    <cellStyle name="Normal 2 2 2 2 3 9" xfId="3468"/>
    <cellStyle name="Normal 2 2 2 2 30" xfId="3469"/>
    <cellStyle name="Normal 2 2 2 2 30 2" xfId="3470"/>
    <cellStyle name="Normal 2 2 2 2 31" xfId="3471"/>
    <cellStyle name="Normal 2 2 2 2 31 2" xfId="3472"/>
    <cellStyle name="Normal 2 2 2 2 32" xfId="3473"/>
    <cellStyle name="Normal 2 2 2 2 32 2" xfId="3474"/>
    <cellStyle name="Normal 2 2 2 2 33" xfId="3475"/>
    <cellStyle name="Normal 2 2 2 2 33 2" xfId="3476"/>
    <cellStyle name="Normal 2 2 2 2 34" xfId="3477"/>
    <cellStyle name="Normal 2 2 2 2 34 2" xfId="3478"/>
    <cellStyle name="Normal 2 2 2 2 35" xfId="3479"/>
    <cellStyle name="Normal 2 2 2 2 35 2" xfId="3480"/>
    <cellStyle name="Normal 2 2 2 2 36" xfId="3481"/>
    <cellStyle name="Normal 2 2 2 2 36 2" xfId="3482"/>
    <cellStyle name="Normal 2 2 2 2 37" xfId="3483"/>
    <cellStyle name="Normal 2 2 2 2 37 2" xfId="3484"/>
    <cellStyle name="Normal 2 2 2 2 38" xfId="3485"/>
    <cellStyle name="Normal 2 2 2 2 38 2" xfId="3486"/>
    <cellStyle name="Normal 2 2 2 2 39" xfId="3487"/>
    <cellStyle name="Normal 2 2 2 2 39 2" xfId="3488"/>
    <cellStyle name="Normal 2 2 2 2 4" xfId="3489"/>
    <cellStyle name="Normal 2 2 2 2 4 2" xfId="3490"/>
    <cellStyle name="Normal 2 2 2 2 40" xfId="3491"/>
    <cellStyle name="Normal 2 2 2 2 40 2" xfId="3492"/>
    <cellStyle name="Normal 2 2 2 2 41" xfId="3493"/>
    <cellStyle name="Normal 2 2 2 2 41 2" xfId="3494"/>
    <cellStyle name="Normal 2 2 2 2 42" xfId="3495"/>
    <cellStyle name="Normal 2 2 2 2 42 2" xfId="3496"/>
    <cellStyle name="Normal 2 2 2 2 43" xfId="3497"/>
    <cellStyle name="Normal 2 2 2 2 43 2" xfId="3498"/>
    <cellStyle name="Normal 2 2 2 2 44" xfId="3499"/>
    <cellStyle name="Normal 2 2 2 2 44 2" xfId="3500"/>
    <cellStyle name="Normal 2 2 2 2 45" xfId="3501"/>
    <cellStyle name="Normal 2 2 2 2 45 2" xfId="3502"/>
    <cellStyle name="Normal 2 2 2 2 46" xfId="3503"/>
    <cellStyle name="Normal 2 2 2 2 46 2" xfId="3504"/>
    <cellStyle name="Normal 2 2 2 2 47" xfId="3505"/>
    <cellStyle name="Normal 2 2 2 2 47 2" xfId="3506"/>
    <cellStyle name="Normal 2 2 2 2 48" xfId="3507"/>
    <cellStyle name="Normal 2 2 2 2 48 2" xfId="3508"/>
    <cellStyle name="Normal 2 2 2 2 49" xfId="3509"/>
    <cellStyle name="Normal 2 2 2 2 49 2" xfId="3510"/>
    <cellStyle name="Normal 2 2 2 2 5" xfId="3511"/>
    <cellStyle name="Normal 2 2 2 2 5 2" xfId="3512"/>
    <cellStyle name="Normal 2 2 2 2 50" xfId="3513"/>
    <cellStyle name="Normal 2 2 2 2 50 2" xfId="3514"/>
    <cellStyle name="Normal 2 2 2 2 51" xfId="3515"/>
    <cellStyle name="Normal 2 2 2 2 51 2" xfId="3516"/>
    <cellStyle name="Normal 2 2 2 2 52" xfId="3517"/>
    <cellStyle name="Normal 2 2 2 2 52 2" xfId="3518"/>
    <cellStyle name="Normal 2 2 2 2 53" xfId="3519"/>
    <cellStyle name="Normal 2 2 2 2 53 2" xfId="3520"/>
    <cellStyle name="Normal 2 2 2 2 54" xfId="3521"/>
    <cellStyle name="Normal 2 2 2 2 54 2" xfId="3522"/>
    <cellStyle name="Normal 2 2 2 2 55" xfId="3523"/>
    <cellStyle name="Normal 2 2 2 2 55 2" xfId="3524"/>
    <cellStyle name="Normal 2 2 2 2 56" xfId="3525"/>
    <cellStyle name="Normal 2 2 2 2 56 2" xfId="3526"/>
    <cellStyle name="Normal 2 2 2 2 57" xfId="3527"/>
    <cellStyle name="Normal 2 2 2 2 57 2" xfId="3528"/>
    <cellStyle name="Normal 2 2 2 2 58" xfId="3529"/>
    <cellStyle name="Normal 2 2 2 2 58 2" xfId="3530"/>
    <cellStyle name="Normal 2 2 2 2 59" xfId="3531"/>
    <cellStyle name="Normal 2 2 2 2 59 2" xfId="3532"/>
    <cellStyle name="Normal 2 2 2 2 6" xfId="3533"/>
    <cellStyle name="Normal 2 2 2 2 6 2" xfId="3534"/>
    <cellStyle name="Normal 2 2 2 2 60" xfId="3535"/>
    <cellStyle name="Normal 2 2 2 2 60 2" xfId="3536"/>
    <cellStyle name="Normal 2 2 2 2 61" xfId="3537"/>
    <cellStyle name="Normal 2 2 2 2 61 2" xfId="3538"/>
    <cellStyle name="Normal 2 2 2 2 62" xfId="3539"/>
    <cellStyle name="Normal 2 2 2 2 63" xfId="3540"/>
    <cellStyle name="Normal 2 2 2 2 63 2" xfId="3541"/>
    <cellStyle name="Normal 2 2 2 2 64" xfId="3542"/>
    <cellStyle name="Normal 2 2 2 2 65" xfId="3543"/>
    <cellStyle name="Normal 2 2 2 2 66" xfId="3544"/>
    <cellStyle name="Normal 2 2 2 2 67" xfId="3545"/>
    <cellStyle name="Normal 2 2 2 2 68" xfId="3546"/>
    <cellStyle name="Normal 2 2 2 2 69" xfId="3547"/>
    <cellStyle name="Normal 2 2 2 2 7" xfId="3548"/>
    <cellStyle name="Normal 2 2 2 2 7 2" xfId="3549"/>
    <cellStyle name="Normal 2 2 2 2 70" xfId="3550"/>
    <cellStyle name="Normal 2 2 2 2 71" xfId="3551"/>
    <cellStyle name="Normal 2 2 2 2 72" xfId="3552"/>
    <cellStyle name="Normal 2 2 2 2 73" xfId="3553"/>
    <cellStyle name="Normal 2 2 2 2 74" xfId="3554"/>
    <cellStyle name="Normal 2 2 2 2 75" xfId="3555"/>
    <cellStyle name="Normal 2 2 2 2 76" xfId="3556"/>
    <cellStyle name="Normal 2 2 2 2 77" xfId="3557"/>
    <cellStyle name="Normal 2 2 2 2 78" xfId="3558"/>
    <cellStyle name="Normal 2 2 2 2 79" xfId="3559"/>
    <cellStyle name="Normal 2 2 2 2 8" xfId="3560"/>
    <cellStyle name="Normal 2 2 2 2 8 2" xfId="3561"/>
    <cellStyle name="Normal 2 2 2 2 80" xfId="3562"/>
    <cellStyle name="Normal 2 2 2 2 81" xfId="3563"/>
    <cellStyle name="Normal 2 2 2 2 82" xfId="3564"/>
    <cellStyle name="Normal 2 2 2 2 83" xfId="3565"/>
    <cellStyle name="Normal 2 2 2 2 84" xfId="3566"/>
    <cellStyle name="Normal 2 2 2 2 85" xfId="3567"/>
    <cellStyle name="Normal 2 2 2 2 86" xfId="3568"/>
    <cellStyle name="Normal 2 2 2 2 87" xfId="3569"/>
    <cellStyle name="Normal 2 2 2 2 88" xfId="3570"/>
    <cellStyle name="Normal 2 2 2 2 89" xfId="3571"/>
    <cellStyle name="Normal 2 2 2 2 9" xfId="3572"/>
    <cellStyle name="Normal 2 2 2 2 9 2" xfId="3573"/>
    <cellStyle name="Normal 2 2 2 2 90" xfId="3574"/>
    <cellStyle name="Normal 2 2 2 2 91" xfId="3575"/>
    <cellStyle name="Normal 2 2 2 2 92" xfId="3576"/>
    <cellStyle name="Normal 2 2 2 2 92 2" xfId="3577"/>
    <cellStyle name="Normal 2 2 2 2 93" xfId="3578"/>
    <cellStyle name="Normal 2 2 2 2 94" xfId="3579"/>
    <cellStyle name="Normal 2 2 2 2 95" xfId="3580"/>
    <cellStyle name="Normal 2 2 2 2 96" xfId="3581"/>
    <cellStyle name="Normal 2 2 2 2 97" xfId="3582"/>
    <cellStyle name="Normal 2 2 2 2 98" xfId="3583"/>
    <cellStyle name="Normal 2 2 2 2 99" xfId="3584"/>
    <cellStyle name="Normal 2 2 2 20" xfId="3585"/>
    <cellStyle name="Normal 2 2 2 20 2" xfId="3586"/>
    <cellStyle name="Normal 2 2 2 21" xfId="3587"/>
    <cellStyle name="Normal 2 2 2 21 2" xfId="3588"/>
    <cellStyle name="Normal 2 2 2 22" xfId="3589"/>
    <cellStyle name="Normal 2 2 2 22 2" xfId="3590"/>
    <cellStyle name="Normal 2 2 2 23" xfId="3591"/>
    <cellStyle name="Normal 2 2 2 23 2" xfId="3592"/>
    <cellStyle name="Normal 2 2 2 24" xfId="3593"/>
    <cellStyle name="Normal 2 2 2 24 2" xfId="3594"/>
    <cellStyle name="Normal 2 2 2 25" xfId="3595"/>
    <cellStyle name="Normal 2 2 2 25 2" xfId="3596"/>
    <cellStyle name="Normal 2 2 2 26" xfId="3597"/>
    <cellStyle name="Normal 2 2 2 26 2" xfId="3598"/>
    <cellStyle name="Normal 2 2 2 27" xfId="3599"/>
    <cellStyle name="Normal 2 2 2 27 2" xfId="3600"/>
    <cellStyle name="Normal 2 2 2 28" xfId="3601"/>
    <cellStyle name="Normal 2 2 2 28 2" xfId="3602"/>
    <cellStyle name="Normal 2 2 2 29" xfId="3603"/>
    <cellStyle name="Normal 2 2 2 29 2" xfId="3604"/>
    <cellStyle name="Normal 2 2 2 3" xfId="3605"/>
    <cellStyle name="Normal 2 2 2 3 2" xfId="3606"/>
    <cellStyle name="Normal 2 2 2 3 3" xfId="3607"/>
    <cellStyle name="Normal 2 2 2 3 4" xfId="3608"/>
    <cellStyle name="Normal 2 2 2 3 5" xfId="7492"/>
    <cellStyle name="Normal 2 2 2 30" xfId="3609"/>
    <cellStyle name="Normal 2 2 2 30 2" xfId="3610"/>
    <cellStyle name="Normal 2 2 2 31" xfId="3611"/>
    <cellStyle name="Normal 2 2 2 31 2" xfId="3612"/>
    <cellStyle name="Normal 2 2 2 32" xfId="3613"/>
    <cellStyle name="Normal 2 2 2 32 2" xfId="3614"/>
    <cellStyle name="Normal 2 2 2 33" xfId="3615"/>
    <cellStyle name="Normal 2 2 2 33 2" xfId="3616"/>
    <cellStyle name="Normal 2 2 2 34" xfId="3617"/>
    <cellStyle name="Normal 2 2 2 34 2" xfId="3618"/>
    <cellStyle name="Normal 2 2 2 35" xfId="3619"/>
    <cellStyle name="Normal 2 2 2 35 2" xfId="3620"/>
    <cellStyle name="Normal 2 2 2 36" xfId="3621"/>
    <cellStyle name="Normal 2 2 2 36 2" xfId="3622"/>
    <cellStyle name="Normal 2 2 2 37" xfId="3623"/>
    <cellStyle name="Normal 2 2 2 37 2" xfId="3624"/>
    <cellStyle name="Normal 2 2 2 38" xfId="3625"/>
    <cellStyle name="Normal 2 2 2 38 2" xfId="3626"/>
    <cellStyle name="Normal 2 2 2 39" xfId="3627"/>
    <cellStyle name="Normal 2 2 2 39 2" xfId="3628"/>
    <cellStyle name="Normal 2 2 2 4" xfId="3629"/>
    <cellStyle name="Normal 2 2 2 4 2" xfId="3630"/>
    <cellStyle name="Normal 2 2 2 4 3" xfId="3631"/>
    <cellStyle name="Normal 2 2 2 4 4" xfId="3632"/>
    <cellStyle name="Normal 2 2 2 4 5" xfId="7493"/>
    <cellStyle name="Normal 2 2 2 40" xfId="3633"/>
    <cellStyle name="Normal 2 2 2 40 2" xfId="3634"/>
    <cellStyle name="Normal 2 2 2 41" xfId="3635"/>
    <cellStyle name="Normal 2 2 2 41 2" xfId="3636"/>
    <cellStyle name="Normal 2 2 2 42" xfId="3637"/>
    <cellStyle name="Normal 2 2 2 42 2" xfId="3638"/>
    <cellStyle name="Normal 2 2 2 43" xfId="3639"/>
    <cellStyle name="Normal 2 2 2 43 2" xfId="3640"/>
    <cellStyle name="Normal 2 2 2 44" xfId="3641"/>
    <cellStyle name="Normal 2 2 2 44 2" xfId="3642"/>
    <cellStyle name="Normal 2 2 2 45" xfId="3643"/>
    <cellStyle name="Normal 2 2 2 45 2" xfId="3644"/>
    <cellStyle name="Normal 2 2 2 46" xfId="3645"/>
    <cellStyle name="Normal 2 2 2 46 2" xfId="3646"/>
    <cellStyle name="Normal 2 2 2 47" xfId="3647"/>
    <cellStyle name="Normal 2 2 2 47 2" xfId="3648"/>
    <cellStyle name="Normal 2 2 2 48" xfId="3649"/>
    <cellStyle name="Normal 2 2 2 48 2" xfId="3650"/>
    <cellStyle name="Normal 2 2 2 49" xfId="3651"/>
    <cellStyle name="Normal 2 2 2 49 2" xfId="3652"/>
    <cellStyle name="Normal 2 2 2 5" xfId="3653"/>
    <cellStyle name="Normal 2 2 2 5 10" xfId="3654"/>
    <cellStyle name="Normal 2 2 2 5 11" xfId="3655"/>
    <cellStyle name="Normal 2 2 2 5 12" xfId="3656"/>
    <cellStyle name="Normal 2 2 2 5 13" xfId="3657"/>
    <cellStyle name="Normal 2 2 2 5 14" xfId="3658"/>
    <cellStyle name="Normal 2 2 2 5 15" xfId="3659"/>
    <cellStyle name="Normal 2 2 2 5 16" xfId="3660"/>
    <cellStyle name="Normal 2 2 2 5 17" xfId="3661"/>
    <cellStyle name="Normal 2 2 2 5 18" xfId="3662"/>
    <cellStyle name="Normal 2 2 2 5 19" xfId="3663"/>
    <cellStyle name="Normal 2 2 2 5 2" xfId="3664"/>
    <cellStyle name="Normal 2 2 2 5 2 2" xfId="3665"/>
    <cellStyle name="Normal 2 2 2 5 2 2 2" xfId="3666"/>
    <cellStyle name="Normal 2 2 2 5 2 2 2 2" xfId="3667"/>
    <cellStyle name="Normal 2 2 2 5 2 2 3" xfId="3668"/>
    <cellStyle name="Normal 2 2 2 5 2 3" xfId="3669"/>
    <cellStyle name="Normal 2 2 2 5 2 3 2" xfId="3670"/>
    <cellStyle name="Normal 2 2 2 5 2 3 2 2" xfId="3671"/>
    <cellStyle name="Normal 2 2 2 5 2 3 3" xfId="3672"/>
    <cellStyle name="Normal 2 2 2 5 2 4" xfId="3673"/>
    <cellStyle name="Normal 2 2 2 5 2 4 2" xfId="3674"/>
    <cellStyle name="Normal 2 2 2 5 2 4 2 2" xfId="3675"/>
    <cellStyle name="Normal 2 2 2 5 2 4 3" xfId="3676"/>
    <cellStyle name="Normal 2 2 2 5 2 5" xfId="3677"/>
    <cellStyle name="Normal 2 2 2 5 2 5 2" xfId="3678"/>
    <cellStyle name="Normal 2 2 2 5 2 5 2 2" xfId="3679"/>
    <cellStyle name="Normal 2 2 2 5 2 5 3" xfId="3680"/>
    <cellStyle name="Normal 2 2 2 5 2 6" xfId="3681"/>
    <cellStyle name="Normal 2 2 2 5 2 6 2" xfId="3682"/>
    <cellStyle name="Normal 2 2 2 5 2 7" xfId="3683"/>
    <cellStyle name="Normal 2 2 2 5 20" xfId="3684"/>
    <cellStyle name="Normal 2 2 2 5 21" xfId="3685"/>
    <cellStyle name="Normal 2 2 2 5 22" xfId="3686"/>
    <cellStyle name="Normal 2 2 2 5 23" xfId="3687"/>
    <cellStyle name="Normal 2 2 2 5 24" xfId="3688"/>
    <cellStyle name="Normal 2 2 2 5 25" xfId="3689"/>
    <cellStyle name="Normal 2 2 2 5 26" xfId="3690"/>
    <cellStyle name="Normal 2 2 2 5 27" xfId="3691"/>
    <cellStyle name="Normal 2 2 2 5 28" xfId="3692"/>
    <cellStyle name="Normal 2 2 2 5 29" xfId="3693"/>
    <cellStyle name="Normal 2 2 2 5 3" xfId="3694"/>
    <cellStyle name="Normal 2 2 2 5 3 2" xfId="3695"/>
    <cellStyle name="Normal 2 2 2 5 30" xfId="3696"/>
    <cellStyle name="Normal 2 2 2 5 31" xfId="3697"/>
    <cellStyle name="Normal 2 2 2 5 32" xfId="3698"/>
    <cellStyle name="Normal 2 2 2 5 33" xfId="3699"/>
    <cellStyle name="Normal 2 2 2 5 34" xfId="3700"/>
    <cellStyle name="Normal 2 2 2 5 35" xfId="3701"/>
    <cellStyle name="Normal 2 2 2 5 36" xfId="3702"/>
    <cellStyle name="Normal 2 2 2 5 37" xfId="3703"/>
    <cellStyle name="Normal 2 2 2 5 38" xfId="3704"/>
    <cellStyle name="Normal 2 2 2 5 39" xfId="3705"/>
    <cellStyle name="Normal 2 2 2 5 4" xfId="3706"/>
    <cellStyle name="Normal 2 2 2 5 4 2" xfId="3707"/>
    <cellStyle name="Normal 2 2 2 5 40" xfId="3708"/>
    <cellStyle name="Normal 2 2 2 5 41" xfId="3709"/>
    <cellStyle name="Normal 2 2 2 5 42" xfId="3710"/>
    <cellStyle name="Normal 2 2 2 5 5" xfId="3711"/>
    <cellStyle name="Normal 2 2 2 5 5 2" xfId="3712"/>
    <cellStyle name="Normal 2 2 2 5 6" xfId="3713"/>
    <cellStyle name="Normal 2 2 2 5 6 2" xfId="3714"/>
    <cellStyle name="Normal 2 2 2 5 7" xfId="3715"/>
    <cellStyle name="Normal 2 2 2 5 8" xfId="3716"/>
    <cellStyle name="Normal 2 2 2 5 8 2" xfId="3717"/>
    <cellStyle name="Normal 2 2 2 5 9" xfId="3718"/>
    <cellStyle name="Normal 2 2 2 50" xfId="3719"/>
    <cellStyle name="Normal 2 2 2 50 2" xfId="3720"/>
    <cellStyle name="Normal 2 2 2 51" xfId="3721"/>
    <cellStyle name="Normal 2 2 2 51 2" xfId="3722"/>
    <cellStyle name="Normal 2 2 2 52" xfId="3723"/>
    <cellStyle name="Normal 2 2 2 52 2" xfId="3724"/>
    <cellStyle name="Normal 2 2 2 53" xfId="3725"/>
    <cellStyle name="Normal 2 2 2 53 2" xfId="3726"/>
    <cellStyle name="Normal 2 2 2 54" xfId="3727"/>
    <cellStyle name="Normal 2 2 2 54 2" xfId="3728"/>
    <cellStyle name="Normal 2 2 2 55" xfId="3729"/>
    <cellStyle name="Normal 2 2 2 55 2" xfId="3730"/>
    <cellStyle name="Normal 2 2 2 56" xfId="3731"/>
    <cellStyle name="Normal 2 2 2 56 2" xfId="3732"/>
    <cellStyle name="Normal 2 2 2 57" xfId="3733"/>
    <cellStyle name="Normal 2 2 2 57 2" xfId="3734"/>
    <cellStyle name="Normal 2 2 2 58" xfId="3735"/>
    <cellStyle name="Normal 2 2 2 58 2" xfId="3736"/>
    <cellStyle name="Normal 2 2 2 59" xfId="3737"/>
    <cellStyle name="Normal 2 2 2 59 2" xfId="3738"/>
    <cellStyle name="Normal 2 2 2 6" xfId="3739"/>
    <cellStyle name="Normal 2 2 2 6 10" xfId="3740"/>
    <cellStyle name="Normal 2 2 2 6 11" xfId="3741"/>
    <cellStyle name="Normal 2 2 2 6 12" xfId="3742"/>
    <cellStyle name="Normal 2 2 2 6 13" xfId="3743"/>
    <cellStyle name="Normal 2 2 2 6 14" xfId="3744"/>
    <cellStyle name="Normal 2 2 2 6 15" xfId="3745"/>
    <cellStyle name="Normal 2 2 2 6 16" xfId="3746"/>
    <cellStyle name="Normal 2 2 2 6 17" xfId="3747"/>
    <cellStyle name="Normal 2 2 2 6 18" xfId="3748"/>
    <cellStyle name="Normal 2 2 2 6 19" xfId="3749"/>
    <cellStyle name="Normal 2 2 2 6 2" xfId="3750"/>
    <cellStyle name="Normal 2 2 2 6 2 2" xfId="3751"/>
    <cellStyle name="Normal 2 2 2 6 20" xfId="3752"/>
    <cellStyle name="Normal 2 2 2 6 21" xfId="3753"/>
    <cellStyle name="Normal 2 2 2 6 22" xfId="3754"/>
    <cellStyle name="Normal 2 2 2 6 3" xfId="3755"/>
    <cellStyle name="Normal 2 2 2 6 4" xfId="3756"/>
    <cellStyle name="Normal 2 2 2 6 4 2" xfId="3757"/>
    <cellStyle name="Normal 2 2 2 6 5" xfId="3758"/>
    <cellStyle name="Normal 2 2 2 6 6" xfId="3759"/>
    <cellStyle name="Normal 2 2 2 6 7" xfId="3760"/>
    <cellStyle name="Normal 2 2 2 6 8" xfId="3761"/>
    <cellStyle name="Normal 2 2 2 6 9" xfId="3762"/>
    <cellStyle name="Normal 2 2 2 60" xfId="3763"/>
    <cellStyle name="Normal 2 2 2 60 2" xfId="3764"/>
    <cellStyle name="Normal 2 2 2 61" xfId="3765"/>
    <cellStyle name="Normal 2 2 2 61 2" xfId="3766"/>
    <cellStyle name="Normal 2 2 2 62" xfId="3767"/>
    <cellStyle name="Normal 2 2 2 62 2" xfId="3768"/>
    <cellStyle name="Normal 2 2 2 63" xfId="3769"/>
    <cellStyle name="Normal 2 2 2 63 2" xfId="3770"/>
    <cellStyle name="Normal 2 2 2 64" xfId="3771"/>
    <cellStyle name="Normal 2 2 2 65" xfId="3772"/>
    <cellStyle name="Normal 2 2 2 66" xfId="3773"/>
    <cellStyle name="Normal 2 2 2 67" xfId="3774"/>
    <cellStyle name="Normal 2 2 2 68" xfId="3775"/>
    <cellStyle name="Normal 2 2 2 69" xfId="3776"/>
    <cellStyle name="Normal 2 2 2 7" xfId="3777"/>
    <cellStyle name="Normal 2 2 2 7 2" xfId="3778"/>
    <cellStyle name="Normal 2 2 2 7 2 2" xfId="3779"/>
    <cellStyle name="Normal 2 2 2 70" xfId="3780"/>
    <cellStyle name="Normal 2 2 2 71" xfId="3781"/>
    <cellStyle name="Normal 2 2 2 72" xfId="3782"/>
    <cellStyle name="Normal 2 2 2 73" xfId="3783"/>
    <cellStyle name="Normal 2 2 2 74" xfId="3784"/>
    <cellStyle name="Normal 2 2 2 75" xfId="3785"/>
    <cellStyle name="Normal 2 2 2 76" xfId="3786"/>
    <cellStyle name="Normal 2 2 2 77" xfId="3787"/>
    <cellStyle name="Normal 2 2 2 78" xfId="3788"/>
    <cellStyle name="Normal 2 2 2 79" xfId="3789"/>
    <cellStyle name="Normal 2 2 2 8" xfId="3790"/>
    <cellStyle name="Normal 2 2 2 8 2" xfId="3791"/>
    <cellStyle name="Normal 2 2 2 8 2 2" xfId="3792"/>
    <cellStyle name="Normal 2 2 2 8 3" xfId="3793"/>
    <cellStyle name="Normal 2 2 2 80" xfId="3794"/>
    <cellStyle name="Normal 2 2 2 81" xfId="3795"/>
    <cellStyle name="Normal 2 2 2 82" xfId="3796"/>
    <cellStyle name="Normal 2 2 2 83" xfId="3797"/>
    <cellStyle name="Normal 2 2 2 84" xfId="3798"/>
    <cellStyle name="Normal 2 2 2 85" xfId="3799"/>
    <cellStyle name="Normal 2 2 2 86" xfId="3800"/>
    <cellStyle name="Normal 2 2 2 87" xfId="3801"/>
    <cellStyle name="Normal 2 2 2 88" xfId="3802"/>
    <cellStyle name="Normal 2 2 2 89" xfId="3803"/>
    <cellStyle name="Normal 2 2 2 9" xfId="3804"/>
    <cellStyle name="Normal 2 2 2 9 2" xfId="3805"/>
    <cellStyle name="Normal 2 2 2 9 2 2" xfId="3806"/>
    <cellStyle name="Normal 2 2 2 9 3" xfId="3807"/>
    <cellStyle name="Normal 2 2 2 90" xfId="3808"/>
    <cellStyle name="Normal 2 2 2 91" xfId="3809"/>
    <cellStyle name="Normal 2 2 2 92" xfId="3810"/>
    <cellStyle name="Normal 2 2 2 93" xfId="3811"/>
    <cellStyle name="Normal 2 2 2 94" xfId="3812"/>
    <cellStyle name="Normal 2 2 2 94 2" xfId="3813"/>
    <cellStyle name="Normal 2 2 2 95" xfId="3814"/>
    <cellStyle name="Normal 2 2 2 96" xfId="3815"/>
    <cellStyle name="Normal 2 2 2 97" xfId="3816"/>
    <cellStyle name="Normal 2 2 2 98" xfId="3817"/>
    <cellStyle name="Normal 2 2 2 99" xfId="3818"/>
    <cellStyle name="Normal 2 2 20" xfId="3819"/>
    <cellStyle name="Normal 2 2 20 2" xfId="3820"/>
    <cellStyle name="Normal 2 2 21" xfId="3821"/>
    <cellStyle name="Normal 2 2 21 2" xfId="3822"/>
    <cellStyle name="Normal 2 2 22" xfId="3823"/>
    <cellStyle name="Normal 2 2 22 2" xfId="3824"/>
    <cellStyle name="Normal 2 2 23" xfId="3825"/>
    <cellStyle name="Normal 2 2 23 2" xfId="3826"/>
    <cellStyle name="Normal 2 2 24" xfId="3827"/>
    <cellStyle name="Normal 2 2 24 2" xfId="3828"/>
    <cellStyle name="Normal 2 2 25" xfId="3829"/>
    <cellStyle name="Normal 2 2 25 2" xfId="3830"/>
    <cellStyle name="Normal 2 2 26" xfId="3831"/>
    <cellStyle name="Normal 2 2 26 2" xfId="3832"/>
    <cellStyle name="Normal 2 2 27" xfId="3833"/>
    <cellStyle name="Normal 2 2 27 2" xfId="3834"/>
    <cellStyle name="Normal 2 2 28" xfId="3835"/>
    <cellStyle name="Normal 2 2 28 2" xfId="3836"/>
    <cellStyle name="Normal 2 2 29" xfId="3837"/>
    <cellStyle name="Normal 2 2 29 2" xfId="3838"/>
    <cellStyle name="Normal 2 2 3" xfId="3839"/>
    <cellStyle name="Normal 2 2 3 2" xfId="3840"/>
    <cellStyle name="Normal 2 2 3 3" xfId="3841"/>
    <cellStyle name="Normal 2 2 3 4" xfId="3842"/>
    <cellStyle name="Normal 2 2 3 5" xfId="7494"/>
    <cellStyle name="Normal 2 2 30" xfId="3843"/>
    <cellStyle name="Normal 2 2 30 2" xfId="3844"/>
    <cellStyle name="Normal 2 2 31" xfId="3845"/>
    <cellStyle name="Normal 2 2 31 2" xfId="3846"/>
    <cellStyle name="Normal 2 2 32" xfId="3847"/>
    <cellStyle name="Normal 2 2 32 2" xfId="3848"/>
    <cellStyle name="Normal 2 2 33" xfId="3849"/>
    <cellStyle name="Normal 2 2 33 2" xfId="3850"/>
    <cellStyle name="Normal 2 2 34" xfId="3851"/>
    <cellStyle name="Normal 2 2 34 2" xfId="3852"/>
    <cellStyle name="Normal 2 2 35" xfId="3853"/>
    <cellStyle name="Normal 2 2 35 2" xfId="3854"/>
    <cellStyle name="Normal 2 2 36" xfId="3855"/>
    <cellStyle name="Normal 2 2 36 2" xfId="3856"/>
    <cellStyle name="Normal 2 2 37" xfId="3857"/>
    <cellStyle name="Normal 2 2 37 2" xfId="3858"/>
    <cellStyle name="Normal 2 2 38" xfId="3859"/>
    <cellStyle name="Normal 2 2 38 2" xfId="3860"/>
    <cellStyle name="Normal 2 2 39" xfId="3861"/>
    <cellStyle name="Normal 2 2 39 2" xfId="3862"/>
    <cellStyle name="Normal 2 2 4" xfId="3863"/>
    <cellStyle name="Normal 2 2 4 10" xfId="3864"/>
    <cellStyle name="Normal 2 2 4 11" xfId="3865"/>
    <cellStyle name="Normal 2 2 4 12" xfId="3866"/>
    <cellStyle name="Normal 2 2 4 13" xfId="3867"/>
    <cellStyle name="Normal 2 2 4 14" xfId="3868"/>
    <cellStyle name="Normal 2 2 4 15" xfId="3869"/>
    <cellStyle name="Normal 2 2 4 16" xfId="3870"/>
    <cellStyle name="Normal 2 2 4 17" xfId="3871"/>
    <cellStyle name="Normal 2 2 4 18" xfId="3872"/>
    <cellStyle name="Normal 2 2 4 19" xfId="3873"/>
    <cellStyle name="Normal 2 2 4 2" xfId="3874"/>
    <cellStyle name="Normal 2 2 4 2 2" xfId="3875"/>
    <cellStyle name="Normal 2 2 4 20" xfId="3876"/>
    <cellStyle name="Normal 2 2 4 21" xfId="3877"/>
    <cellStyle name="Normal 2 2 4 22" xfId="3878"/>
    <cellStyle name="Normal 2 2 4 23" xfId="3879"/>
    <cellStyle name="Normal 2 2 4 24" xfId="3880"/>
    <cellStyle name="Normal 2 2 4 25" xfId="3881"/>
    <cellStyle name="Normal 2 2 4 26" xfId="3882"/>
    <cellStyle name="Normal 2 2 4 27" xfId="3883"/>
    <cellStyle name="Normal 2 2 4 28" xfId="3884"/>
    <cellStyle name="Normal 2 2 4 29" xfId="3885"/>
    <cellStyle name="Normal 2 2 4 3" xfId="3886"/>
    <cellStyle name="Normal 2 2 4 30" xfId="3887"/>
    <cellStyle name="Normal 2 2 4 31" xfId="3888"/>
    <cellStyle name="Normal 2 2 4 32" xfId="3889"/>
    <cellStyle name="Normal 2 2 4 33" xfId="3890"/>
    <cellStyle name="Normal 2 2 4 34" xfId="3891"/>
    <cellStyle name="Normal 2 2 4 35" xfId="3892"/>
    <cellStyle name="Normal 2 2 4 36" xfId="3893"/>
    <cellStyle name="Normal 2 2 4 37" xfId="3894"/>
    <cellStyle name="Normal 2 2 4 38" xfId="3895"/>
    <cellStyle name="Normal 2 2 4 39" xfId="3896"/>
    <cellStyle name="Normal 2 2 4 4" xfId="3897"/>
    <cellStyle name="Normal 2 2 4 40" xfId="3898"/>
    <cellStyle name="Normal 2 2 4 41" xfId="3899"/>
    <cellStyle name="Normal 2 2 4 42" xfId="3900"/>
    <cellStyle name="Normal 2 2 4 43" xfId="3901"/>
    <cellStyle name="Normal 2 2 4 44" xfId="3902"/>
    <cellStyle name="Normal 2 2 4 45" xfId="3903"/>
    <cellStyle name="Normal 2 2 4 46" xfId="3904"/>
    <cellStyle name="Normal 2 2 4 47" xfId="3905"/>
    <cellStyle name="Normal 2 2 4 48" xfId="3906"/>
    <cellStyle name="Normal 2 2 4 49" xfId="3907"/>
    <cellStyle name="Normal 2 2 4 5" xfId="3908"/>
    <cellStyle name="Normal 2 2 4 50" xfId="3909"/>
    <cellStyle name="Normal 2 2 4 51" xfId="3910"/>
    <cellStyle name="Normal 2 2 4 52" xfId="3911"/>
    <cellStyle name="Normal 2 2 4 53" xfId="3912"/>
    <cellStyle name="Normal 2 2 4 54" xfId="3913"/>
    <cellStyle name="Normal 2 2 4 55" xfId="3914"/>
    <cellStyle name="Normal 2 2 4 56" xfId="3915"/>
    <cellStyle name="Normal 2 2 4 57" xfId="3916"/>
    <cellStyle name="Normal 2 2 4 58" xfId="3917"/>
    <cellStyle name="Normal 2 2 4 59" xfId="3918"/>
    <cellStyle name="Normal 2 2 4 6" xfId="3919"/>
    <cellStyle name="Normal 2 2 4 60" xfId="3920"/>
    <cellStyle name="Normal 2 2 4 61" xfId="3921"/>
    <cellStyle name="Normal 2 2 4 62" xfId="3922"/>
    <cellStyle name="Normal 2 2 4 63" xfId="3923"/>
    <cellStyle name="Normal 2 2 4 64" xfId="3924"/>
    <cellStyle name="Normal 2 2 4 65" xfId="3925"/>
    <cellStyle name="Normal 2 2 4 66" xfId="3926"/>
    <cellStyle name="Normal 2 2 4 67" xfId="3927"/>
    <cellStyle name="Normal 2 2 4 68" xfId="3928"/>
    <cellStyle name="Normal 2 2 4 69" xfId="3929"/>
    <cellStyle name="Normal 2 2 4 7" xfId="3930"/>
    <cellStyle name="Normal 2 2 4 70" xfId="3931"/>
    <cellStyle name="Normal 2 2 4 71" xfId="3932"/>
    <cellStyle name="Normal 2 2 4 72" xfId="3933"/>
    <cellStyle name="Normal 2 2 4 73" xfId="3934"/>
    <cellStyle name="Normal 2 2 4 74" xfId="3935"/>
    <cellStyle name="Normal 2 2 4 75" xfId="3936"/>
    <cellStyle name="Normal 2 2 4 76" xfId="3937"/>
    <cellStyle name="Normal 2 2 4 77" xfId="3938"/>
    <cellStyle name="Normal 2 2 4 78" xfId="3939"/>
    <cellStyle name="Normal 2 2 4 79" xfId="3940"/>
    <cellStyle name="Normal 2 2 4 8" xfId="3941"/>
    <cellStyle name="Normal 2 2 4 80" xfId="3942"/>
    <cellStyle name="Normal 2 2 4 81" xfId="3943"/>
    <cellStyle name="Normal 2 2 4 82" xfId="3944"/>
    <cellStyle name="Normal 2 2 4 83" xfId="3945"/>
    <cellStyle name="Normal 2 2 4 84" xfId="3946"/>
    <cellStyle name="Normal 2 2 4 85" xfId="3947"/>
    <cellStyle name="Normal 2 2 4 86" xfId="3948"/>
    <cellStyle name="Normal 2 2 4 87" xfId="3949"/>
    <cellStyle name="Normal 2 2 4 88" xfId="3950"/>
    <cellStyle name="Normal 2 2 4 89" xfId="3951"/>
    <cellStyle name="Normal 2 2 4 9" xfId="3952"/>
    <cellStyle name="Normal 2 2 4 90" xfId="3953"/>
    <cellStyle name="Normal 2 2 4 91" xfId="3954"/>
    <cellStyle name="Normal 2 2 4 92" xfId="7495"/>
    <cellStyle name="Normal 2 2 40" xfId="3955"/>
    <cellStyle name="Normal 2 2 40 2" xfId="3956"/>
    <cellStyle name="Normal 2 2 41" xfId="3957"/>
    <cellStyle name="Normal 2 2 41 2" xfId="3958"/>
    <cellStyle name="Normal 2 2 42" xfId="3959"/>
    <cellStyle name="Normal 2 2 42 2" xfId="3960"/>
    <cellStyle name="Normal 2 2 43" xfId="3961"/>
    <cellStyle name="Normal 2 2 43 2" xfId="3962"/>
    <cellStyle name="Normal 2 2 44" xfId="3963"/>
    <cellStyle name="Normal 2 2 44 2" xfId="3964"/>
    <cellStyle name="Normal 2 2 45" xfId="3965"/>
    <cellStyle name="Normal 2 2 45 2" xfId="3966"/>
    <cellStyle name="Normal 2 2 46" xfId="3967"/>
    <cellStyle name="Normal 2 2 46 2" xfId="3968"/>
    <cellStyle name="Normal 2 2 47" xfId="3969"/>
    <cellStyle name="Normal 2 2 47 2" xfId="3970"/>
    <cellStyle name="Normal 2 2 48" xfId="3971"/>
    <cellStyle name="Normal 2 2 48 2" xfId="3972"/>
    <cellStyle name="Normal 2 2 49" xfId="3973"/>
    <cellStyle name="Normal 2 2 49 2" xfId="3974"/>
    <cellStyle name="Normal 2 2 5" xfId="3975"/>
    <cellStyle name="Normal 2 2 5 10" xfId="3976"/>
    <cellStyle name="Normal 2 2 5 11" xfId="3977"/>
    <cellStyle name="Normal 2 2 5 12" xfId="3978"/>
    <cellStyle name="Normal 2 2 5 13" xfId="3979"/>
    <cellStyle name="Normal 2 2 5 14" xfId="3980"/>
    <cellStyle name="Normal 2 2 5 15" xfId="3981"/>
    <cellStyle name="Normal 2 2 5 16" xfId="3982"/>
    <cellStyle name="Normal 2 2 5 17" xfId="3983"/>
    <cellStyle name="Normal 2 2 5 18" xfId="3984"/>
    <cellStyle name="Normal 2 2 5 19" xfId="3985"/>
    <cellStyle name="Normal 2 2 5 2" xfId="3986"/>
    <cellStyle name="Normal 2 2 5 2 2" xfId="3987"/>
    <cellStyle name="Normal 2 2 5 20" xfId="3988"/>
    <cellStyle name="Normal 2 2 5 21" xfId="3989"/>
    <cellStyle name="Normal 2 2 5 22" xfId="3990"/>
    <cellStyle name="Normal 2 2 5 23" xfId="3991"/>
    <cellStyle name="Normal 2 2 5 24" xfId="3992"/>
    <cellStyle name="Normal 2 2 5 25" xfId="3993"/>
    <cellStyle name="Normal 2 2 5 26" xfId="3994"/>
    <cellStyle name="Normal 2 2 5 27" xfId="3995"/>
    <cellStyle name="Normal 2 2 5 28" xfId="3996"/>
    <cellStyle name="Normal 2 2 5 29" xfId="3997"/>
    <cellStyle name="Normal 2 2 5 3" xfId="3998"/>
    <cellStyle name="Normal 2 2 5 30" xfId="3999"/>
    <cellStyle name="Normal 2 2 5 31" xfId="4000"/>
    <cellStyle name="Normal 2 2 5 32" xfId="4001"/>
    <cellStyle name="Normal 2 2 5 33" xfId="4002"/>
    <cellStyle name="Normal 2 2 5 34" xfId="4003"/>
    <cellStyle name="Normal 2 2 5 35" xfId="4004"/>
    <cellStyle name="Normal 2 2 5 36" xfId="4005"/>
    <cellStyle name="Normal 2 2 5 37" xfId="4006"/>
    <cellStyle name="Normal 2 2 5 38" xfId="4007"/>
    <cellStyle name="Normal 2 2 5 39" xfId="4008"/>
    <cellStyle name="Normal 2 2 5 4" xfId="4009"/>
    <cellStyle name="Normal 2 2 5 40" xfId="4010"/>
    <cellStyle name="Normal 2 2 5 41" xfId="4011"/>
    <cellStyle name="Normal 2 2 5 42" xfId="4012"/>
    <cellStyle name="Normal 2 2 5 43" xfId="4013"/>
    <cellStyle name="Normal 2 2 5 44" xfId="4014"/>
    <cellStyle name="Normal 2 2 5 45" xfId="4015"/>
    <cellStyle name="Normal 2 2 5 46" xfId="4016"/>
    <cellStyle name="Normal 2 2 5 47" xfId="4017"/>
    <cellStyle name="Normal 2 2 5 48" xfId="4018"/>
    <cellStyle name="Normal 2 2 5 49" xfId="4019"/>
    <cellStyle name="Normal 2 2 5 5" xfId="4020"/>
    <cellStyle name="Normal 2 2 5 50" xfId="4021"/>
    <cellStyle name="Normal 2 2 5 51" xfId="4022"/>
    <cellStyle name="Normal 2 2 5 52" xfId="4023"/>
    <cellStyle name="Normal 2 2 5 53" xfId="4024"/>
    <cellStyle name="Normal 2 2 5 54" xfId="4025"/>
    <cellStyle name="Normal 2 2 5 55" xfId="4026"/>
    <cellStyle name="Normal 2 2 5 56" xfId="4027"/>
    <cellStyle name="Normal 2 2 5 57" xfId="4028"/>
    <cellStyle name="Normal 2 2 5 58" xfId="4029"/>
    <cellStyle name="Normal 2 2 5 59" xfId="4030"/>
    <cellStyle name="Normal 2 2 5 6" xfId="4031"/>
    <cellStyle name="Normal 2 2 5 60" xfId="4032"/>
    <cellStyle name="Normal 2 2 5 61" xfId="4033"/>
    <cellStyle name="Normal 2 2 5 62" xfId="4034"/>
    <cellStyle name="Normal 2 2 5 63" xfId="4035"/>
    <cellStyle name="Normal 2 2 5 64" xfId="4036"/>
    <cellStyle name="Normal 2 2 5 65" xfId="4037"/>
    <cellStyle name="Normal 2 2 5 66" xfId="4038"/>
    <cellStyle name="Normal 2 2 5 67" xfId="4039"/>
    <cellStyle name="Normal 2 2 5 68" xfId="4040"/>
    <cellStyle name="Normal 2 2 5 69" xfId="4041"/>
    <cellStyle name="Normal 2 2 5 7" xfId="4042"/>
    <cellStyle name="Normal 2 2 5 70" xfId="4043"/>
    <cellStyle name="Normal 2 2 5 71" xfId="4044"/>
    <cellStyle name="Normal 2 2 5 72" xfId="4045"/>
    <cellStyle name="Normal 2 2 5 73" xfId="4046"/>
    <cellStyle name="Normal 2 2 5 74" xfId="4047"/>
    <cellStyle name="Normal 2 2 5 75" xfId="4048"/>
    <cellStyle name="Normal 2 2 5 76" xfId="4049"/>
    <cellStyle name="Normal 2 2 5 77" xfId="4050"/>
    <cellStyle name="Normal 2 2 5 78" xfId="4051"/>
    <cellStyle name="Normal 2 2 5 79" xfId="4052"/>
    <cellStyle name="Normal 2 2 5 8" xfId="4053"/>
    <cellStyle name="Normal 2 2 5 80" xfId="4054"/>
    <cellStyle name="Normal 2 2 5 81" xfId="4055"/>
    <cellStyle name="Normal 2 2 5 82" xfId="4056"/>
    <cellStyle name="Normal 2 2 5 83" xfId="4057"/>
    <cellStyle name="Normal 2 2 5 84" xfId="4058"/>
    <cellStyle name="Normal 2 2 5 85" xfId="4059"/>
    <cellStyle name="Normal 2 2 5 86" xfId="4060"/>
    <cellStyle name="Normal 2 2 5 87" xfId="4061"/>
    <cellStyle name="Normal 2 2 5 88" xfId="4062"/>
    <cellStyle name="Normal 2 2 5 89" xfId="4063"/>
    <cellStyle name="Normal 2 2 5 9" xfId="4064"/>
    <cellStyle name="Normal 2 2 5 90" xfId="4065"/>
    <cellStyle name="Normal 2 2 5 91" xfId="4066"/>
    <cellStyle name="Normal 2 2 5 92" xfId="7496"/>
    <cellStyle name="Normal 2 2 50" xfId="4067"/>
    <cellStyle name="Normal 2 2 50 2" xfId="4068"/>
    <cellStyle name="Normal 2 2 51" xfId="4069"/>
    <cellStyle name="Normal 2 2 51 2" xfId="4070"/>
    <cellStyle name="Normal 2 2 52" xfId="4071"/>
    <cellStyle name="Normal 2 2 52 2" xfId="4072"/>
    <cellStyle name="Normal 2 2 53" xfId="4073"/>
    <cellStyle name="Normal 2 2 53 2" xfId="4074"/>
    <cellStyle name="Normal 2 2 54" xfId="4075"/>
    <cellStyle name="Normal 2 2 54 2" xfId="4076"/>
    <cellStyle name="Normal 2 2 55" xfId="4077"/>
    <cellStyle name="Normal 2 2 55 2" xfId="4078"/>
    <cellStyle name="Normal 2 2 56" xfId="4079"/>
    <cellStyle name="Normal 2 2 56 2" xfId="4080"/>
    <cellStyle name="Normal 2 2 57" xfId="4081"/>
    <cellStyle name="Normal 2 2 57 2" xfId="4082"/>
    <cellStyle name="Normal 2 2 58" xfId="4083"/>
    <cellStyle name="Normal 2 2 58 2" xfId="4084"/>
    <cellStyle name="Normal 2 2 59" xfId="4085"/>
    <cellStyle name="Normal 2 2 59 2" xfId="4086"/>
    <cellStyle name="Normal 2 2 6" xfId="4087"/>
    <cellStyle name="Normal 2 2 6 10" xfId="4088"/>
    <cellStyle name="Normal 2 2 6 11" xfId="4089"/>
    <cellStyle name="Normal 2 2 6 12" xfId="4090"/>
    <cellStyle name="Normal 2 2 6 13" xfId="4091"/>
    <cellStyle name="Normal 2 2 6 14" xfId="4092"/>
    <cellStyle name="Normal 2 2 6 15" xfId="4093"/>
    <cellStyle name="Normal 2 2 6 16" xfId="4094"/>
    <cellStyle name="Normal 2 2 6 17" xfId="4095"/>
    <cellStyle name="Normal 2 2 6 18" xfId="4096"/>
    <cellStyle name="Normal 2 2 6 19" xfId="4097"/>
    <cellStyle name="Normal 2 2 6 2" xfId="4098"/>
    <cellStyle name="Normal 2 2 6 2 2" xfId="4099"/>
    <cellStyle name="Normal 2 2 6 20" xfId="4100"/>
    <cellStyle name="Normal 2 2 6 21" xfId="4101"/>
    <cellStyle name="Normal 2 2 6 22" xfId="4102"/>
    <cellStyle name="Normal 2 2 6 23" xfId="4103"/>
    <cellStyle name="Normal 2 2 6 24" xfId="4104"/>
    <cellStyle name="Normal 2 2 6 25" xfId="4105"/>
    <cellStyle name="Normal 2 2 6 26" xfId="4106"/>
    <cellStyle name="Normal 2 2 6 27" xfId="4107"/>
    <cellStyle name="Normal 2 2 6 28" xfId="4108"/>
    <cellStyle name="Normal 2 2 6 29" xfId="4109"/>
    <cellStyle name="Normal 2 2 6 3" xfId="4110"/>
    <cellStyle name="Normal 2 2 6 3 2" xfId="4111"/>
    <cellStyle name="Normal 2 2 6 30" xfId="4112"/>
    <cellStyle name="Normal 2 2 6 31" xfId="4113"/>
    <cellStyle name="Normal 2 2 6 32" xfId="4114"/>
    <cellStyle name="Normal 2 2 6 33" xfId="4115"/>
    <cellStyle name="Normal 2 2 6 34" xfId="4116"/>
    <cellStyle name="Normal 2 2 6 35" xfId="4117"/>
    <cellStyle name="Normal 2 2 6 36" xfId="4118"/>
    <cellStyle name="Normal 2 2 6 37" xfId="4119"/>
    <cellStyle name="Normal 2 2 6 38" xfId="4120"/>
    <cellStyle name="Normal 2 2 6 39" xfId="4121"/>
    <cellStyle name="Normal 2 2 6 4" xfId="4122"/>
    <cellStyle name="Normal 2 2 6 40" xfId="4123"/>
    <cellStyle name="Normal 2 2 6 41" xfId="4124"/>
    <cellStyle name="Normal 2 2 6 42" xfId="4125"/>
    <cellStyle name="Normal 2 2 6 5" xfId="4126"/>
    <cellStyle name="Normal 2 2 6 6" xfId="4127"/>
    <cellStyle name="Normal 2 2 6 7" xfId="4128"/>
    <cellStyle name="Normal 2 2 6 8" xfId="4129"/>
    <cellStyle name="Normal 2 2 6 9" xfId="4130"/>
    <cellStyle name="Normal 2 2 60" xfId="4131"/>
    <cellStyle name="Normal 2 2 60 2" xfId="4132"/>
    <cellStyle name="Normal 2 2 61" xfId="4133"/>
    <cellStyle name="Normal 2 2 61 2" xfId="4134"/>
    <cellStyle name="Normal 2 2 62" xfId="4135"/>
    <cellStyle name="Normal 2 2 62 2" xfId="4136"/>
    <cellStyle name="Normal 2 2 63" xfId="4137"/>
    <cellStyle name="Normal 2 2 63 2" xfId="4138"/>
    <cellStyle name="Normal 2 2 64" xfId="4139"/>
    <cellStyle name="Normal 2 2 64 2" xfId="4140"/>
    <cellStyle name="Normal 2 2 65" xfId="4141"/>
    <cellStyle name="Normal 2 2 66" xfId="4142"/>
    <cellStyle name="Normal 2 2 67" xfId="4143"/>
    <cellStyle name="Normal 2 2 68" xfId="4144"/>
    <cellStyle name="Normal 2 2 69" xfId="4145"/>
    <cellStyle name="Normal 2 2 7" xfId="4146"/>
    <cellStyle name="Normal 2 2 7 10" xfId="4147"/>
    <cellStyle name="Normal 2 2 7 11" xfId="4148"/>
    <cellStyle name="Normal 2 2 7 12" xfId="4149"/>
    <cellStyle name="Normal 2 2 7 13" xfId="4150"/>
    <cellStyle name="Normal 2 2 7 14" xfId="4151"/>
    <cellStyle name="Normal 2 2 7 15" xfId="4152"/>
    <cellStyle name="Normal 2 2 7 16" xfId="4153"/>
    <cellStyle name="Normal 2 2 7 17" xfId="4154"/>
    <cellStyle name="Normal 2 2 7 18" xfId="4155"/>
    <cellStyle name="Normal 2 2 7 19" xfId="4156"/>
    <cellStyle name="Normal 2 2 7 2" xfId="4157"/>
    <cellStyle name="Normal 2 2 7 2 2" xfId="4158"/>
    <cellStyle name="Normal 2 2 7 20" xfId="4159"/>
    <cellStyle name="Normal 2 2 7 21" xfId="4160"/>
    <cellStyle name="Normal 2 2 7 22" xfId="4161"/>
    <cellStyle name="Normal 2 2 7 3" xfId="4162"/>
    <cellStyle name="Normal 2 2 7 3 2" xfId="4163"/>
    <cellStyle name="Normal 2 2 7 4" xfId="4164"/>
    <cellStyle name="Normal 2 2 7 5" xfId="4165"/>
    <cellStyle name="Normal 2 2 7 6" xfId="4166"/>
    <cellStyle name="Normal 2 2 7 7" xfId="4167"/>
    <cellStyle name="Normal 2 2 7 8" xfId="4168"/>
    <cellStyle name="Normal 2 2 7 9" xfId="4169"/>
    <cellStyle name="Normal 2 2 70" xfId="4170"/>
    <cellStyle name="Normal 2 2 71" xfId="4171"/>
    <cellStyle name="Normal 2 2 72" xfId="4172"/>
    <cellStyle name="Normal 2 2 73" xfId="4173"/>
    <cellStyle name="Normal 2 2 74" xfId="4174"/>
    <cellStyle name="Normal 2 2 75" xfId="4175"/>
    <cellStyle name="Normal 2 2 76" xfId="4176"/>
    <cellStyle name="Normal 2 2 77" xfId="4177"/>
    <cellStyle name="Normal 2 2 78" xfId="4178"/>
    <cellStyle name="Normal 2 2 79" xfId="4179"/>
    <cellStyle name="Normal 2 2 8" xfId="4180"/>
    <cellStyle name="Normal 2 2 8 2" xfId="4181"/>
    <cellStyle name="Normal 2 2 8 2 2" xfId="4182"/>
    <cellStyle name="Normal 2 2 8 3" xfId="4183"/>
    <cellStyle name="Normal 2 2 80" xfId="4184"/>
    <cellStyle name="Normal 2 2 81" xfId="4185"/>
    <cellStyle name="Normal 2 2 82" xfId="4186"/>
    <cellStyle name="Normal 2 2 83" xfId="4187"/>
    <cellStyle name="Normal 2 2 84" xfId="4188"/>
    <cellStyle name="Normal 2 2 85" xfId="4189"/>
    <cellStyle name="Normal 2 2 86" xfId="4190"/>
    <cellStyle name="Normal 2 2 87" xfId="4191"/>
    <cellStyle name="Normal 2 2 88" xfId="4192"/>
    <cellStyle name="Normal 2 2 89" xfId="4193"/>
    <cellStyle name="Normal 2 2 9" xfId="4194"/>
    <cellStyle name="Normal 2 2 9 2" xfId="4195"/>
    <cellStyle name="Normal 2 2 90" xfId="4196"/>
    <cellStyle name="Normal 2 2 91" xfId="4197"/>
    <cellStyle name="Normal 2 2 92" xfId="4198"/>
    <cellStyle name="Normal 2 2 93" xfId="4199"/>
    <cellStyle name="Normal 2 2 94" xfId="4200"/>
    <cellStyle name="Normal 2 2 95" xfId="4201"/>
    <cellStyle name="Normal 2 2 96" xfId="4202"/>
    <cellStyle name="Normal 2 2 97" xfId="4203"/>
    <cellStyle name="Normal 2 2 98" xfId="4204"/>
    <cellStyle name="Normal 2 2 99" xfId="4205"/>
    <cellStyle name="Normal 2 20" xfId="4206"/>
    <cellStyle name="Normal 2 20 2" xfId="4207"/>
    <cellStyle name="Normal 2 21" xfId="4208"/>
    <cellStyle name="Normal 2 21 2" xfId="4209"/>
    <cellStyle name="Normal 2 22" xfId="4210"/>
    <cellStyle name="Normal 2 22 2" xfId="4211"/>
    <cellStyle name="Normal 2 23" xfId="4212"/>
    <cellStyle name="Normal 2 23 2" xfId="4213"/>
    <cellStyle name="Normal 2 24" xfId="4214"/>
    <cellStyle name="Normal 2 24 2" xfId="4215"/>
    <cellStyle name="Normal 2 25" xfId="4216"/>
    <cellStyle name="Normal 2 25 2" xfId="4217"/>
    <cellStyle name="Normal 2 26" xfId="4218"/>
    <cellStyle name="Normal 2 26 2" xfId="4219"/>
    <cellStyle name="Normal 2 27" xfId="4220"/>
    <cellStyle name="Normal 2 27 2" xfId="4221"/>
    <cellStyle name="Normal 2 28" xfId="4222"/>
    <cellStyle name="Normal 2 28 2" xfId="4223"/>
    <cellStyle name="Normal 2 29" xfId="4224"/>
    <cellStyle name="Normal 2 29 2" xfId="4225"/>
    <cellStyle name="Normal 2 3" xfId="27"/>
    <cellStyle name="Normal 2 3 10" xfId="4226"/>
    <cellStyle name="Normal 2 3 100" xfId="4227"/>
    <cellStyle name="Normal 2 3 101" xfId="4228"/>
    <cellStyle name="Normal 2 3 102" xfId="4229"/>
    <cellStyle name="Normal 2 3 103" xfId="4230"/>
    <cellStyle name="Normal 2 3 104" xfId="4231"/>
    <cellStyle name="Normal 2 3 105" xfId="4232"/>
    <cellStyle name="Normal 2 3 106" xfId="4233"/>
    <cellStyle name="Normal 2 3 107" xfId="4234"/>
    <cellStyle name="Normal 2 3 108" xfId="4235"/>
    <cellStyle name="Normal 2 3 109" xfId="4236"/>
    <cellStyle name="Normal 2 3 11" xfId="4237"/>
    <cellStyle name="Normal 2 3 110" xfId="4238"/>
    <cellStyle name="Normal 2 3 111" xfId="4239"/>
    <cellStyle name="Normal 2 3 112" xfId="4240"/>
    <cellStyle name="Normal 2 3 113" xfId="4241"/>
    <cellStyle name="Normal 2 3 114" xfId="4242"/>
    <cellStyle name="Normal 2 3 115" xfId="4243"/>
    <cellStyle name="Normal 2 3 116" xfId="4244"/>
    <cellStyle name="Normal 2 3 117" xfId="4245"/>
    <cellStyle name="Normal 2 3 118" xfId="4246"/>
    <cellStyle name="Normal 2 3 119" xfId="4247"/>
    <cellStyle name="Normal 2 3 12" xfId="4248"/>
    <cellStyle name="Normal 2 3 120" xfId="4249"/>
    <cellStyle name="Normal 2 3 121" xfId="4250"/>
    <cellStyle name="Normal 2 3 122" xfId="4251"/>
    <cellStyle name="Normal 2 3 123" xfId="4252"/>
    <cellStyle name="Normal 2 3 124" xfId="4253"/>
    <cellStyle name="Normal 2 3 125" xfId="4254"/>
    <cellStyle name="Normal 2 3 126" xfId="4255"/>
    <cellStyle name="Normal 2 3 127" xfId="4256"/>
    <cellStyle name="Normal 2 3 128" xfId="4257"/>
    <cellStyle name="Normal 2 3 129" xfId="4258"/>
    <cellStyle name="Normal 2 3 13" xfId="4259"/>
    <cellStyle name="Normal 2 3 130" xfId="4260"/>
    <cellStyle name="Normal 2 3 131" xfId="4261"/>
    <cellStyle name="Normal 2 3 132" xfId="4262"/>
    <cellStyle name="Normal 2 3 133" xfId="4263"/>
    <cellStyle name="Normal 2 3 134" xfId="4264"/>
    <cellStyle name="Normal 2 3 135" xfId="4265"/>
    <cellStyle name="Normal 2 3 136" xfId="4266"/>
    <cellStyle name="Normal 2 3 137" xfId="4267"/>
    <cellStyle name="Normal 2 3 138" xfId="4268"/>
    <cellStyle name="Normal 2 3 139" xfId="4269"/>
    <cellStyle name="Normal 2 3 14" xfId="4270"/>
    <cellStyle name="Normal 2 3 140" xfId="4271"/>
    <cellStyle name="Normal 2 3 141" xfId="7497"/>
    <cellStyle name="Normal 2 3 15" xfId="4272"/>
    <cellStyle name="Normal 2 3 16" xfId="4273"/>
    <cellStyle name="Normal 2 3 17" xfId="4274"/>
    <cellStyle name="Normal 2 3 18" xfId="4275"/>
    <cellStyle name="Normal 2 3 19" xfId="4276"/>
    <cellStyle name="Normal 2 3 2" xfId="4277"/>
    <cellStyle name="Normal 2 3 2 2" xfId="4278"/>
    <cellStyle name="Normal 2 3 2 2 2" xfId="4279"/>
    <cellStyle name="Normal 2 3 2 2 3" xfId="4280"/>
    <cellStyle name="Normal 2 3 2 2 4" xfId="4281"/>
    <cellStyle name="Normal 2 3 2 2 5" xfId="4282"/>
    <cellStyle name="Normal 2 3 2 2 6" xfId="4283"/>
    <cellStyle name="Normal 2 3 2 2 7" xfId="4284"/>
    <cellStyle name="Normal 2 3 2 2 8" xfId="4285"/>
    <cellStyle name="Normal 2 3 2 2 9" xfId="4286"/>
    <cellStyle name="Normal 2 3 2 3" xfId="4287"/>
    <cellStyle name="Normal 2 3 2 4" xfId="4288"/>
    <cellStyle name="Normal 2 3 2 5" xfId="4289"/>
    <cellStyle name="Normal 2 3 2 6" xfId="4290"/>
    <cellStyle name="Normal 2 3 2 7" xfId="4291"/>
    <cellStyle name="Normal 2 3 2 8" xfId="4292"/>
    <cellStyle name="Normal 2 3 2 9" xfId="4293"/>
    <cellStyle name="Normal 2 3 20" xfId="4294"/>
    <cellStyle name="Normal 2 3 21" xfId="4295"/>
    <cellStyle name="Normal 2 3 22" xfId="4296"/>
    <cellStyle name="Normal 2 3 23" xfId="4297"/>
    <cellStyle name="Normal 2 3 24" xfId="4298"/>
    <cellStyle name="Normal 2 3 25" xfId="4299"/>
    <cellStyle name="Normal 2 3 26" xfId="4300"/>
    <cellStyle name="Normal 2 3 27" xfId="4301"/>
    <cellStyle name="Normal 2 3 28" xfId="4302"/>
    <cellStyle name="Normal 2 3 29" xfId="4303"/>
    <cellStyle name="Normal 2 3 3" xfId="4304"/>
    <cellStyle name="Normal 2 3 3 2" xfId="4305"/>
    <cellStyle name="Normal 2 3 3 2 2" xfId="4306"/>
    <cellStyle name="Normal 2 3 3 3" xfId="4307"/>
    <cellStyle name="Normal 2 3 30" xfId="4308"/>
    <cellStyle name="Normal 2 3 31" xfId="4309"/>
    <cellStyle name="Normal 2 3 32" xfId="4310"/>
    <cellStyle name="Normal 2 3 33" xfId="4311"/>
    <cellStyle name="Normal 2 3 34" xfId="4312"/>
    <cellStyle name="Normal 2 3 35" xfId="4313"/>
    <cellStyle name="Normal 2 3 36" xfId="4314"/>
    <cellStyle name="Normal 2 3 37" xfId="4315"/>
    <cellStyle name="Normal 2 3 38" xfId="4316"/>
    <cellStyle name="Normal 2 3 39" xfId="4317"/>
    <cellStyle name="Normal 2 3 4" xfId="4318"/>
    <cellStyle name="Normal 2 3 4 2" xfId="4319"/>
    <cellStyle name="Normal 2 3 40" xfId="4320"/>
    <cellStyle name="Normal 2 3 41" xfId="4321"/>
    <cellStyle name="Normal 2 3 42" xfId="4322"/>
    <cellStyle name="Normal 2 3 43" xfId="4323"/>
    <cellStyle name="Normal 2 3 44" xfId="4324"/>
    <cellStyle name="Normal 2 3 45" xfId="4325"/>
    <cellStyle name="Normal 2 3 46" xfId="4326"/>
    <cellStyle name="Normal 2 3 47" xfId="4327"/>
    <cellStyle name="Normal 2 3 48" xfId="4328"/>
    <cellStyle name="Normal 2 3 49" xfId="4329"/>
    <cellStyle name="Normal 2 3 5" xfId="4330"/>
    <cellStyle name="Normal 2 3 50" xfId="4331"/>
    <cellStyle name="Normal 2 3 51" xfId="4332"/>
    <cellStyle name="Normal 2 3 52" xfId="4333"/>
    <cellStyle name="Normal 2 3 53" xfId="4334"/>
    <cellStyle name="Normal 2 3 54" xfId="4335"/>
    <cellStyle name="Normal 2 3 55" xfId="4336"/>
    <cellStyle name="Normal 2 3 56" xfId="4337"/>
    <cellStyle name="Normal 2 3 57" xfId="4338"/>
    <cellStyle name="Normal 2 3 58" xfId="4339"/>
    <cellStyle name="Normal 2 3 59" xfId="4340"/>
    <cellStyle name="Normal 2 3 6" xfId="4341"/>
    <cellStyle name="Normal 2 3 60" xfId="4342"/>
    <cellStyle name="Normal 2 3 61" xfId="4343"/>
    <cellStyle name="Normal 2 3 62" xfId="4344"/>
    <cellStyle name="Normal 2 3 63" xfId="4345"/>
    <cellStyle name="Normal 2 3 64" xfId="4346"/>
    <cellStyle name="Normal 2 3 65" xfId="4347"/>
    <cellStyle name="Normal 2 3 66" xfId="4348"/>
    <cellStyle name="Normal 2 3 67" xfId="4349"/>
    <cellStyle name="Normal 2 3 68" xfId="4350"/>
    <cellStyle name="Normal 2 3 69" xfId="4351"/>
    <cellStyle name="Normal 2 3 7" xfId="4352"/>
    <cellStyle name="Normal 2 3 70" xfId="4353"/>
    <cellStyle name="Normal 2 3 71" xfId="4354"/>
    <cellStyle name="Normal 2 3 72" xfId="4355"/>
    <cellStyle name="Normal 2 3 73" xfId="4356"/>
    <cellStyle name="Normal 2 3 74" xfId="4357"/>
    <cellStyle name="Normal 2 3 75" xfId="4358"/>
    <cellStyle name="Normal 2 3 76" xfId="4359"/>
    <cellStyle name="Normal 2 3 77" xfId="4360"/>
    <cellStyle name="Normal 2 3 78" xfId="4361"/>
    <cellStyle name="Normal 2 3 79" xfId="4362"/>
    <cellStyle name="Normal 2 3 8" xfId="4363"/>
    <cellStyle name="Normal 2 3 80" xfId="4364"/>
    <cellStyle name="Normal 2 3 81" xfId="4365"/>
    <cellStyle name="Normal 2 3 82" xfId="4366"/>
    <cellStyle name="Normal 2 3 83" xfId="4367"/>
    <cellStyle name="Normal 2 3 84" xfId="4368"/>
    <cellStyle name="Normal 2 3 85" xfId="4369"/>
    <cellStyle name="Normal 2 3 86" xfId="4370"/>
    <cellStyle name="Normal 2 3 87" xfId="4371"/>
    <cellStyle name="Normal 2 3 88" xfId="4372"/>
    <cellStyle name="Normal 2 3 89" xfId="4373"/>
    <cellStyle name="Normal 2 3 9" xfId="4374"/>
    <cellStyle name="Normal 2 3 90" xfId="4375"/>
    <cellStyle name="Normal 2 3 91" xfId="4376"/>
    <cellStyle name="Normal 2 3 92" xfId="4377"/>
    <cellStyle name="Normal 2 3 93" xfId="4378"/>
    <cellStyle name="Normal 2 3 94" xfId="4379"/>
    <cellStyle name="Normal 2 3 95" xfId="4380"/>
    <cellStyle name="Normal 2 3 96" xfId="4381"/>
    <cellStyle name="Normal 2 3 96 2" xfId="4382"/>
    <cellStyle name="Normal 2 3 97" xfId="4383"/>
    <cellStyle name="Normal 2 3 98" xfId="4384"/>
    <cellStyle name="Normal 2 3 99" xfId="4385"/>
    <cellStyle name="Normal 2 30" xfId="4386"/>
    <cellStyle name="Normal 2 30 2" xfId="4387"/>
    <cellStyle name="Normal 2 31" xfId="4388"/>
    <cellStyle name="Normal 2 31 2" xfId="4389"/>
    <cellStyle name="Normal 2 32" xfId="4390"/>
    <cellStyle name="Normal 2 32 2" xfId="4391"/>
    <cellStyle name="Normal 2 33" xfId="4392"/>
    <cellStyle name="Normal 2 33 2" xfId="4393"/>
    <cellStyle name="Normal 2 34" xfId="4394"/>
    <cellStyle name="Normal 2 34 2" xfId="4395"/>
    <cellStyle name="Normal 2 35" xfId="4396"/>
    <cellStyle name="Normal 2 35 2" xfId="4397"/>
    <cellStyle name="Normal 2 36" xfId="4398"/>
    <cellStyle name="Normal 2 36 2" xfId="4399"/>
    <cellStyle name="Normal 2 37" xfId="4400"/>
    <cellStyle name="Normal 2 37 2" xfId="4401"/>
    <cellStyle name="Normal 2 38" xfId="4402"/>
    <cellStyle name="Normal 2 38 2" xfId="4403"/>
    <cellStyle name="Normal 2 39" xfId="4404"/>
    <cellStyle name="Normal 2 39 2" xfId="4405"/>
    <cellStyle name="Normal 2 4" xfId="35"/>
    <cellStyle name="Normal 2 4 2" xfId="4406"/>
    <cellStyle name="Normal 2 4 2 2" xfId="4407"/>
    <cellStyle name="Normal 2 4 2 2 2" xfId="4408"/>
    <cellStyle name="Normal 2 4 2 2 2 2" xfId="4409"/>
    <cellStyle name="Normal 2 4 2 2 3" xfId="4410"/>
    <cellStyle name="Normal 2 4 2 2 3 2" xfId="4411"/>
    <cellStyle name="Normal 2 4 2 2 4" xfId="4412"/>
    <cellStyle name="Normal 2 4 2 2 4 2" xfId="4413"/>
    <cellStyle name="Normal 2 4 2 2 5" xfId="4414"/>
    <cellStyle name="Normal 2 4 2 2 5 2" xfId="4415"/>
    <cellStyle name="Normal 2 4 2 3" xfId="4416"/>
    <cellStyle name="Normal 2 4 2 4" xfId="4417"/>
    <cellStyle name="Normal 2 4 2 5" xfId="4418"/>
    <cellStyle name="Normal 2 4 2 6" xfId="4419"/>
    <cellStyle name="Normal 2 4 3" xfId="4420"/>
    <cellStyle name="Normal 2 4 3 2" xfId="4421"/>
    <cellStyle name="Normal 2 4 3 3" xfId="4422"/>
    <cellStyle name="Normal 2 4 3 4" xfId="4423"/>
    <cellStyle name="Normal 2 4 4" xfId="4424"/>
    <cellStyle name="Normal 2 4 4 2" xfId="4425"/>
    <cellStyle name="Normal 2 4 5" xfId="4426"/>
    <cellStyle name="Normal 2 4 5 2" xfId="4427"/>
    <cellStyle name="Normal 2 4 6" xfId="4428"/>
    <cellStyle name="Normal 2 4 6 2" xfId="4429"/>
    <cellStyle name="Normal 2 4 7" xfId="4430"/>
    <cellStyle name="Normal 2 4 7 2" xfId="4431"/>
    <cellStyle name="Normal 2 4 7 3" xfId="4432"/>
    <cellStyle name="Normal 2 4 8" xfId="4433"/>
    <cellStyle name="Normal 2 4 9" xfId="4434"/>
    <cellStyle name="Normal 2 40" xfId="4435"/>
    <cellStyle name="Normal 2 40 2" xfId="4436"/>
    <cellStyle name="Normal 2 41" xfId="4437"/>
    <cellStyle name="Normal 2 41 2" xfId="4438"/>
    <cellStyle name="Normal 2 42" xfId="4439"/>
    <cellStyle name="Normal 2 42 2" xfId="4440"/>
    <cellStyle name="Normal 2 43" xfId="4441"/>
    <cellStyle name="Normal 2 43 2" xfId="4442"/>
    <cellStyle name="Normal 2 44" xfId="4443"/>
    <cellStyle name="Normal 2 44 2" xfId="4444"/>
    <cellStyle name="Normal 2 45" xfId="4445"/>
    <cellStyle name="Normal 2 45 2" xfId="4446"/>
    <cellStyle name="Normal 2 46" xfId="4447"/>
    <cellStyle name="Normal 2 46 2" xfId="4448"/>
    <cellStyle name="Normal 2 47" xfId="4449"/>
    <cellStyle name="Normal 2 47 2" xfId="4450"/>
    <cellStyle name="Normal 2 48" xfId="4451"/>
    <cellStyle name="Normal 2 48 2" xfId="4452"/>
    <cellStyle name="Normal 2 49" xfId="4453"/>
    <cellStyle name="Normal 2 49 2" xfId="4454"/>
    <cellStyle name="Normal 2 5" xfId="4455"/>
    <cellStyle name="Normal 2 5 2" xfId="4456"/>
    <cellStyle name="Normal 2 5 2 2" xfId="4457"/>
    <cellStyle name="Normal 2 5 2 2 2" xfId="4458"/>
    <cellStyle name="Normal 2 5 2 2 2 2" xfId="4459"/>
    <cellStyle name="Normal 2 5 2 2 3" xfId="4460"/>
    <cellStyle name="Normal 2 5 2 2 3 2" xfId="4461"/>
    <cellStyle name="Normal 2 5 2 2 4" xfId="4462"/>
    <cellStyle name="Normal 2 5 2 2 4 2" xfId="4463"/>
    <cellStyle name="Normal 2 5 2 2 5" xfId="4464"/>
    <cellStyle name="Normal 2 5 2 2 5 2" xfId="4465"/>
    <cellStyle name="Normal 2 5 2 3" xfId="4466"/>
    <cellStyle name="Normal 2 5 2 4" xfId="4467"/>
    <cellStyle name="Normal 2 5 2 5" xfId="4468"/>
    <cellStyle name="Normal 2 5 2 6" xfId="4469"/>
    <cellStyle name="Normal 2 5 3" xfId="4470"/>
    <cellStyle name="Normal 2 5 3 2" xfId="4471"/>
    <cellStyle name="Normal 2 5 3 3" xfId="4472"/>
    <cellStyle name="Normal 2 5 3 4" xfId="4473"/>
    <cellStyle name="Normal 2 5 4" xfId="4474"/>
    <cellStyle name="Normal 2 5 4 2" xfId="4475"/>
    <cellStyle name="Normal 2 5 5" xfId="4476"/>
    <cellStyle name="Normal 2 5 5 2" xfId="4477"/>
    <cellStyle name="Normal 2 5 6" xfId="4478"/>
    <cellStyle name="Normal 2 5 6 2" xfId="4479"/>
    <cellStyle name="Normal 2 5 7" xfId="4480"/>
    <cellStyle name="Normal 2 5 7 2" xfId="4481"/>
    <cellStyle name="Normal 2 5 7 3" xfId="4482"/>
    <cellStyle name="Normal 2 5 8" xfId="4483"/>
    <cellStyle name="Normal 2 5 9" xfId="4484"/>
    <cellStyle name="Normal 2 50" xfId="4485"/>
    <cellStyle name="Normal 2 50 2" xfId="4486"/>
    <cellStyle name="Normal 2 51" xfId="4487"/>
    <cellStyle name="Normal 2 51 2" xfId="4488"/>
    <cellStyle name="Normal 2 52" xfId="4489"/>
    <cellStyle name="Normal 2 52 2" xfId="4490"/>
    <cellStyle name="Normal 2 53" xfId="4491"/>
    <cellStyle name="Normal 2 53 2" xfId="4492"/>
    <cellStyle name="Normal 2 54" xfId="4493"/>
    <cellStyle name="Normal 2 54 2" xfId="4494"/>
    <cellStyle name="Normal 2 55" xfId="4495"/>
    <cellStyle name="Normal 2 55 2" xfId="4496"/>
    <cellStyle name="Normal 2 56" xfId="4497"/>
    <cellStyle name="Normal 2 56 2" xfId="4498"/>
    <cellStyle name="Normal 2 57" xfId="4499"/>
    <cellStyle name="Normal 2 57 2" xfId="4500"/>
    <cellStyle name="Normal 2 58" xfId="4501"/>
    <cellStyle name="Normal 2 58 2" xfId="4502"/>
    <cellStyle name="Normal 2 59" xfId="4503"/>
    <cellStyle name="Normal 2 59 2" xfId="4504"/>
    <cellStyle name="Normal 2 6" xfId="37"/>
    <cellStyle name="Normal 2 6 2" xfId="4505"/>
    <cellStyle name="Normal 2 6 2 2" xfId="4506"/>
    <cellStyle name="Normal 2 6 3" xfId="4507"/>
    <cellStyle name="Normal 2 6 3 2" xfId="4508"/>
    <cellStyle name="Normal 2 6 4" xfId="4509"/>
    <cellStyle name="Normal 2 6 5" xfId="4510"/>
    <cellStyle name="Normal 2 6 6" xfId="7498"/>
    <cellStyle name="Normal 2 60" xfId="4511"/>
    <cellStyle name="Normal 2 60 2" xfId="4512"/>
    <cellStyle name="Normal 2 61" xfId="4513"/>
    <cellStyle name="Normal 2 61 2" xfId="4514"/>
    <cellStyle name="Normal 2 62" xfId="4515"/>
    <cellStyle name="Normal 2 62 2" xfId="4516"/>
    <cellStyle name="Normal 2 63" xfId="4517"/>
    <cellStyle name="Normal 2 63 2" xfId="4518"/>
    <cellStyle name="Normal 2 64" xfId="4519"/>
    <cellStyle name="Normal 2 64 2" xfId="4520"/>
    <cellStyle name="Normal 2 65" xfId="4521"/>
    <cellStyle name="Normal 2 66" xfId="4522"/>
    <cellStyle name="Normal 2 67" xfId="4523"/>
    <cellStyle name="Normal 2 68" xfId="4524"/>
    <cellStyle name="Normal 2 69" xfId="4525"/>
    <cellStyle name="Normal 2 7" xfId="4526"/>
    <cellStyle name="Normal 2 7 2" xfId="4527"/>
    <cellStyle name="Normal 2 7 2 2" xfId="4528"/>
    <cellStyle name="Normal 2 7 2 3" xfId="4529"/>
    <cellStyle name="Normal 2 7 3" xfId="4530"/>
    <cellStyle name="Normal 2 7 3 2" xfId="4531"/>
    <cellStyle name="Normal 2 7 4" xfId="4532"/>
    <cellStyle name="Normal 2 7 5" xfId="4533"/>
    <cellStyle name="Normal 2 7 6" xfId="4534"/>
    <cellStyle name="Normal 2 7 7" xfId="4535"/>
    <cellStyle name="Normal 2 7 8" xfId="4536"/>
    <cellStyle name="Normal 2 7 9" xfId="4537"/>
    <cellStyle name="Normal 2 70" xfId="4538"/>
    <cellStyle name="Normal 2 71" xfId="4539"/>
    <cellStyle name="Normal 2 72" xfId="4540"/>
    <cellStyle name="Normal 2 73" xfId="4541"/>
    <cellStyle name="Normal 2 74" xfId="4542"/>
    <cellStyle name="Normal 2 75" xfId="4543"/>
    <cellStyle name="Normal 2 76" xfId="4544"/>
    <cellStyle name="Normal 2 77" xfId="4545"/>
    <cellStyle name="Normal 2 78" xfId="4546"/>
    <cellStyle name="Normal 2 79" xfId="4547"/>
    <cellStyle name="Normal 2 8" xfId="4548"/>
    <cellStyle name="Normal 2 8 2" xfId="4549"/>
    <cellStyle name="Normal 2 8 2 2" xfId="4550"/>
    <cellStyle name="Normal 2 8 3" xfId="4551"/>
    <cellStyle name="Normal 2 8 4" xfId="4552"/>
    <cellStyle name="Normal 2 80" xfId="4553"/>
    <cellStyle name="Normal 2 81" xfId="4554"/>
    <cellStyle name="Normal 2 82" xfId="4555"/>
    <cellStyle name="Normal 2 83" xfId="4556"/>
    <cellStyle name="Normal 2 84" xfId="4557"/>
    <cellStyle name="Normal 2 85" xfId="4558"/>
    <cellStyle name="Normal 2 86" xfId="4559"/>
    <cellStyle name="Normal 2 87" xfId="4560"/>
    <cellStyle name="Normal 2 88" xfId="4561"/>
    <cellStyle name="Normal 2 89" xfId="4562"/>
    <cellStyle name="Normal 2 9" xfId="4563"/>
    <cellStyle name="Normal 2 9 2" xfId="4564"/>
    <cellStyle name="Normal 2 9 3" xfId="4565"/>
    <cellStyle name="Normal 2 9 4" xfId="4566"/>
    <cellStyle name="Normal 2 90" xfId="4567"/>
    <cellStyle name="Normal 2 91" xfId="4568"/>
    <cellStyle name="Normal 2 92" xfId="4569"/>
    <cellStyle name="Normal 2 93" xfId="4570"/>
    <cellStyle name="Normal 2 94" xfId="4571"/>
    <cellStyle name="Normal 2 95" xfId="4572"/>
    <cellStyle name="Normal 2 95 2" xfId="4573"/>
    <cellStyle name="Normal 2 96" xfId="4574"/>
    <cellStyle name="Normal 2 97" xfId="4575"/>
    <cellStyle name="Normal 2 98" xfId="4576"/>
    <cellStyle name="Normal 2 99" xfId="4577"/>
    <cellStyle name="Normal 20" xfId="4578"/>
    <cellStyle name="Normal 20 2" xfId="4579"/>
    <cellStyle name="Normal 20 2 2" xfId="4580"/>
    <cellStyle name="Normal 20 3" xfId="4581"/>
    <cellStyle name="Normal 21" xfId="4582"/>
    <cellStyle name="Normal 21 2" xfId="4583"/>
    <cellStyle name="Normal 21 2 2" xfId="4584"/>
    <cellStyle name="Normal 21 3" xfId="4585"/>
    <cellStyle name="Normal 22" xfId="4586"/>
    <cellStyle name="Normal 22 2" xfId="4587"/>
    <cellStyle name="Normal 22 2 2" xfId="4588"/>
    <cellStyle name="Normal 22 3" xfId="4589"/>
    <cellStyle name="Normal 23" xfId="4590"/>
    <cellStyle name="Normal 23 2" xfId="4591"/>
    <cellStyle name="Normal 23 2 2" xfId="4592"/>
    <cellStyle name="Normal 23 3" xfId="4593"/>
    <cellStyle name="Normal 24" xfId="4594"/>
    <cellStyle name="Normal 24 2" xfId="4595"/>
    <cellStyle name="Normal 24 2 2" xfId="4596"/>
    <cellStyle name="Normal 24 3" xfId="4597"/>
    <cellStyle name="Normal 246 2" xfId="7533"/>
    <cellStyle name="Normal 25" xfId="4598"/>
    <cellStyle name="Normal 25 2" xfId="4599"/>
    <cellStyle name="Normal 25 2 2" xfId="4600"/>
    <cellStyle name="Normal 25 3" xfId="4601"/>
    <cellStyle name="Normal 251" xfId="7526"/>
    <cellStyle name="Normal 26" xfId="4602"/>
    <cellStyle name="Normal 26 2" xfId="4603"/>
    <cellStyle name="Normal 26 2 2" xfId="4604"/>
    <cellStyle name="Normal 26 3" xfId="4605"/>
    <cellStyle name="Normal 27" xfId="4606"/>
    <cellStyle name="Normal 27 2" xfId="4607"/>
    <cellStyle name="Normal 27 2 2" xfId="4608"/>
    <cellStyle name="Normal 27 3" xfId="4609"/>
    <cellStyle name="Normal 28" xfId="4610"/>
    <cellStyle name="Normal 28 2" xfId="4611"/>
    <cellStyle name="Normal 28 2 2" xfId="4612"/>
    <cellStyle name="Normal 28 3" xfId="4613"/>
    <cellStyle name="Normal 29" xfId="4614"/>
    <cellStyle name="Normal 29 2" xfId="4615"/>
    <cellStyle name="Normal 3" xfId="23"/>
    <cellStyle name="Normal 3 10" xfId="4616"/>
    <cellStyle name="Normal 3 10 2" xfId="4617"/>
    <cellStyle name="Normal 3 10 3" xfId="4618"/>
    <cellStyle name="Normal 3 10 4" xfId="4619"/>
    <cellStyle name="Normal 3 10 4 2" xfId="4620"/>
    <cellStyle name="Normal 3 10 5" xfId="4621"/>
    <cellStyle name="Normal 3 100" xfId="4622"/>
    <cellStyle name="Normal 3 101" xfId="4623"/>
    <cellStyle name="Normal 3 102" xfId="4624"/>
    <cellStyle name="Normal 3 103" xfId="4625"/>
    <cellStyle name="Normal 3 104" xfId="4626"/>
    <cellStyle name="Normal 3 105" xfId="4627"/>
    <cellStyle name="Normal 3 106" xfId="4628"/>
    <cellStyle name="Normal 3 107" xfId="4629"/>
    <cellStyle name="Normal 3 108" xfId="4630"/>
    <cellStyle name="Normal 3 109" xfId="4631"/>
    <cellStyle name="Normal 3 11" xfId="4632"/>
    <cellStyle name="Normal 3 11 2" xfId="4633"/>
    <cellStyle name="Normal 3 11 3" xfId="4634"/>
    <cellStyle name="Normal 3 11 4" xfId="4635"/>
    <cellStyle name="Normal 3 11 4 2" xfId="4636"/>
    <cellStyle name="Normal 3 11 5" xfId="4637"/>
    <cellStyle name="Normal 3 12" xfId="4638"/>
    <cellStyle name="Normal 3 12 2" xfId="4639"/>
    <cellStyle name="Normal 3 12 3" xfId="4640"/>
    <cellStyle name="Normal 3 12 4" xfId="4641"/>
    <cellStyle name="Normal 3 13" xfId="4642"/>
    <cellStyle name="Normal 3 13 2" xfId="4643"/>
    <cellStyle name="Normal 3 13 3" xfId="4644"/>
    <cellStyle name="Normal 3 13 4" xfId="4645"/>
    <cellStyle name="Normal 3 14" xfId="4646"/>
    <cellStyle name="Normal 3 14 2" xfId="4647"/>
    <cellStyle name="Normal 3 14 3" xfId="4648"/>
    <cellStyle name="Normal 3 14 4" xfId="4649"/>
    <cellStyle name="Normal 3 15" xfId="4650"/>
    <cellStyle name="Normal 3 15 2" xfId="4651"/>
    <cellStyle name="Normal 3 15 3" xfId="4652"/>
    <cellStyle name="Normal 3 15 4" xfId="4653"/>
    <cellStyle name="Normal 3 16" xfId="4654"/>
    <cellStyle name="Normal 3 16 2" xfId="4655"/>
    <cellStyle name="Normal 3 16 3" xfId="4656"/>
    <cellStyle name="Normal 3 16 4" xfId="4657"/>
    <cellStyle name="Normal 3 17" xfId="4658"/>
    <cellStyle name="Normal 3 17 2" xfId="4659"/>
    <cellStyle name="Normal 3 17 3" xfId="4660"/>
    <cellStyle name="Normal 3 17 4" xfId="4661"/>
    <cellStyle name="Normal 3 18" xfId="4662"/>
    <cellStyle name="Normal 3 18 2" xfId="4663"/>
    <cellStyle name="Normal 3 18 3" xfId="4664"/>
    <cellStyle name="Normal 3 18 4" xfId="4665"/>
    <cellStyle name="Normal 3 19" xfId="4666"/>
    <cellStyle name="Normal 3 19 2" xfId="4667"/>
    <cellStyle name="Normal 3 19 3" xfId="4668"/>
    <cellStyle name="Normal 3 19 4" xfId="4669"/>
    <cellStyle name="Normal 3 2" xfId="38"/>
    <cellStyle name="Normal 3 2 10" xfId="4670"/>
    <cellStyle name="Normal 3 2 10 2" xfId="4671"/>
    <cellStyle name="Normal 3 2 11" xfId="4672"/>
    <cellStyle name="Normal 3 2 11 2" xfId="4673"/>
    <cellStyle name="Normal 3 2 11 3" xfId="4674"/>
    <cellStyle name="Normal 3 2 11 4" xfId="4675"/>
    <cellStyle name="Normal 3 2 12" xfId="4676"/>
    <cellStyle name="Normal 3 2 12 2" xfId="4677"/>
    <cellStyle name="Normal 3 2 13" xfId="4678"/>
    <cellStyle name="Normal 3 2 13 2" xfId="4679"/>
    <cellStyle name="Normal 3 2 14" xfId="4680"/>
    <cellStyle name="Normal 3 2 14 2" xfId="4681"/>
    <cellStyle name="Normal 3 2 15" xfId="4682"/>
    <cellStyle name="Normal 3 2 15 2" xfId="4683"/>
    <cellStyle name="Normal 3 2 16" xfId="4684"/>
    <cellStyle name="Normal 3 2 16 2" xfId="4685"/>
    <cellStyle name="Normal 3 2 17" xfId="4686"/>
    <cellStyle name="Normal 3 2 17 2" xfId="4687"/>
    <cellStyle name="Normal 3 2 18" xfId="4688"/>
    <cellStyle name="Normal 3 2 19" xfId="4689"/>
    <cellStyle name="Normal 3 2 2" xfId="4690"/>
    <cellStyle name="Normal 3 2 2 10" xfId="4691"/>
    <cellStyle name="Normal 3 2 2 11" xfId="4692"/>
    <cellStyle name="Normal 3 2 2 12" xfId="4693"/>
    <cellStyle name="Normal 3 2 2 13" xfId="4694"/>
    <cellStyle name="Normal 3 2 2 14" xfId="4695"/>
    <cellStyle name="Normal 3 2 2 15" xfId="4696"/>
    <cellStyle name="Normal 3 2 2 16" xfId="4697"/>
    <cellStyle name="Normal 3 2 2 17" xfId="4698"/>
    <cellStyle name="Normal 3 2 2 2" xfId="4699"/>
    <cellStyle name="Normal 3 2 2 2 10" xfId="4700"/>
    <cellStyle name="Normal 3 2 2 2 10 2" xfId="4701"/>
    <cellStyle name="Normal 3 2 2 2 11" xfId="4702"/>
    <cellStyle name="Normal 3 2 2 2 11 2" xfId="4703"/>
    <cellStyle name="Normal 3 2 2 2 12" xfId="4704"/>
    <cellStyle name="Normal 3 2 2 2 12 2" xfId="4705"/>
    <cellStyle name="Normal 3 2 2 2 13" xfId="4706"/>
    <cellStyle name="Normal 3 2 2 2 13 2" xfId="4707"/>
    <cellStyle name="Normal 3 2 2 2 14" xfId="4708"/>
    <cellStyle name="Normal 3 2 2 2 14 2" xfId="4709"/>
    <cellStyle name="Normal 3 2 2 2 15" xfId="4710"/>
    <cellStyle name="Normal 3 2 2 2 15 2" xfId="4711"/>
    <cellStyle name="Normal 3 2 2 2 16" xfId="4712"/>
    <cellStyle name="Normal 3 2 2 2 17" xfId="4713"/>
    <cellStyle name="Normal 3 2 2 2 2" xfId="4714"/>
    <cellStyle name="Normal 3 2 2 2 2 2" xfId="4715"/>
    <cellStyle name="Normal 3 2 2 2 2 2 2" xfId="4716"/>
    <cellStyle name="Normal 3 2 2 2 2 2 2 2" xfId="4717"/>
    <cellStyle name="Normal 3 2 2 2 2 2 3" xfId="4718"/>
    <cellStyle name="Normal 3 2 2 2 2 2 3 2" xfId="4719"/>
    <cellStyle name="Normal 3 2 2 2 2 2 4" xfId="4720"/>
    <cellStyle name="Normal 3 2 2 2 2 2 4 2" xfId="4721"/>
    <cellStyle name="Normal 3 2 2 2 2 2 5" xfId="4722"/>
    <cellStyle name="Normal 3 2 2 2 2 2 5 2" xfId="4723"/>
    <cellStyle name="Normal 3 2 2 2 2 3" xfId="4724"/>
    <cellStyle name="Normal 3 2 2 2 2 4" xfId="4725"/>
    <cellStyle name="Normal 3 2 2 2 2 5" xfId="4726"/>
    <cellStyle name="Normal 3 2 2 2 2 6" xfId="4727"/>
    <cellStyle name="Normal 3 2 2 2 3" xfId="4728"/>
    <cellStyle name="Normal 3 2 2 2 3 2" xfId="4729"/>
    <cellStyle name="Normal 3 2 2 2 4" xfId="4730"/>
    <cellStyle name="Normal 3 2 2 2 4 2" xfId="4731"/>
    <cellStyle name="Normal 3 2 2 2 5" xfId="4732"/>
    <cellStyle name="Normal 3 2 2 2 5 2" xfId="4733"/>
    <cellStyle name="Normal 3 2 2 2 6" xfId="4734"/>
    <cellStyle name="Normal 3 2 2 2 6 2" xfId="4735"/>
    <cellStyle name="Normal 3 2 2 2 7" xfId="4736"/>
    <cellStyle name="Normal 3 2 2 2 7 2" xfId="4737"/>
    <cellStyle name="Normal 3 2 2 2 8" xfId="4738"/>
    <cellStyle name="Normal 3 2 2 2 8 2" xfId="4739"/>
    <cellStyle name="Normal 3 2 2 2 9" xfId="4740"/>
    <cellStyle name="Normal 3 2 2 2 9 2" xfId="4741"/>
    <cellStyle name="Normal 3 2 2 3" xfId="4742"/>
    <cellStyle name="Normal 3 2 2 3 2" xfId="4743"/>
    <cellStyle name="Normal 3 2 2 3 3" xfId="4744"/>
    <cellStyle name="Normal 3 2 2 3 4" xfId="4745"/>
    <cellStyle name="Normal 3 2 2 4" xfId="4746"/>
    <cellStyle name="Normal 3 2 2 4 2" xfId="4747"/>
    <cellStyle name="Normal 3 2 2 5" xfId="4748"/>
    <cellStyle name="Normal 3 2 2 6" xfId="4749"/>
    <cellStyle name="Normal 3 2 2 7" xfId="4750"/>
    <cellStyle name="Normal 3 2 2 8" xfId="4751"/>
    <cellStyle name="Normal 3 2 2 9" xfId="4752"/>
    <cellStyle name="Normal 3 2 20" xfId="4753"/>
    <cellStyle name="Normal 3 2 21" xfId="7429"/>
    <cellStyle name="Normal 3 2 3" xfId="4754"/>
    <cellStyle name="Normal 3 2 3 2" xfId="4755"/>
    <cellStyle name="Normal 3 2 4" xfId="4756"/>
    <cellStyle name="Normal 3 2 4 2" xfId="4757"/>
    <cellStyle name="Normal 3 2 5" xfId="4758"/>
    <cellStyle name="Normal 3 2 5 2" xfId="4759"/>
    <cellStyle name="Normal 3 2 6" xfId="4760"/>
    <cellStyle name="Normal 3 2 6 2" xfId="4761"/>
    <cellStyle name="Normal 3 2 7" xfId="4762"/>
    <cellStyle name="Normal 3 2 7 2" xfId="4763"/>
    <cellStyle name="Normal 3 2 8" xfId="4764"/>
    <cellStyle name="Normal 3 2 8 2" xfId="4765"/>
    <cellStyle name="Normal 3 2 9" xfId="4766"/>
    <cellStyle name="Normal 3 2 9 2" xfId="4767"/>
    <cellStyle name="Normal 3 20" xfId="4768"/>
    <cellStyle name="Normal 3 20 2" xfId="4769"/>
    <cellStyle name="Normal 3 20 3" xfId="4770"/>
    <cellStyle name="Normal 3 20 4" xfId="4771"/>
    <cellStyle name="Normal 3 21" xfId="4772"/>
    <cellStyle name="Normal 3 21 2" xfId="4773"/>
    <cellStyle name="Normal 3 22" xfId="4774"/>
    <cellStyle name="Normal 3 22 2" xfId="4775"/>
    <cellStyle name="Normal 3 23" xfId="4776"/>
    <cellStyle name="Normal 3 24" xfId="4777"/>
    <cellStyle name="Normal 3 25" xfId="4778"/>
    <cellStyle name="Normal 3 26" xfId="4779"/>
    <cellStyle name="Normal 3 27" xfId="4780"/>
    <cellStyle name="Normal 3 28" xfId="4781"/>
    <cellStyle name="Normal 3 29" xfId="4782"/>
    <cellStyle name="Normal 3 3" xfId="4783"/>
    <cellStyle name="Normal 3 3 2" xfId="4784"/>
    <cellStyle name="Normal 3 3 2 2" xfId="4785"/>
    <cellStyle name="Normal 3 3 2 2 2" xfId="4786"/>
    <cellStyle name="Normal 3 3 2 2 2 2" xfId="4787"/>
    <cellStyle name="Normal 3 3 2 2 3" xfId="4788"/>
    <cellStyle name="Normal 3 3 2 2 4" xfId="4789"/>
    <cellStyle name="Normal 3 3 2 2 5" xfId="4790"/>
    <cellStyle name="Normal 3 3 2 2 6" xfId="4791"/>
    <cellStyle name="Normal 3 3 2 3" xfId="4792"/>
    <cellStyle name="Normal 3 3 2 3 2" xfId="4793"/>
    <cellStyle name="Normal 3 3 2 4" xfId="4794"/>
    <cellStyle name="Normal 3 3 2 4 2" xfId="4795"/>
    <cellStyle name="Normal 3 3 2 5" xfId="4796"/>
    <cellStyle name="Normal 3 3 2 5 2" xfId="4797"/>
    <cellStyle name="Normal 3 3 2 6" xfId="4798"/>
    <cellStyle name="Normal 3 3 2 6 2" xfId="4799"/>
    <cellStyle name="Normal 3 3 3" xfId="4800"/>
    <cellStyle name="Normal 3 3 3 2" xfId="4801"/>
    <cellStyle name="Normal 3 3 3 3" xfId="4802"/>
    <cellStyle name="Normal 3 3 3 4" xfId="4803"/>
    <cellStyle name="Normal 3 3 4" xfId="4804"/>
    <cellStyle name="Normal 3 3 4 2" xfId="4805"/>
    <cellStyle name="Normal 3 3 5" xfId="4806"/>
    <cellStyle name="Normal 3 3 6" xfId="4807"/>
    <cellStyle name="Normal 3 3 7" xfId="4808"/>
    <cellStyle name="Normal 3 3 8" xfId="7420"/>
    <cellStyle name="Normal 3 3 9" xfId="7431"/>
    <cellStyle name="Normal 3 30" xfId="4809"/>
    <cellStyle name="Normal 3 31" xfId="4810"/>
    <cellStyle name="Normal 3 32" xfId="4811"/>
    <cellStyle name="Normal 3 33" xfId="4812"/>
    <cellStyle name="Normal 3 34" xfId="4813"/>
    <cellStyle name="Normal 3 35" xfId="4814"/>
    <cellStyle name="Normal 3 36" xfId="4815"/>
    <cellStyle name="Normal 3 37" xfId="4816"/>
    <cellStyle name="Normal 3 38" xfId="4817"/>
    <cellStyle name="Normal 3 39" xfId="4818"/>
    <cellStyle name="Normal 3 4" xfId="4819"/>
    <cellStyle name="Normal 3 4 10" xfId="4820"/>
    <cellStyle name="Normal 3 4 11" xfId="4821"/>
    <cellStyle name="Normal 3 4 12" xfId="7499"/>
    <cellStyle name="Normal 3 4 2" xfId="4822"/>
    <cellStyle name="Normal 3 4 2 2" xfId="4823"/>
    <cellStyle name="Normal 3 4 3" xfId="4824"/>
    <cellStyle name="Normal 3 4 3 2" xfId="4825"/>
    <cellStyle name="Normal 3 4 4" xfId="4826"/>
    <cellStyle name="Normal 3 4 5" xfId="4827"/>
    <cellStyle name="Normal 3 4 6" xfId="4828"/>
    <cellStyle name="Normal 3 4 7" xfId="4829"/>
    <cellStyle name="Normal 3 4 8" xfId="4830"/>
    <cellStyle name="Normal 3 4 9" xfId="4831"/>
    <cellStyle name="Normal 3 40" xfId="4832"/>
    <cellStyle name="Normal 3 41" xfId="4833"/>
    <cellStyle name="Normal 3 42" xfId="4834"/>
    <cellStyle name="Normal 3 43" xfId="4835"/>
    <cellStyle name="Normal 3 44" xfId="4836"/>
    <cellStyle name="Normal 3 45" xfId="4837"/>
    <cellStyle name="Normal 3 46" xfId="4838"/>
    <cellStyle name="Normal 3 47" xfId="4839"/>
    <cellStyle name="Normal 3 48" xfId="4840"/>
    <cellStyle name="Normal 3 49" xfId="4841"/>
    <cellStyle name="Normal 3 5" xfId="4842"/>
    <cellStyle name="Normal 3 5 10" xfId="4843"/>
    <cellStyle name="Normal 3 5 11" xfId="4844"/>
    <cellStyle name="Normal 3 5 12" xfId="4845"/>
    <cellStyle name="Normal 3 5 13" xfId="4846"/>
    <cellStyle name="Normal 3 5 14" xfId="4847"/>
    <cellStyle name="Normal 3 5 15" xfId="4848"/>
    <cellStyle name="Normal 3 5 16" xfId="4849"/>
    <cellStyle name="Normal 3 5 16 2" xfId="4850"/>
    <cellStyle name="Normal 3 5 17" xfId="4851"/>
    <cellStyle name="Normal 3 5 18" xfId="4852"/>
    <cellStyle name="Normal 3 5 2" xfId="4853"/>
    <cellStyle name="Normal 3 5 2 2" xfId="4854"/>
    <cellStyle name="Normal 3 5 2 2 2" xfId="4855"/>
    <cellStyle name="Normal 3 5 2 2 2 2" xfId="4856"/>
    <cellStyle name="Normal 3 5 2 2 3" xfId="4857"/>
    <cellStyle name="Normal 3 5 2 2 4" xfId="4858"/>
    <cellStyle name="Normal 3 5 2 2 5" xfId="4859"/>
    <cellStyle name="Normal 3 5 2 3" xfId="4860"/>
    <cellStyle name="Normal 3 5 2 4" xfId="4861"/>
    <cellStyle name="Normal 3 5 2 5" xfId="4862"/>
    <cellStyle name="Normal 3 5 3" xfId="4863"/>
    <cellStyle name="Normal 3 5 3 2" xfId="4864"/>
    <cellStyle name="Normal 3 5 3 3" xfId="4865"/>
    <cellStyle name="Normal 3 5 3 4" xfId="4866"/>
    <cellStyle name="Normal 3 5 4" xfId="4867"/>
    <cellStyle name="Normal 3 5 4 2" xfId="4868"/>
    <cellStyle name="Normal 3 5 5" xfId="4869"/>
    <cellStyle name="Normal 3 5 6" xfId="4870"/>
    <cellStyle name="Normal 3 5 7" xfId="4871"/>
    <cellStyle name="Normal 3 5 8" xfId="4872"/>
    <cellStyle name="Normal 3 5 9" xfId="4873"/>
    <cellStyle name="Normal 3 50" xfId="4874"/>
    <cellStyle name="Normal 3 51" xfId="4875"/>
    <cellStyle name="Normal 3 52" xfId="4876"/>
    <cellStyle name="Normal 3 53" xfId="4877"/>
    <cellStyle name="Normal 3 54" xfId="4878"/>
    <cellStyle name="Normal 3 55" xfId="4879"/>
    <cellStyle name="Normal 3 56" xfId="4880"/>
    <cellStyle name="Normal 3 57" xfId="4881"/>
    <cellStyle name="Normal 3 58" xfId="4882"/>
    <cellStyle name="Normal 3 59" xfId="4883"/>
    <cellStyle name="Normal 3 6" xfId="4884"/>
    <cellStyle name="Normal 3 6 2" xfId="4885"/>
    <cellStyle name="Normal 3 6 3" xfId="4886"/>
    <cellStyle name="Normal 3 6 4" xfId="4887"/>
    <cellStyle name="Normal 3 6 4 2" xfId="4888"/>
    <cellStyle name="Normal 3 6 5" xfId="4889"/>
    <cellStyle name="Normal 3 60" xfId="4890"/>
    <cellStyle name="Normal 3 61" xfId="4891"/>
    <cellStyle name="Normal 3 62" xfId="4892"/>
    <cellStyle name="Normal 3 63" xfId="4893"/>
    <cellStyle name="Normal 3 64" xfId="4894"/>
    <cellStyle name="Normal 3 65" xfId="4895"/>
    <cellStyle name="Normal 3 66" xfId="4896"/>
    <cellStyle name="Normal 3 67" xfId="4897"/>
    <cellStyle name="Normal 3 68" xfId="4898"/>
    <cellStyle name="Normal 3 69" xfId="4899"/>
    <cellStyle name="Normal 3 7" xfId="4900"/>
    <cellStyle name="Normal 3 70" xfId="4901"/>
    <cellStyle name="Normal 3 71" xfId="4902"/>
    <cellStyle name="Normal 3 72" xfId="4903"/>
    <cellStyle name="Normal 3 73" xfId="4904"/>
    <cellStyle name="Normal 3 74" xfId="4905"/>
    <cellStyle name="Normal 3 75" xfId="4906"/>
    <cellStyle name="Normal 3 76" xfId="4907"/>
    <cellStyle name="Normal 3 77" xfId="4908"/>
    <cellStyle name="Normal 3 78" xfId="4909"/>
    <cellStyle name="Normal 3 79" xfId="4910"/>
    <cellStyle name="Normal 3 8" xfId="4911"/>
    <cellStyle name="Normal 3 8 2" xfId="4912"/>
    <cellStyle name="Normal 3 8 3" xfId="4913"/>
    <cellStyle name="Normal 3 8 4" xfId="4914"/>
    <cellStyle name="Normal 3 8 4 2" xfId="4915"/>
    <cellStyle name="Normal 3 8 5" xfId="4916"/>
    <cellStyle name="Normal 3 80" xfId="4917"/>
    <cellStyle name="Normal 3 81" xfId="4918"/>
    <cellStyle name="Normal 3 82" xfId="4919"/>
    <cellStyle name="Normal 3 83" xfId="4920"/>
    <cellStyle name="Normal 3 84" xfId="4921"/>
    <cellStyle name="Normal 3 85" xfId="4922"/>
    <cellStyle name="Normal 3 86" xfId="4923"/>
    <cellStyle name="Normal 3 87" xfId="4924"/>
    <cellStyle name="Normal 3 88" xfId="4925"/>
    <cellStyle name="Normal 3 89" xfId="4926"/>
    <cellStyle name="Normal 3 9" xfId="4927"/>
    <cellStyle name="Normal 3 9 2" xfId="4928"/>
    <cellStyle name="Normal 3 9 3" xfId="4929"/>
    <cellStyle name="Normal 3 9 4" xfId="4930"/>
    <cellStyle name="Normal 3 9 4 2" xfId="4931"/>
    <cellStyle name="Normal 3 9 5" xfId="4932"/>
    <cellStyle name="Normal 3 90" xfId="4933"/>
    <cellStyle name="Normal 3 91" xfId="4934"/>
    <cellStyle name="Normal 3 92" xfId="4935"/>
    <cellStyle name="Normal 3 93" xfId="4936"/>
    <cellStyle name="Normal 3 94" xfId="4937"/>
    <cellStyle name="Normal 3 95" xfId="4938"/>
    <cellStyle name="Normal 3 96" xfId="4939"/>
    <cellStyle name="Normal 3 97" xfId="4940"/>
    <cellStyle name="Normal 3 98" xfId="4941"/>
    <cellStyle name="Normal 3 99" xfId="4942"/>
    <cellStyle name="Normal 30" xfId="4943"/>
    <cellStyle name="Normal 31" xfId="4944"/>
    <cellStyle name="Normal 31 2" xfId="4945"/>
    <cellStyle name="Normal 31 3" xfId="4946"/>
    <cellStyle name="Normal 32" xfId="4947"/>
    <cellStyle name="Normal 32 2" xfId="4948"/>
    <cellStyle name="Normal 33" xfId="4949"/>
    <cellStyle name="Normal 34" xfId="4950"/>
    <cellStyle name="Normal 35" xfId="4951"/>
    <cellStyle name="Normal 36" xfId="4952"/>
    <cellStyle name="Normal 37" xfId="4953"/>
    <cellStyle name="Normal 38" xfId="4954"/>
    <cellStyle name="Normal 39" xfId="4955"/>
    <cellStyle name="Normal 4" xfId="24"/>
    <cellStyle name="Normal 4 10" xfId="4956"/>
    <cellStyle name="Normal 4 10 2" xfId="4957"/>
    <cellStyle name="Normal 4 10 3" xfId="4958"/>
    <cellStyle name="Normal 4 100" xfId="4959"/>
    <cellStyle name="Normal 4 101" xfId="4960"/>
    <cellStyle name="Normal 4 102" xfId="4961"/>
    <cellStyle name="Normal 4 103" xfId="4962"/>
    <cellStyle name="Normal 4 104" xfId="4963"/>
    <cellStyle name="Normal 4 105" xfId="4964"/>
    <cellStyle name="Normal 4 106" xfId="4965"/>
    <cellStyle name="Normal 4 107" xfId="4966"/>
    <cellStyle name="Normal 4 108" xfId="4967"/>
    <cellStyle name="Normal 4 109" xfId="4968"/>
    <cellStyle name="Normal 4 11" xfId="4969"/>
    <cellStyle name="Normal 4 11 2" xfId="4970"/>
    <cellStyle name="Normal 4 11 3" xfId="4971"/>
    <cellStyle name="Normal 4 110" xfId="4972"/>
    <cellStyle name="Normal 4 111" xfId="4973"/>
    <cellStyle name="Normal 4 112" xfId="4974"/>
    <cellStyle name="Normal 4 113" xfId="4975"/>
    <cellStyle name="Normal 4 114" xfId="4976"/>
    <cellStyle name="Normal 4 115" xfId="4977"/>
    <cellStyle name="Normal 4 116" xfId="4978"/>
    <cellStyle name="Normal 4 117" xfId="4979"/>
    <cellStyle name="Normal 4 118" xfId="4980"/>
    <cellStyle name="Normal 4 119" xfId="4981"/>
    <cellStyle name="Normal 4 12" xfId="4982"/>
    <cellStyle name="Normal 4 12 2" xfId="4983"/>
    <cellStyle name="Normal 4 120" xfId="4984"/>
    <cellStyle name="Normal 4 121" xfId="4985"/>
    <cellStyle name="Normal 4 122" xfId="4986"/>
    <cellStyle name="Normal 4 123" xfId="4987"/>
    <cellStyle name="Normal 4 124" xfId="4988"/>
    <cellStyle name="Normal 4 125" xfId="4989"/>
    <cellStyle name="Normal 4 126" xfId="4990"/>
    <cellStyle name="Normal 4 127" xfId="4991"/>
    <cellStyle name="Normal 4 128" xfId="4992"/>
    <cellStyle name="Normal 4 129" xfId="4993"/>
    <cellStyle name="Normal 4 13" xfId="4994"/>
    <cellStyle name="Normal 4 13 2" xfId="4995"/>
    <cellStyle name="Normal 4 130" xfId="4996"/>
    <cellStyle name="Normal 4 131" xfId="4997"/>
    <cellStyle name="Normal 4 132" xfId="4998"/>
    <cellStyle name="Normal 4 133" xfId="4999"/>
    <cellStyle name="Normal 4 134" xfId="5000"/>
    <cellStyle name="Normal 4 135" xfId="5001"/>
    <cellStyle name="Normal 4 136" xfId="5002"/>
    <cellStyle name="Normal 4 137" xfId="5003"/>
    <cellStyle name="Normal 4 138" xfId="5004"/>
    <cellStyle name="Normal 4 139" xfId="5005"/>
    <cellStyle name="Normal 4 14" xfId="5006"/>
    <cellStyle name="Normal 4 14 2" xfId="5007"/>
    <cellStyle name="Normal 4 140" xfId="5008"/>
    <cellStyle name="Normal 4 141" xfId="5009"/>
    <cellStyle name="Normal 4 142" xfId="5010"/>
    <cellStyle name="Normal 4 143" xfId="5011"/>
    <cellStyle name="Normal 4 144" xfId="5012"/>
    <cellStyle name="Normal 4 145" xfId="5013"/>
    <cellStyle name="Normal 4 146" xfId="5014"/>
    <cellStyle name="Normal 4 147" xfId="5015"/>
    <cellStyle name="Normal 4 148" xfId="5016"/>
    <cellStyle name="Normal 4 149" xfId="5017"/>
    <cellStyle name="Normal 4 15" xfId="5018"/>
    <cellStyle name="Normal 4 15 2" xfId="5019"/>
    <cellStyle name="Normal 4 150" xfId="5020"/>
    <cellStyle name="Normal 4 151" xfId="5021"/>
    <cellStyle name="Normal 4 152" xfId="5022"/>
    <cellStyle name="Normal 4 153" xfId="5023"/>
    <cellStyle name="Normal 4 154" xfId="5024"/>
    <cellStyle name="Normal 4 155" xfId="5025"/>
    <cellStyle name="Normal 4 156" xfId="5026"/>
    <cellStyle name="Normal 4 157" xfId="7421"/>
    <cellStyle name="Normal 4 16" xfId="5027"/>
    <cellStyle name="Normal 4 16 2" xfId="5028"/>
    <cellStyle name="Normal 4 17" xfId="5029"/>
    <cellStyle name="Normal 4 17 2" xfId="5030"/>
    <cellStyle name="Normal 4 18" xfId="5031"/>
    <cellStyle name="Normal 4 18 2" xfId="5032"/>
    <cellStyle name="Normal 4 19" xfId="5033"/>
    <cellStyle name="Normal 4 19 2" xfId="5034"/>
    <cellStyle name="Normal 4 2" xfId="5035"/>
    <cellStyle name="Normal 4 2 10" xfId="5036"/>
    <cellStyle name="Normal 4 2 11" xfId="5037"/>
    <cellStyle name="Normal 4 2 12" xfId="5038"/>
    <cellStyle name="Normal 4 2 13" xfId="5039"/>
    <cellStyle name="Normal 4 2 14" xfId="5040"/>
    <cellStyle name="Normal 4 2 15" xfId="5041"/>
    <cellStyle name="Normal 4 2 16" xfId="5042"/>
    <cellStyle name="Normal 4 2 17" xfId="5043"/>
    <cellStyle name="Normal 4 2 18" xfId="5044"/>
    <cellStyle name="Normal 4 2 2" xfId="5045"/>
    <cellStyle name="Normal 4 2 2 10" xfId="5046"/>
    <cellStyle name="Normal 4 2 2 2" xfId="5047"/>
    <cellStyle name="Normal 4 2 2 2 2" xfId="5048"/>
    <cellStyle name="Normal 4 2 2 3" xfId="5049"/>
    <cellStyle name="Normal 4 2 2 4" xfId="5050"/>
    <cellStyle name="Normal 4 2 2 5" xfId="5051"/>
    <cellStyle name="Normal 4 2 2 6" xfId="5052"/>
    <cellStyle name="Normal 4 2 2 7" xfId="5053"/>
    <cellStyle name="Normal 4 2 2 8" xfId="5054"/>
    <cellStyle name="Normal 4 2 2 9" xfId="5055"/>
    <cellStyle name="Normal 4 2 3" xfId="5056"/>
    <cellStyle name="Normal 4 2 4" xfId="5057"/>
    <cellStyle name="Normal 4 2 5" xfId="5058"/>
    <cellStyle name="Normal 4 2 5 2" xfId="5059"/>
    <cellStyle name="Normal 4 2 6" xfId="5060"/>
    <cellStyle name="Normal 4 2 7" xfId="5061"/>
    <cellStyle name="Normal 4 2 8" xfId="5062"/>
    <cellStyle name="Normal 4 2 9" xfId="5063"/>
    <cellStyle name="Normal 4 20" xfId="5064"/>
    <cellStyle name="Normal 4 20 2" xfId="5065"/>
    <cellStyle name="Normal 4 21" xfId="5066"/>
    <cellStyle name="Normal 4 21 2" xfId="5067"/>
    <cellStyle name="Normal 4 22" xfId="5068"/>
    <cellStyle name="Normal 4 22 2" xfId="5069"/>
    <cellStyle name="Normal 4 23" xfId="5070"/>
    <cellStyle name="Normal 4 23 2" xfId="5071"/>
    <cellStyle name="Normal 4 24" xfId="5072"/>
    <cellStyle name="Normal 4 24 2" xfId="5073"/>
    <cellStyle name="Normal 4 25" xfId="5074"/>
    <cellStyle name="Normal 4 25 2" xfId="5075"/>
    <cellStyle name="Normal 4 26" xfId="5076"/>
    <cellStyle name="Normal 4 26 2" xfId="5077"/>
    <cellStyle name="Normal 4 27" xfId="5078"/>
    <cellStyle name="Normal 4 27 2" xfId="5079"/>
    <cellStyle name="Normal 4 28" xfId="5080"/>
    <cellStyle name="Normal 4 28 2" xfId="5081"/>
    <cellStyle name="Normal 4 29" xfId="5082"/>
    <cellStyle name="Normal 4 29 2" xfId="5083"/>
    <cellStyle name="Normal 4 3" xfId="5084"/>
    <cellStyle name="Normal 4 3 10" xfId="5085"/>
    <cellStyle name="Normal 4 3 11" xfId="5086"/>
    <cellStyle name="Normal 4 3 12" xfId="7500"/>
    <cellStyle name="Normal 4 3 2" xfId="5087"/>
    <cellStyle name="Normal 4 3 2 2" xfId="5088"/>
    <cellStyle name="Normal 4 3 3" xfId="5089"/>
    <cellStyle name="Normal 4 3 3 2" xfId="5090"/>
    <cellStyle name="Normal 4 3 4" xfId="5091"/>
    <cellStyle name="Normal 4 3 5" xfId="5092"/>
    <cellStyle name="Normal 4 3 6" xfId="5093"/>
    <cellStyle name="Normal 4 3 7" xfId="5094"/>
    <cellStyle name="Normal 4 3 8" xfId="5095"/>
    <cellStyle name="Normal 4 3 9" xfId="5096"/>
    <cellStyle name="Normal 4 30" xfId="5097"/>
    <cellStyle name="Normal 4 30 2" xfId="5098"/>
    <cellStyle name="Normal 4 31" xfId="5099"/>
    <cellStyle name="Normal 4 31 2" xfId="5100"/>
    <cellStyle name="Normal 4 32" xfId="5101"/>
    <cellStyle name="Normal 4 32 2" xfId="5102"/>
    <cellStyle name="Normal 4 33" xfId="5103"/>
    <cellStyle name="Normal 4 33 2" xfId="5104"/>
    <cellStyle name="Normal 4 34" xfId="5105"/>
    <cellStyle name="Normal 4 34 2" xfId="5106"/>
    <cellStyle name="Normal 4 35" xfId="5107"/>
    <cellStyle name="Normal 4 35 2" xfId="5108"/>
    <cellStyle name="Normal 4 36" xfId="5109"/>
    <cellStyle name="Normal 4 36 2" xfId="5110"/>
    <cellStyle name="Normal 4 37" xfId="5111"/>
    <cellStyle name="Normal 4 37 2" xfId="5112"/>
    <cellStyle name="Normal 4 38" xfId="5113"/>
    <cellStyle name="Normal 4 38 2" xfId="5114"/>
    <cellStyle name="Normal 4 39" xfId="5115"/>
    <cellStyle name="Normal 4 39 2" xfId="5116"/>
    <cellStyle name="Normal 4 4" xfId="5117"/>
    <cellStyle name="Normal 4 4 2" xfId="5118"/>
    <cellStyle name="Normal 4 4 2 2" xfId="5119"/>
    <cellStyle name="Normal 4 4 2 3" xfId="5120"/>
    <cellStyle name="Normal 4 4 2 4" xfId="5121"/>
    <cellStyle name="Normal 4 4 2 5" xfId="5122"/>
    <cellStyle name="Normal 4 4 3" xfId="5123"/>
    <cellStyle name="Normal 4 4 4" xfId="5124"/>
    <cellStyle name="Normal 4 4 4 2" xfId="5125"/>
    <cellStyle name="Normal 4 4 5" xfId="5126"/>
    <cellStyle name="Normal 4 4 6" xfId="5127"/>
    <cellStyle name="Normal 4 4 6 2" xfId="5128"/>
    <cellStyle name="Normal 4 4 7" xfId="7537"/>
    <cellStyle name="Normal 4 40" xfId="5129"/>
    <cellStyle name="Normal 4 40 2" xfId="5130"/>
    <cellStyle name="Normal 4 41" xfId="5131"/>
    <cellStyle name="Normal 4 41 2" xfId="5132"/>
    <cellStyle name="Normal 4 42" xfId="5133"/>
    <cellStyle name="Normal 4 42 2" xfId="5134"/>
    <cellStyle name="Normal 4 43" xfId="5135"/>
    <cellStyle name="Normal 4 43 2" xfId="5136"/>
    <cellStyle name="Normal 4 44" xfId="5137"/>
    <cellStyle name="Normal 4 44 2" xfId="5138"/>
    <cellStyle name="Normal 4 45" xfId="5139"/>
    <cellStyle name="Normal 4 45 2" xfId="5140"/>
    <cellStyle name="Normal 4 46" xfId="5141"/>
    <cellStyle name="Normal 4 46 2" xfId="5142"/>
    <cellStyle name="Normal 4 47" xfId="5143"/>
    <cellStyle name="Normal 4 47 2" xfId="5144"/>
    <cellStyle name="Normal 4 48" xfId="5145"/>
    <cellStyle name="Normal 4 48 2" xfId="5146"/>
    <cellStyle name="Normal 4 49" xfId="5147"/>
    <cellStyle name="Normal 4 49 2" xfId="5148"/>
    <cellStyle name="Normal 4 5" xfId="5149"/>
    <cellStyle name="Normal 4 5 2" xfId="5150"/>
    <cellStyle name="Normal 4 5 2 2" xfId="5151"/>
    <cellStyle name="Normal 4 5 3" xfId="5152"/>
    <cellStyle name="Normal 4 5 4" xfId="5153"/>
    <cellStyle name="Normal 4 5 5" xfId="5154"/>
    <cellStyle name="Normal 4 50" xfId="5155"/>
    <cellStyle name="Normal 4 50 2" xfId="5156"/>
    <cellStyle name="Normal 4 51" xfId="5157"/>
    <cellStyle name="Normal 4 51 2" xfId="5158"/>
    <cellStyle name="Normal 4 52" xfId="5159"/>
    <cellStyle name="Normal 4 52 2" xfId="5160"/>
    <cellStyle name="Normal 4 53" xfId="5161"/>
    <cellStyle name="Normal 4 53 2" xfId="5162"/>
    <cellStyle name="Normal 4 54" xfId="5163"/>
    <cellStyle name="Normal 4 54 2" xfId="5164"/>
    <cellStyle name="Normal 4 55" xfId="5165"/>
    <cellStyle name="Normal 4 55 2" xfId="5166"/>
    <cellStyle name="Normal 4 56" xfId="5167"/>
    <cellStyle name="Normal 4 56 2" xfId="5168"/>
    <cellStyle name="Normal 4 57" xfId="5169"/>
    <cellStyle name="Normal 4 57 2" xfId="5170"/>
    <cellStyle name="Normal 4 58" xfId="5171"/>
    <cellStyle name="Normal 4 58 2" xfId="5172"/>
    <cellStyle name="Normal 4 59" xfId="5173"/>
    <cellStyle name="Normal 4 59 2" xfId="5174"/>
    <cellStyle name="Normal 4 6" xfId="5175"/>
    <cellStyle name="Normal 4 6 2" xfId="5176"/>
    <cellStyle name="Normal 4 6 2 2" xfId="5177"/>
    <cellStyle name="Normal 4 6 3" xfId="5178"/>
    <cellStyle name="Normal 4 6 4" xfId="5179"/>
    <cellStyle name="Normal 4 6 5" xfId="5180"/>
    <cellStyle name="Normal 4 60" xfId="5181"/>
    <cellStyle name="Normal 4 60 2" xfId="5182"/>
    <cellStyle name="Normal 4 61" xfId="5183"/>
    <cellStyle name="Normal 4 61 2" xfId="5184"/>
    <cellStyle name="Normal 4 62" xfId="5185"/>
    <cellStyle name="Normal 4 63" xfId="5186"/>
    <cellStyle name="Normal 4 64" xfId="5187"/>
    <cellStyle name="Normal 4 65" xfId="5188"/>
    <cellStyle name="Normal 4 66" xfId="5189"/>
    <cellStyle name="Normal 4 67" xfId="5190"/>
    <cellStyle name="Normal 4 68" xfId="5191"/>
    <cellStyle name="Normal 4 69" xfId="5192"/>
    <cellStyle name="Normal 4 7" xfId="5193"/>
    <cellStyle name="Normal 4 7 2" xfId="5194"/>
    <cellStyle name="Normal 4 7 2 2" xfId="5195"/>
    <cellStyle name="Normal 4 7 3" xfId="5196"/>
    <cellStyle name="Normal 4 7 4" xfId="5197"/>
    <cellStyle name="Normal 4 7 5" xfId="5198"/>
    <cellStyle name="Normal 4 70" xfId="5199"/>
    <cellStyle name="Normal 4 71" xfId="5200"/>
    <cellStyle name="Normal 4 72" xfId="5201"/>
    <cellStyle name="Normal 4 73" xfId="5202"/>
    <cellStyle name="Normal 4 74" xfId="5203"/>
    <cellStyle name="Normal 4 75" xfId="5204"/>
    <cellStyle name="Normal 4 76" xfId="5205"/>
    <cellStyle name="Normal 4 77" xfId="5206"/>
    <cellStyle name="Normal 4 78" xfId="5207"/>
    <cellStyle name="Normal 4 79" xfId="5208"/>
    <cellStyle name="Normal 4 8" xfId="5209"/>
    <cellStyle name="Normal 4 8 2" xfId="5210"/>
    <cellStyle name="Normal 4 8 2 2" xfId="5211"/>
    <cellStyle name="Normal 4 8 3" xfId="5212"/>
    <cellStyle name="Normal 4 8 4" xfId="5213"/>
    <cellStyle name="Normal 4 8 5" xfId="5214"/>
    <cellStyle name="Normal 4 80" xfId="5215"/>
    <cellStyle name="Normal 4 81" xfId="5216"/>
    <cellStyle name="Normal 4 82" xfId="5217"/>
    <cellStyle name="Normal 4 83" xfId="5218"/>
    <cellStyle name="Normal 4 84" xfId="5219"/>
    <cellStyle name="Normal 4 85" xfId="5220"/>
    <cellStyle name="Normal 4 86" xfId="5221"/>
    <cellStyle name="Normal 4 87" xfId="5222"/>
    <cellStyle name="Normal 4 88" xfId="5223"/>
    <cellStyle name="Normal 4 89" xfId="5224"/>
    <cellStyle name="Normal 4 9" xfId="5225"/>
    <cellStyle name="Normal 4 9 2" xfId="5226"/>
    <cellStyle name="Normal 4 9 3" xfId="5227"/>
    <cellStyle name="Normal 4 90" xfId="5228"/>
    <cellStyle name="Normal 4 91" xfId="5229"/>
    <cellStyle name="Normal 4 92" xfId="5230"/>
    <cellStyle name="Normal 4 93" xfId="5231"/>
    <cellStyle name="Normal 4 94" xfId="5232"/>
    <cellStyle name="Normal 4 95" xfId="5233"/>
    <cellStyle name="Normal 4 96" xfId="5234"/>
    <cellStyle name="Normal 4 97" xfId="5235"/>
    <cellStyle name="Normal 4 98" xfId="5236"/>
    <cellStyle name="Normal 4 99" xfId="5237"/>
    <cellStyle name="Normal 40" xfId="5238"/>
    <cellStyle name="Normal 41" xfId="5239"/>
    <cellStyle name="Normal 42" xfId="5240"/>
    <cellStyle name="Normal 42 2" xfId="5241"/>
    <cellStyle name="Normal 43" xfId="5242"/>
    <cellStyle name="Normal 43 2" xfId="5243"/>
    <cellStyle name="Normal 44" xfId="5244"/>
    <cellStyle name="Normal 45" xfId="5245"/>
    <cellStyle name="Normal 46" xfId="5246"/>
    <cellStyle name="Normal 47" xfId="5247"/>
    <cellStyle name="Normal 48" xfId="5248"/>
    <cellStyle name="Normal 49" xfId="5249"/>
    <cellStyle name="Normal 5" xfId="26"/>
    <cellStyle name="Normal 5 10" xfId="5250"/>
    <cellStyle name="Normal 5 10 2" xfId="5251"/>
    <cellStyle name="Normal 5 10 3" xfId="7527"/>
    <cellStyle name="Normal 5 100" xfId="5252"/>
    <cellStyle name="Normal 5 101" xfId="5253"/>
    <cellStyle name="Normal 5 102" xfId="5254"/>
    <cellStyle name="Normal 5 103" xfId="5255"/>
    <cellStyle name="Normal 5 104" xfId="5256"/>
    <cellStyle name="Normal 5 105" xfId="5257"/>
    <cellStyle name="Normal 5 106" xfId="5258"/>
    <cellStyle name="Normal 5 107" xfId="5259"/>
    <cellStyle name="Normal 5 108" xfId="5260"/>
    <cellStyle name="Normal 5 109" xfId="5261"/>
    <cellStyle name="Normal 5 11" xfId="5262"/>
    <cellStyle name="Normal 5 11 2" xfId="5263"/>
    <cellStyle name="Normal 5 110" xfId="5264"/>
    <cellStyle name="Normal 5 111" xfId="5265"/>
    <cellStyle name="Normal 5 112" xfId="5266"/>
    <cellStyle name="Normal 5 113" xfId="5267"/>
    <cellStyle name="Normal 5 114" xfId="5268"/>
    <cellStyle name="Normal 5 115" xfId="5269"/>
    <cellStyle name="Normal 5 116" xfId="5270"/>
    <cellStyle name="Normal 5 117" xfId="5271"/>
    <cellStyle name="Normal 5 118" xfId="5272"/>
    <cellStyle name="Normal 5 119" xfId="5273"/>
    <cellStyle name="Normal 5 12" xfId="5274"/>
    <cellStyle name="Normal 5 12 2" xfId="5275"/>
    <cellStyle name="Normal 5 120" xfId="5276"/>
    <cellStyle name="Normal 5 121" xfId="5277"/>
    <cellStyle name="Normal 5 122" xfId="5278"/>
    <cellStyle name="Normal 5 123" xfId="5279"/>
    <cellStyle name="Normal 5 124" xfId="5280"/>
    <cellStyle name="Normal 5 125" xfId="5281"/>
    <cellStyle name="Normal 5 126" xfId="5282"/>
    <cellStyle name="Normal 5 127" xfId="5283"/>
    <cellStyle name="Normal 5 128" xfId="5284"/>
    <cellStyle name="Normal 5 129" xfId="5285"/>
    <cellStyle name="Normal 5 13" xfId="5286"/>
    <cellStyle name="Normal 5 13 2" xfId="5287"/>
    <cellStyle name="Normal 5 130" xfId="5288"/>
    <cellStyle name="Normal 5 131" xfId="5289"/>
    <cellStyle name="Normal 5 132" xfId="5290"/>
    <cellStyle name="Normal 5 133" xfId="5291"/>
    <cellStyle name="Normal 5 134" xfId="5292"/>
    <cellStyle name="Normal 5 135" xfId="5293"/>
    <cellStyle name="Normal 5 136" xfId="5294"/>
    <cellStyle name="Normal 5 137" xfId="5295"/>
    <cellStyle name="Normal 5 138" xfId="5296"/>
    <cellStyle name="Normal 5 139" xfId="5297"/>
    <cellStyle name="Normal 5 14" xfId="5298"/>
    <cellStyle name="Normal 5 14 2" xfId="5299"/>
    <cellStyle name="Normal 5 140" xfId="5300"/>
    <cellStyle name="Normal 5 141" xfId="5301"/>
    <cellStyle name="Normal 5 142" xfId="5302"/>
    <cellStyle name="Normal 5 143" xfId="5303"/>
    <cellStyle name="Normal 5 144" xfId="5304"/>
    <cellStyle name="Normal 5 145" xfId="5305"/>
    <cellStyle name="Normal 5 146" xfId="5306"/>
    <cellStyle name="Normal 5 147" xfId="5307"/>
    <cellStyle name="Normal 5 148" xfId="5308"/>
    <cellStyle name="Normal 5 149" xfId="5309"/>
    <cellStyle name="Normal 5 15" xfId="5310"/>
    <cellStyle name="Normal 5 15 2" xfId="5311"/>
    <cellStyle name="Normal 5 150" xfId="5312"/>
    <cellStyle name="Normal 5 151" xfId="5313"/>
    <cellStyle name="Normal 5 152" xfId="5314"/>
    <cellStyle name="Normal 5 153" xfId="5315"/>
    <cellStyle name="Normal 5 154" xfId="5316"/>
    <cellStyle name="Normal 5 155" xfId="7416"/>
    <cellStyle name="Normal 5 155 2" xfId="7517"/>
    <cellStyle name="Normal 5 156" xfId="7430"/>
    <cellStyle name="Normal 5 16" xfId="5317"/>
    <cellStyle name="Normal 5 16 2" xfId="5318"/>
    <cellStyle name="Normal 5 17" xfId="5319"/>
    <cellStyle name="Normal 5 17 2" xfId="5320"/>
    <cellStyle name="Normal 5 18" xfId="5321"/>
    <cellStyle name="Normal 5 18 2" xfId="5322"/>
    <cellStyle name="Normal 5 19" xfId="5323"/>
    <cellStyle name="Normal 5 19 2" xfId="5324"/>
    <cellStyle name="Normal 5 2" xfId="5325"/>
    <cellStyle name="Normal 5 2 2" xfId="5326"/>
    <cellStyle name="Normal 5 2 3" xfId="5327"/>
    <cellStyle name="Normal 5 2 4" xfId="5328"/>
    <cellStyle name="Normal 5 2 5" xfId="7501"/>
    <cellStyle name="Normal 5 20" xfId="5329"/>
    <cellStyle name="Normal 5 20 2" xfId="5330"/>
    <cellStyle name="Normal 5 21" xfId="5331"/>
    <cellStyle name="Normal 5 21 2" xfId="5332"/>
    <cellStyle name="Normal 5 22" xfId="5333"/>
    <cellStyle name="Normal 5 22 2" xfId="5334"/>
    <cellStyle name="Normal 5 23" xfId="5335"/>
    <cellStyle name="Normal 5 23 2" xfId="5336"/>
    <cellStyle name="Normal 5 24" xfId="5337"/>
    <cellStyle name="Normal 5 24 2" xfId="5338"/>
    <cellStyle name="Normal 5 25" xfId="5339"/>
    <cellStyle name="Normal 5 25 2" xfId="5340"/>
    <cellStyle name="Normal 5 26" xfId="5341"/>
    <cellStyle name="Normal 5 26 2" xfId="5342"/>
    <cellStyle name="Normal 5 27" xfId="5343"/>
    <cellStyle name="Normal 5 27 2" xfId="5344"/>
    <cellStyle name="Normal 5 28" xfId="5345"/>
    <cellStyle name="Normal 5 28 2" xfId="5346"/>
    <cellStyle name="Normal 5 29" xfId="5347"/>
    <cellStyle name="Normal 5 29 2" xfId="5348"/>
    <cellStyle name="Normal 5 3" xfId="5349"/>
    <cellStyle name="Normal 5 3 2" xfId="5350"/>
    <cellStyle name="Normal 5 3 2 2" xfId="5351"/>
    <cellStyle name="Normal 5 3 2 2 2" xfId="5352"/>
    <cellStyle name="Normal 5 3 2 2 2 2" xfId="5353"/>
    <cellStyle name="Normal 5 3 2 2 3" xfId="5354"/>
    <cellStyle name="Normal 5 3 2 3" xfId="5355"/>
    <cellStyle name="Normal 5 3 2 3 2" xfId="5356"/>
    <cellStyle name="Normal 5 3 2 3 2 2" xfId="5357"/>
    <cellStyle name="Normal 5 3 2 3 3" xfId="5358"/>
    <cellStyle name="Normal 5 3 2 4" xfId="5359"/>
    <cellStyle name="Normal 5 3 2 4 2" xfId="5360"/>
    <cellStyle name="Normal 5 3 2 4 2 2" xfId="5361"/>
    <cellStyle name="Normal 5 3 2 4 3" xfId="5362"/>
    <cellStyle name="Normal 5 3 2 5" xfId="5363"/>
    <cellStyle name="Normal 5 3 2 5 2" xfId="5364"/>
    <cellStyle name="Normal 5 3 2 5 2 2" xfId="5365"/>
    <cellStyle name="Normal 5 3 2 5 3" xfId="5366"/>
    <cellStyle name="Normal 5 3 2 6" xfId="5367"/>
    <cellStyle name="Normal 5 3 3" xfId="5368"/>
    <cellStyle name="Normal 5 3 3 2" xfId="5369"/>
    <cellStyle name="Normal 5 3 4" xfId="5370"/>
    <cellStyle name="Normal 5 3 4 2" xfId="5371"/>
    <cellStyle name="Normal 5 3 5" xfId="5372"/>
    <cellStyle name="Normal 5 3 5 2" xfId="5373"/>
    <cellStyle name="Normal 5 3 6" xfId="5374"/>
    <cellStyle name="Normal 5 3 6 2" xfId="5375"/>
    <cellStyle name="Normal 5 3 6 3" xfId="5376"/>
    <cellStyle name="Normal 5 3 7" xfId="5377"/>
    <cellStyle name="Normal 5 3 8" xfId="5378"/>
    <cellStyle name="Normal 5 3 9" xfId="5379"/>
    <cellStyle name="Normal 5 30" xfId="5380"/>
    <cellStyle name="Normal 5 30 2" xfId="5381"/>
    <cellStyle name="Normal 5 31" xfId="5382"/>
    <cellStyle name="Normal 5 31 2" xfId="5383"/>
    <cellStyle name="Normal 5 32" xfId="5384"/>
    <cellStyle name="Normal 5 32 2" xfId="5385"/>
    <cellStyle name="Normal 5 33" xfId="5386"/>
    <cellStyle name="Normal 5 33 2" xfId="5387"/>
    <cellStyle name="Normal 5 34" xfId="5388"/>
    <cellStyle name="Normal 5 34 2" xfId="5389"/>
    <cellStyle name="Normal 5 35" xfId="5390"/>
    <cellStyle name="Normal 5 35 2" xfId="5391"/>
    <cellStyle name="Normal 5 36" xfId="5392"/>
    <cellStyle name="Normal 5 36 2" xfId="5393"/>
    <cellStyle name="Normal 5 37" xfId="5394"/>
    <cellStyle name="Normal 5 37 2" xfId="5395"/>
    <cellStyle name="Normal 5 38" xfId="5396"/>
    <cellStyle name="Normal 5 38 2" xfId="5397"/>
    <cellStyle name="Normal 5 39" xfId="5398"/>
    <cellStyle name="Normal 5 39 2" xfId="5399"/>
    <cellStyle name="Normal 5 4" xfId="5400"/>
    <cellStyle name="Normal 5 4 2" xfId="5401"/>
    <cellStyle name="Normal 5 4 2 2" xfId="5402"/>
    <cellStyle name="Normal 5 4 3" xfId="5403"/>
    <cellStyle name="Normal 5 40" xfId="5404"/>
    <cellStyle name="Normal 5 40 2" xfId="5405"/>
    <cellStyle name="Normal 5 41" xfId="5406"/>
    <cellStyle name="Normal 5 41 2" xfId="5407"/>
    <cellStyle name="Normal 5 42" xfId="5408"/>
    <cellStyle name="Normal 5 42 2" xfId="5409"/>
    <cellStyle name="Normal 5 43" xfId="5410"/>
    <cellStyle name="Normal 5 43 2" xfId="5411"/>
    <cellStyle name="Normal 5 44" xfId="5412"/>
    <cellStyle name="Normal 5 44 2" xfId="5413"/>
    <cellStyle name="Normal 5 45" xfId="5414"/>
    <cellStyle name="Normal 5 45 2" xfId="5415"/>
    <cellStyle name="Normal 5 46" xfId="5416"/>
    <cellStyle name="Normal 5 46 2" xfId="5417"/>
    <cellStyle name="Normal 5 47" xfId="5418"/>
    <cellStyle name="Normal 5 47 2" xfId="5419"/>
    <cellStyle name="Normal 5 48" xfId="5420"/>
    <cellStyle name="Normal 5 48 2" xfId="5421"/>
    <cellStyle name="Normal 5 49" xfId="5422"/>
    <cellStyle name="Normal 5 49 2" xfId="5423"/>
    <cellStyle name="Normal 5 5" xfId="5424"/>
    <cellStyle name="Normal 5 5 2" xfId="5425"/>
    <cellStyle name="Normal 5 5 2 2" xfId="5426"/>
    <cellStyle name="Normal 5 5 3" xfId="5427"/>
    <cellStyle name="Normal 5 50" xfId="5428"/>
    <cellStyle name="Normal 5 50 2" xfId="5429"/>
    <cellStyle name="Normal 5 51" xfId="5430"/>
    <cellStyle name="Normal 5 51 2" xfId="5431"/>
    <cellStyle name="Normal 5 52" xfId="5432"/>
    <cellStyle name="Normal 5 52 2" xfId="5433"/>
    <cellStyle name="Normal 5 53" xfId="5434"/>
    <cellStyle name="Normal 5 53 2" xfId="5435"/>
    <cellStyle name="Normal 5 54" xfId="5436"/>
    <cellStyle name="Normal 5 54 2" xfId="5437"/>
    <cellStyle name="Normal 5 55" xfId="5438"/>
    <cellStyle name="Normal 5 55 2" xfId="5439"/>
    <cellStyle name="Normal 5 56" xfId="5440"/>
    <cellStyle name="Normal 5 56 2" xfId="5441"/>
    <cellStyle name="Normal 5 57" xfId="5442"/>
    <cellStyle name="Normal 5 57 2" xfId="5443"/>
    <cellStyle name="Normal 5 58" xfId="5444"/>
    <cellStyle name="Normal 5 58 2" xfId="5445"/>
    <cellStyle name="Normal 5 59" xfId="5446"/>
    <cellStyle name="Normal 5 59 2" xfId="5447"/>
    <cellStyle name="Normal 5 6" xfId="5448"/>
    <cellStyle name="Normal 5 6 2" xfId="5449"/>
    <cellStyle name="Normal 5 6 2 2" xfId="5450"/>
    <cellStyle name="Normal 5 6 3" xfId="5451"/>
    <cellStyle name="Normal 5 60" xfId="5452"/>
    <cellStyle name="Normal 5 60 2" xfId="5453"/>
    <cellStyle name="Normal 5 61" xfId="5454"/>
    <cellStyle name="Normal 5 61 2" xfId="5455"/>
    <cellStyle name="Normal 5 62" xfId="5456"/>
    <cellStyle name="Normal 5 63" xfId="5457"/>
    <cellStyle name="Normal 5 64" xfId="5458"/>
    <cellStyle name="Normal 5 65" xfId="5459"/>
    <cellStyle name="Normal 5 66" xfId="5460"/>
    <cellStyle name="Normal 5 67" xfId="5461"/>
    <cellStyle name="Normal 5 68" xfId="5462"/>
    <cellStyle name="Normal 5 69" xfId="5463"/>
    <cellStyle name="Normal 5 7" xfId="5464"/>
    <cellStyle name="Normal 5 7 2" xfId="5465"/>
    <cellStyle name="Normal 5 7 2 2" xfId="5466"/>
    <cellStyle name="Normal 5 7 3" xfId="5467"/>
    <cellStyle name="Normal 5 70" xfId="5468"/>
    <cellStyle name="Normal 5 71" xfId="5469"/>
    <cellStyle name="Normal 5 72" xfId="5470"/>
    <cellStyle name="Normal 5 73" xfId="5471"/>
    <cellStyle name="Normal 5 74" xfId="5472"/>
    <cellStyle name="Normal 5 75" xfId="5473"/>
    <cellStyle name="Normal 5 76" xfId="5474"/>
    <cellStyle name="Normal 5 77" xfId="5475"/>
    <cellStyle name="Normal 5 78" xfId="5476"/>
    <cellStyle name="Normal 5 79" xfId="5477"/>
    <cellStyle name="Normal 5 8" xfId="5478"/>
    <cellStyle name="Normal 5 8 2" xfId="5479"/>
    <cellStyle name="Normal 5 80" xfId="5480"/>
    <cellStyle name="Normal 5 81" xfId="5481"/>
    <cellStyle name="Normal 5 82" xfId="5482"/>
    <cellStyle name="Normal 5 83" xfId="5483"/>
    <cellStyle name="Normal 5 84" xfId="5484"/>
    <cellStyle name="Normal 5 85" xfId="5485"/>
    <cellStyle name="Normal 5 86" xfId="5486"/>
    <cellStyle name="Normal 5 87" xfId="5487"/>
    <cellStyle name="Normal 5 88" xfId="5488"/>
    <cellStyle name="Normal 5 89" xfId="5489"/>
    <cellStyle name="Normal 5 9" xfId="5490"/>
    <cellStyle name="Normal 5 9 2" xfId="5491"/>
    <cellStyle name="Normal 5 90" xfId="5492"/>
    <cellStyle name="Normal 5 91" xfId="5493"/>
    <cellStyle name="Normal 5 92" xfId="5494"/>
    <cellStyle name="Normal 5 93" xfId="5495"/>
    <cellStyle name="Normal 5 94" xfId="5496"/>
    <cellStyle name="Normal 5 95" xfId="5497"/>
    <cellStyle name="Normal 5 96" xfId="5498"/>
    <cellStyle name="Normal 5 97" xfId="5499"/>
    <cellStyle name="Normal 5 98" xfId="5500"/>
    <cellStyle name="Normal 5 99" xfId="5501"/>
    <cellStyle name="Normal 50" xfId="5502"/>
    <cellStyle name="Normal 51" xfId="5503"/>
    <cellStyle name="Normal 52" xfId="5504"/>
    <cellStyle name="Normal 53" xfId="5505"/>
    <cellStyle name="Normal 54" xfId="5506"/>
    <cellStyle name="Normal 55" xfId="5507"/>
    <cellStyle name="Normal 56" xfId="5508"/>
    <cellStyle name="Normal 57" xfId="5509"/>
    <cellStyle name="Normal 58" xfId="5510"/>
    <cellStyle name="Normal 59" xfId="5511"/>
    <cellStyle name="Normal 6" xfId="36"/>
    <cellStyle name="Normal 6 10" xfId="5512"/>
    <cellStyle name="Normal 6 11" xfId="5513"/>
    <cellStyle name="Normal 6 11 2" xfId="5514"/>
    <cellStyle name="Normal 6 12" xfId="5515"/>
    <cellStyle name="Normal 6 13" xfId="7512"/>
    <cellStyle name="Normal 6 14" xfId="7515"/>
    <cellStyle name="Normal 6 2" xfId="5516"/>
    <cellStyle name="Normal 6 2 10" xfId="7502"/>
    <cellStyle name="Normal 6 2 2" xfId="5517"/>
    <cellStyle name="Normal 6 2 2 2" xfId="5518"/>
    <cellStyle name="Normal 6 2 2 2 2" xfId="5519"/>
    <cellStyle name="Normal 6 2 2 3" xfId="5520"/>
    <cellStyle name="Normal 6 2 2 4" xfId="5521"/>
    <cellStyle name="Normal 6 2 2 5" xfId="5522"/>
    <cellStyle name="Normal 6 2 2 6" xfId="5523"/>
    <cellStyle name="Normal 6 2 2 7" xfId="5524"/>
    <cellStyle name="Normal 6 2 2 8" xfId="5525"/>
    <cellStyle name="Normal 6 2 2 9" xfId="5526"/>
    <cellStyle name="Normal 6 2 3" xfId="5527"/>
    <cellStyle name="Normal 6 2 4" xfId="5528"/>
    <cellStyle name="Normal 6 2 5" xfId="5529"/>
    <cellStyle name="Normal 6 2 5 2" xfId="7530"/>
    <cellStyle name="Normal 6 2 6" xfId="5530"/>
    <cellStyle name="Normal 6 2 7" xfId="5531"/>
    <cellStyle name="Normal 6 2 8" xfId="5532"/>
    <cellStyle name="Normal 6 2 9" xfId="5533"/>
    <cellStyle name="Normal 6 3" xfId="5534"/>
    <cellStyle name="Normal 6 3 2" xfId="5535"/>
    <cellStyle name="Normal 6 3 2 2" xfId="5536"/>
    <cellStyle name="Normal 6 3 3" xfId="5537"/>
    <cellStyle name="Normal 6 4" xfId="5538"/>
    <cellStyle name="Normal 6 4 2" xfId="5539"/>
    <cellStyle name="Normal 6 5" xfId="5540"/>
    <cellStyle name="Normal 6 5 2" xfId="5541"/>
    <cellStyle name="Normal 6 6" xfId="5542"/>
    <cellStyle name="Normal 6 7" xfId="5543"/>
    <cellStyle name="Normal 6 8" xfId="5544"/>
    <cellStyle name="Normal 6 9" xfId="5545"/>
    <cellStyle name="Normal 60" xfId="5546"/>
    <cellStyle name="Normal 61" xfId="5547"/>
    <cellStyle name="Normal 62" xfId="5548"/>
    <cellStyle name="Normal 63" xfId="5549"/>
    <cellStyle name="Normal 64" xfId="5550"/>
    <cellStyle name="Normal 65" xfId="5551"/>
    <cellStyle name="Normal 66" xfId="5552"/>
    <cellStyle name="Normal 66 2" xfId="5553"/>
    <cellStyle name="Normal 67" xfId="5554"/>
    <cellStyle name="Normal 67 2" xfId="5555"/>
    <cellStyle name="Normal 68" xfId="5556"/>
    <cellStyle name="Normal 68 2" xfId="5557"/>
    <cellStyle name="Normal 69" xfId="5558"/>
    <cellStyle name="Normal 7" xfId="5559"/>
    <cellStyle name="Normal 7 10" xfId="5560"/>
    <cellStyle name="Normal 7 11" xfId="5561"/>
    <cellStyle name="Normal 7 12" xfId="5562"/>
    <cellStyle name="Normal 7 13" xfId="5563"/>
    <cellStyle name="Normal 7 14" xfId="5564"/>
    <cellStyle name="Normal 7 15" xfId="5565"/>
    <cellStyle name="Normal 7 16" xfId="5566"/>
    <cellStyle name="Normal 7 17" xfId="5567"/>
    <cellStyle name="Normal 7 18" xfId="5568"/>
    <cellStyle name="Normal 7 19" xfId="5569"/>
    <cellStyle name="Normal 7 2" xfId="5570"/>
    <cellStyle name="Normal 7 2 2" xfId="5571"/>
    <cellStyle name="Normal 7 2 2 2" xfId="5572"/>
    <cellStyle name="Normal 7 2 2 2 2" xfId="5573"/>
    <cellStyle name="Normal 7 2 2 3" xfId="5574"/>
    <cellStyle name="Normal 7 2 2 4" xfId="5575"/>
    <cellStyle name="Normal 7 2 2 5" xfId="5576"/>
    <cellStyle name="Normal 7 2 3" xfId="5577"/>
    <cellStyle name="Normal 7 2 4" xfId="5578"/>
    <cellStyle name="Normal 7 2 5" xfId="5579"/>
    <cellStyle name="Normal 7 2 6" xfId="5580"/>
    <cellStyle name="Normal 7 2 7" xfId="5581"/>
    <cellStyle name="Normal 7 2 8" xfId="5582"/>
    <cellStyle name="Normal 7 2 9" xfId="5583"/>
    <cellStyle name="Normal 7 20" xfId="5584"/>
    <cellStyle name="Normal 7 21" xfId="5585"/>
    <cellStyle name="Normal 7 22" xfId="5586"/>
    <cellStyle name="Normal 7 23" xfId="5587"/>
    <cellStyle name="Normal 7 24" xfId="5588"/>
    <cellStyle name="Normal 7 25" xfId="5589"/>
    <cellStyle name="Normal 7 26" xfId="5590"/>
    <cellStyle name="Normal 7 27" xfId="5591"/>
    <cellStyle name="Normal 7 28" xfId="5592"/>
    <cellStyle name="Normal 7 29" xfId="5593"/>
    <cellStyle name="Normal 7 3" xfId="5594"/>
    <cellStyle name="Normal 7 3 2" xfId="5595"/>
    <cellStyle name="Normal 7 3 3" xfId="5596"/>
    <cellStyle name="Normal 7 3 4" xfId="5597"/>
    <cellStyle name="Normal 7 30" xfId="5598"/>
    <cellStyle name="Normal 7 31" xfId="5599"/>
    <cellStyle name="Normal 7 32" xfId="5600"/>
    <cellStyle name="Normal 7 33" xfId="5601"/>
    <cellStyle name="Normal 7 34" xfId="5602"/>
    <cellStyle name="Normal 7 35" xfId="5603"/>
    <cellStyle name="Normal 7 36" xfId="5604"/>
    <cellStyle name="Normal 7 37" xfId="5605"/>
    <cellStyle name="Normal 7 38" xfId="5606"/>
    <cellStyle name="Normal 7 39" xfId="5607"/>
    <cellStyle name="Normal 7 4" xfId="5608"/>
    <cellStyle name="Normal 7 4 2" xfId="5609"/>
    <cellStyle name="Normal 7 4 2 2" xfId="5610"/>
    <cellStyle name="Normal 7 4 3" xfId="5611"/>
    <cellStyle name="Normal 7 40" xfId="5612"/>
    <cellStyle name="Normal 7 41" xfId="5613"/>
    <cellStyle name="Normal 7 42" xfId="5614"/>
    <cellStyle name="Normal 7 43" xfId="5615"/>
    <cellStyle name="Normal 7 44" xfId="5616"/>
    <cellStyle name="Normal 7 45" xfId="5617"/>
    <cellStyle name="Normal 7 46" xfId="5618"/>
    <cellStyle name="Normal 7 47" xfId="5619"/>
    <cellStyle name="Normal 7 48" xfId="5620"/>
    <cellStyle name="Normal 7 49" xfId="5621"/>
    <cellStyle name="Normal 7 5" xfId="5622"/>
    <cellStyle name="Normal 7 5 2" xfId="5623"/>
    <cellStyle name="Normal 7 5 2 2" xfId="5624"/>
    <cellStyle name="Normal 7 5 3" xfId="5625"/>
    <cellStyle name="Normal 7 50" xfId="5626"/>
    <cellStyle name="Normal 7 51" xfId="5627"/>
    <cellStyle name="Normal 7 52" xfId="5628"/>
    <cellStyle name="Normal 7 53" xfId="5629"/>
    <cellStyle name="Normal 7 54" xfId="5630"/>
    <cellStyle name="Normal 7 55" xfId="5631"/>
    <cellStyle name="Normal 7 56" xfId="5632"/>
    <cellStyle name="Normal 7 57" xfId="5633"/>
    <cellStyle name="Normal 7 58" xfId="5634"/>
    <cellStyle name="Normal 7 59" xfId="5635"/>
    <cellStyle name="Normal 7 6" xfId="5636"/>
    <cellStyle name="Normal 7 6 2" xfId="5637"/>
    <cellStyle name="Normal 7 6 2 2" xfId="5638"/>
    <cellStyle name="Normal 7 6 3" xfId="5639"/>
    <cellStyle name="Normal 7 60" xfId="5640"/>
    <cellStyle name="Normal 7 61" xfId="5641"/>
    <cellStyle name="Normal 7 62" xfId="5642"/>
    <cellStyle name="Normal 7 63" xfId="5643"/>
    <cellStyle name="Normal 7 64" xfId="5644"/>
    <cellStyle name="Normal 7 65" xfId="5645"/>
    <cellStyle name="Normal 7 66" xfId="5646"/>
    <cellStyle name="Normal 7 67" xfId="5647"/>
    <cellStyle name="Normal 7 68" xfId="5648"/>
    <cellStyle name="Normal 7 69" xfId="5649"/>
    <cellStyle name="Normal 7 7" xfId="5650"/>
    <cellStyle name="Normal 7 7 2" xfId="5651"/>
    <cellStyle name="Normal 7 7 2 2" xfId="5652"/>
    <cellStyle name="Normal 7 7 3" xfId="5653"/>
    <cellStyle name="Normal 7 70" xfId="5654"/>
    <cellStyle name="Normal 7 71" xfId="5655"/>
    <cellStyle name="Normal 7 72" xfId="5656"/>
    <cellStyle name="Normal 7 73" xfId="5657"/>
    <cellStyle name="Normal 7 74" xfId="5658"/>
    <cellStyle name="Normal 7 75" xfId="5659"/>
    <cellStyle name="Normal 7 76" xfId="5660"/>
    <cellStyle name="Normal 7 77" xfId="5661"/>
    <cellStyle name="Normal 7 78" xfId="5662"/>
    <cellStyle name="Normal 7 79" xfId="5663"/>
    <cellStyle name="Normal 7 8" xfId="5664"/>
    <cellStyle name="Normal 7 8 2" xfId="5665"/>
    <cellStyle name="Normal 7 8 2 2" xfId="5666"/>
    <cellStyle name="Normal 7 8 3" xfId="5667"/>
    <cellStyle name="Normal 7 8 4" xfId="7513"/>
    <cellStyle name="Normal 7 80" xfId="5668"/>
    <cellStyle name="Normal 7 81" xfId="5669"/>
    <cellStyle name="Normal 7 82" xfId="5670"/>
    <cellStyle name="Normal 7 83" xfId="5671"/>
    <cellStyle name="Normal 7 84" xfId="5672"/>
    <cellStyle name="Normal 7 85" xfId="5673"/>
    <cellStyle name="Normal 7 86" xfId="5674"/>
    <cellStyle name="Normal 7 87" xfId="5675"/>
    <cellStyle name="Normal 7 88" xfId="5676"/>
    <cellStyle name="Normal 7 89" xfId="5677"/>
    <cellStyle name="Normal 7 9" xfId="5678"/>
    <cellStyle name="Normal 7 9 2" xfId="5679"/>
    <cellStyle name="Normal 7 9 3" xfId="5680"/>
    <cellStyle name="Normal 7 9 4" xfId="5681"/>
    <cellStyle name="Normal 7 90" xfId="5682"/>
    <cellStyle name="Normal 7 91" xfId="5683"/>
    <cellStyle name="Normal 7 92" xfId="5684"/>
    <cellStyle name="Normal 7 93" xfId="5685"/>
    <cellStyle name="Normal 70" xfId="5686"/>
    <cellStyle name="Normal 71" xfId="5687"/>
    <cellStyle name="Normal 72" xfId="5688"/>
    <cellStyle name="Normal 73" xfId="5689"/>
    <cellStyle name="Normal 74" xfId="5690"/>
    <cellStyle name="Normal 75" xfId="5691"/>
    <cellStyle name="Normal 76" xfId="5692"/>
    <cellStyle name="Normal 77" xfId="5693"/>
    <cellStyle name="Normal 78" xfId="5694"/>
    <cellStyle name="Normal 79" xfId="5695"/>
    <cellStyle name="Normal 8" xfId="5696"/>
    <cellStyle name="Normal 8 10" xfId="5697"/>
    <cellStyle name="Normal 8 11" xfId="5698"/>
    <cellStyle name="Normal 8 12" xfId="5699"/>
    <cellStyle name="Normal 8 13" xfId="5700"/>
    <cellStyle name="Normal 8 14" xfId="5701"/>
    <cellStyle name="Normal 8 15" xfId="5702"/>
    <cellStyle name="Normal 8 16" xfId="5703"/>
    <cellStyle name="Normal 8 17" xfId="5704"/>
    <cellStyle name="Normal 8 18" xfId="5705"/>
    <cellStyle name="Normal 8 19" xfId="5706"/>
    <cellStyle name="Normal 8 2" xfId="5707"/>
    <cellStyle name="Normal 8 2 2" xfId="5708"/>
    <cellStyle name="Normal 8 2 2 2" xfId="5709"/>
    <cellStyle name="Normal 8 2 2 2 2" xfId="5710"/>
    <cellStyle name="Normal 8 2 2 2 2 2" xfId="5711"/>
    <cellStyle name="Normal 8 2 2 2 3" xfId="5712"/>
    <cellStyle name="Normal 8 2 2 3" xfId="5713"/>
    <cellStyle name="Normal 8 2 2 3 2" xfId="5714"/>
    <cellStyle name="Normal 8 2 2 3 2 2" xfId="5715"/>
    <cellStyle name="Normal 8 2 2 3 3" xfId="5716"/>
    <cellStyle name="Normal 8 2 2 4" xfId="5717"/>
    <cellStyle name="Normal 8 2 2 4 2" xfId="5718"/>
    <cellStyle name="Normal 8 2 2 4 2 2" xfId="5719"/>
    <cellStyle name="Normal 8 2 2 4 3" xfId="5720"/>
    <cellStyle name="Normal 8 2 2 5" xfId="5721"/>
    <cellStyle name="Normal 8 2 2 5 2" xfId="5722"/>
    <cellStyle name="Normal 8 2 2 5 2 2" xfId="5723"/>
    <cellStyle name="Normal 8 2 2 5 3" xfId="5724"/>
    <cellStyle name="Normal 8 2 2 6" xfId="5725"/>
    <cellStyle name="Normal 8 2 3" xfId="5726"/>
    <cellStyle name="Normal 8 2 3 2" xfId="5727"/>
    <cellStyle name="Normal 8 2 4" xfId="5728"/>
    <cellStyle name="Normal 8 2 4 2" xfId="5729"/>
    <cellStyle name="Normal 8 2 5" xfId="5730"/>
    <cellStyle name="Normal 8 2 5 2" xfId="5731"/>
    <cellStyle name="Normal 8 2 6" xfId="5732"/>
    <cellStyle name="Normal 8 2 6 2" xfId="5733"/>
    <cellStyle name="Normal 8 2 7" xfId="5734"/>
    <cellStyle name="Normal 8 20" xfId="5735"/>
    <cellStyle name="Normal 8 21" xfId="5736"/>
    <cellStyle name="Normal 8 22" xfId="5737"/>
    <cellStyle name="Normal 8 23" xfId="5738"/>
    <cellStyle name="Normal 8 24" xfId="5739"/>
    <cellStyle name="Normal 8 25" xfId="5740"/>
    <cellStyle name="Normal 8 26" xfId="5741"/>
    <cellStyle name="Normal 8 27" xfId="5742"/>
    <cellStyle name="Normal 8 28" xfId="5743"/>
    <cellStyle name="Normal 8 29" xfId="5744"/>
    <cellStyle name="Normal 8 3" xfId="5745"/>
    <cellStyle name="Normal 8 3 2" xfId="5746"/>
    <cellStyle name="Normal 8 3 2 2" xfId="5747"/>
    <cellStyle name="Normal 8 3 3" xfId="5748"/>
    <cellStyle name="Normal 8 30" xfId="5749"/>
    <cellStyle name="Normal 8 31" xfId="5750"/>
    <cellStyle name="Normal 8 32" xfId="5751"/>
    <cellStyle name="Normal 8 33" xfId="5752"/>
    <cellStyle name="Normal 8 34" xfId="5753"/>
    <cellStyle name="Normal 8 35" xfId="5754"/>
    <cellStyle name="Normal 8 36" xfId="5755"/>
    <cellStyle name="Normal 8 37" xfId="5756"/>
    <cellStyle name="Normal 8 38" xfId="5757"/>
    <cellStyle name="Normal 8 39" xfId="5758"/>
    <cellStyle name="Normal 8 4" xfId="5759"/>
    <cellStyle name="Normal 8 4 2" xfId="5760"/>
    <cellStyle name="Normal 8 4 2 2" xfId="5761"/>
    <cellStyle name="Normal 8 4 3" xfId="5762"/>
    <cellStyle name="Normal 8 40" xfId="5763"/>
    <cellStyle name="Normal 8 41" xfId="5764"/>
    <cellStyle name="Normal 8 42" xfId="5765"/>
    <cellStyle name="Normal 8 43" xfId="5766"/>
    <cellStyle name="Normal 8 44" xfId="5767"/>
    <cellStyle name="Normal 8 45" xfId="5768"/>
    <cellStyle name="Normal 8 46" xfId="5769"/>
    <cellStyle name="Normal 8 47" xfId="5770"/>
    <cellStyle name="Normal 8 48" xfId="5771"/>
    <cellStyle name="Normal 8 49" xfId="5772"/>
    <cellStyle name="Normal 8 5" xfId="5773"/>
    <cellStyle name="Normal 8 5 2" xfId="5774"/>
    <cellStyle name="Normal 8 5 2 2" xfId="5775"/>
    <cellStyle name="Normal 8 5 3" xfId="5776"/>
    <cellStyle name="Normal 8 50" xfId="5777"/>
    <cellStyle name="Normal 8 51" xfId="5778"/>
    <cellStyle name="Normal 8 52" xfId="5779"/>
    <cellStyle name="Normal 8 53" xfId="5780"/>
    <cellStyle name="Normal 8 54" xfId="5781"/>
    <cellStyle name="Normal 8 55" xfId="5782"/>
    <cellStyle name="Normal 8 56" xfId="5783"/>
    <cellStyle name="Normal 8 57" xfId="5784"/>
    <cellStyle name="Normal 8 58" xfId="5785"/>
    <cellStyle name="Normal 8 59" xfId="5786"/>
    <cellStyle name="Normal 8 6" xfId="5787"/>
    <cellStyle name="Normal 8 6 2" xfId="5788"/>
    <cellStyle name="Normal 8 6 2 2" xfId="5789"/>
    <cellStyle name="Normal 8 6 3" xfId="5790"/>
    <cellStyle name="Normal 8 60" xfId="5791"/>
    <cellStyle name="Normal 8 61" xfId="5792"/>
    <cellStyle name="Normal 8 62" xfId="5793"/>
    <cellStyle name="Normal 8 63" xfId="5794"/>
    <cellStyle name="Normal 8 64" xfId="5795"/>
    <cellStyle name="Normal 8 65" xfId="5796"/>
    <cellStyle name="Normal 8 66" xfId="5797"/>
    <cellStyle name="Normal 8 67" xfId="5798"/>
    <cellStyle name="Normal 8 68" xfId="5799"/>
    <cellStyle name="Normal 8 69" xfId="5800"/>
    <cellStyle name="Normal 8 7" xfId="5801"/>
    <cellStyle name="Normal 8 7 2" xfId="5802"/>
    <cellStyle name="Normal 8 70" xfId="5803"/>
    <cellStyle name="Normal 8 71" xfId="5804"/>
    <cellStyle name="Normal 8 72" xfId="5805"/>
    <cellStyle name="Normal 8 73" xfId="5806"/>
    <cellStyle name="Normal 8 74" xfId="5807"/>
    <cellStyle name="Normal 8 75" xfId="5808"/>
    <cellStyle name="Normal 8 76" xfId="5809"/>
    <cellStyle name="Normal 8 77" xfId="5810"/>
    <cellStyle name="Normal 8 78" xfId="5811"/>
    <cellStyle name="Normal 8 79" xfId="5812"/>
    <cellStyle name="Normal 8 8" xfId="5813"/>
    <cellStyle name="Normal 8 80" xfId="5814"/>
    <cellStyle name="Normal 8 81" xfId="5815"/>
    <cellStyle name="Normal 8 82" xfId="5816"/>
    <cellStyle name="Normal 8 83" xfId="5817"/>
    <cellStyle name="Normal 8 84" xfId="5818"/>
    <cellStyle name="Normal 8 85" xfId="5819"/>
    <cellStyle name="Normal 8 86" xfId="5820"/>
    <cellStyle name="Normal 8 87" xfId="5821"/>
    <cellStyle name="Normal 8 88" xfId="5822"/>
    <cellStyle name="Normal 8 89" xfId="5823"/>
    <cellStyle name="Normal 8 9" xfId="5824"/>
    <cellStyle name="Normal 8 90" xfId="5825"/>
    <cellStyle name="Normal 8 91" xfId="5826"/>
    <cellStyle name="Normal 8 92" xfId="5827"/>
    <cellStyle name="Normal 8 93" xfId="5828"/>
    <cellStyle name="Normal 8 94" xfId="7503"/>
    <cellStyle name="Normal 80" xfId="5829"/>
    <cellStyle name="Normal 81" xfId="5830"/>
    <cellStyle name="Normal 82" xfId="5831"/>
    <cellStyle name="Normal 83" xfId="5832"/>
    <cellStyle name="Normal 84" xfId="5833"/>
    <cellStyle name="Normal 85" xfId="5834"/>
    <cellStyle name="Normal 86" xfId="5835"/>
    <cellStyle name="Normal 87" xfId="5836"/>
    <cellStyle name="Normal 88" xfId="5837"/>
    <cellStyle name="Normal 89" xfId="5838"/>
    <cellStyle name="Normal 89 2" xfId="5839"/>
    <cellStyle name="Normal 9" xfId="5840"/>
    <cellStyle name="Normal 9 10" xfId="5841"/>
    <cellStyle name="Normal 9 11" xfId="5842"/>
    <cellStyle name="Normal 9 12" xfId="5843"/>
    <cellStyle name="Normal 9 13" xfId="5844"/>
    <cellStyle name="Normal 9 14" xfId="5845"/>
    <cellStyle name="Normal 9 15" xfId="5846"/>
    <cellStyle name="Normal 9 16" xfId="5847"/>
    <cellStyle name="Normal 9 17" xfId="5848"/>
    <cellStyle name="Normal 9 18" xfId="5849"/>
    <cellStyle name="Normal 9 19" xfId="5850"/>
    <cellStyle name="Normal 9 2" xfId="5851"/>
    <cellStyle name="Normal 9 2 2" xfId="5852"/>
    <cellStyle name="Normal 9 20" xfId="5853"/>
    <cellStyle name="Normal 9 21" xfId="5854"/>
    <cellStyle name="Normal 9 22" xfId="5855"/>
    <cellStyle name="Normal 9 23" xfId="5856"/>
    <cellStyle name="Normal 9 24" xfId="5857"/>
    <cellStyle name="Normal 9 25" xfId="5858"/>
    <cellStyle name="Normal 9 26" xfId="5859"/>
    <cellStyle name="Normal 9 27" xfId="5860"/>
    <cellStyle name="Normal 9 28" xfId="5861"/>
    <cellStyle name="Normal 9 29" xfId="5862"/>
    <cellStyle name="Normal 9 3" xfId="5863"/>
    <cellStyle name="Normal 9 30" xfId="5864"/>
    <cellStyle name="Normal 9 31" xfId="5865"/>
    <cellStyle name="Normal 9 32" xfId="5866"/>
    <cellStyle name="Normal 9 33" xfId="5867"/>
    <cellStyle name="Normal 9 34" xfId="5868"/>
    <cellStyle name="Normal 9 35" xfId="5869"/>
    <cellStyle name="Normal 9 36" xfId="5870"/>
    <cellStyle name="Normal 9 37" xfId="5871"/>
    <cellStyle name="Normal 9 38" xfId="5872"/>
    <cellStyle name="Normal 9 39" xfId="5873"/>
    <cellStyle name="Normal 9 4" xfId="5874"/>
    <cellStyle name="Normal 9 40" xfId="5875"/>
    <cellStyle name="Normal 9 41" xfId="5876"/>
    <cellStyle name="Normal 9 42" xfId="5877"/>
    <cellStyle name="Normal 9 43" xfId="5878"/>
    <cellStyle name="Normal 9 44" xfId="5879"/>
    <cellStyle name="Normal 9 45" xfId="5880"/>
    <cellStyle name="Normal 9 46" xfId="5881"/>
    <cellStyle name="Normal 9 47" xfId="5882"/>
    <cellStyle name="Normal 9 48" xfId="5883"/>
    <cellStyle name="Normal 9 49" xfId="5884"/>
    <cellStyle name="Normal 9 5" xfId="5885"/>
    <cellStyle name="Normal 9 50" xfId="5886"/>
    <cellStyle name="Normal 9 51" xfId="5887"/>
    <cellStyle name="Normal 9 52" xfId="5888"/>
    <cellStyle name="Normal 9 53" xfId="5889"/>
    <cellStyle name="Normal 9 54" xfId="5890"/>
    <cellStyle name="Normal 9 55" xfId="5891"/>
    <cellStyle name="Normal 9 56" xfId="5892"/>
    <cellStyle name="Normal 9 57" xfId="5893"/>
    <cellStyle name="Normal 9 58" xfId="5894"/>
    <cellStyle name="Normal 9 59" xfId="5895"/>
    <cellStyle name="Normal 9 6" xfId="5896"/>
    <cellStyle name="Normal 9 60" xfId="5897"/>
    <cellStyle name="Normal 9 61" xfId="5898"/>
    <cellStyle name="Normal 9 62" xfId="5899"/>
    <cellStyle name="Normal 9 63" xfId="5900"/>
    <cellStyle name="Normal 9 64" xfId="5901"/>
    <cellStyle name="Normal 9 65" xfId="5902"/>
    <cellStyle name="Normal 9 66" xfId="5903"/>
    <cellStyle name="Normal 9 67" xfId="5904"/>
    <cellStyle name="Normal 9 68" xfId="5905"/>
    <cellStyle name="Normal 9 69" xfId="5906"/>
    <cellStyle name="Normal 9 7" xfId="5907"/>
    <cellStyle name="Normal 9 70" xfId="5908"/>
    <cellStyle name="Normal 9 71" xfId="5909"/>
    <cellStyle name="Normal 9 72" xfId="5910"/>
    <cellStyle name="Normal 9 73" xfId="5911"/>
    <cellStyle name="Normal 9 74" xfId="5912"/>
    <cellStyle name="Normal 9 75" xfId="5913"/>
    <cellStyle name="Normal 9 76" xfId="5914"/>
    <cellStyle name="Normal 9 77" xfId="5915"/>
    <cellStyle name="Normal 9 78" xfId="5916"/>
    <cellStyle name="Normal 9 79" xfId="5917"/>
    <cellStyle name="Normal 9 8" xfId="5918"/>
    <cellStyle name="Normal 9 80" xfId="5919"/>
    <cellStyle name="Normal 9 81" xfId="5920"/>
    <cellStyle name="Normal 9 82" xfId="5921"/>
    <cellStyle name="Normal 9 83" xfId="5922"/>
    <cellStyle name="Normal 9 84" xfId="5923"/>
    <cellStyle name="Normal 9 85" xfId="5924"/>
    <cellStyle name="Normal 9 86" xfId="5925"/>
    <cellStyle name="Normal 9 87" xfId="5926"/>
    <cellStyle name="Normal 9 88" xfId="5927"/>
    <cellStyle name="Normal 9 89" xfId="5928"/>
    <cellStyle name="Normal 9 9" xfId="5929"/>
    <cellStyle name="Normal 9 90" xfId="5930"/>
    <cellStyle name="Normal 9 91" xfId="5931"/>
    <cellStyle name="Normal 9 92" xfId="7504"/>
    <cellStyle name="Normal 90" xfId="5932"/>
    <cellStyle name="Normal 90 2" xfId="5933"/>
    <cellStyle name="Normal 90 3" xfId="5934"/>
    <cellStyle name="Normal 91" xfId="5935"/>
    <cellStyle name="Normal 91 2" xfId="5936"/>
    <cellStyle name="Normal 92" xfId="5937"/>
    <cellStyle name="Normal 93" xfId="5938"/>
    <cellStyle name="Normal 94" xfId="5939"/>
    <cellStyle name="Normal 95" xfId="5940"/>
    <cellStyle name="Normal 95 2" xfId="5941"/>
    <cellStyle name="Normal 96" xfId="5942"/>
    <cellStyle name="Normal 97" xfId="5943"/>
    <cellStyle name="Normal 98" xfId="5944"/>
    <cellStyle name="Normal 99" xfId="5945"/>
    <cellStyle name="Normal FICA" xfId="5946"/>
    <cellStyle name="Normal FUI" xfId="5947"/>
    <cellStyle name="Normal Other Benefits" xfId="5948"/>
    <cellStyle name="Note 2" xfId="5949"/>
    <cellStyle name="Note 2 2" xfId="5950"/>
    <cellStyle name="Note 2 3" xfId="5951"/>
    <cellStyle name="Note 2 4" xfId="5952"/>
    <cellStyle name="Note 2 5" xfId="5953"/>
    <cellStyle name="Note 3" xfId="5954"/>
    <cellStyle name="Note 4" xfId="5955"/>
    <cellStyle name="Output 2" xfId="5956"/>
    <cellStyle name="Output 3" xfId="5957"/>
    <cellStyle name="Output 4" xfId="5958"/>
    <cellStyle name="Output 5" xfId="5959"/>
    <cellStyle name="Output 6" xfId="5960"/>
    <cellStyle name="Output Amounts" xfId="5961"/>
    <cellStyle name="Output Column Headings" xfId="5962"/>
    <cellStyle name="Output Line Items" xfId="5963"/>
    <cellStyle name="Output Report Heading" xfId="5964"/>
    <cellStyle name="Output Report Title" xfId="5965"/>
    <cellStyle name="Percent" xfId="3" builtinId="5"/>
    <cellStyle name="Percent 10" xfId="41"/>
    <cellStyle name="Percent 10 2" xfId="5966"/>
    <cellStyle name="Percent 11" xfId="5967"/>
    <cellStyle name="Percent 11 2" xfId="5968"/>
    <cellStyle name="Percent 12" xfId="5969"/>
    <cellStyle name="Percent 12 2" xfId="5970"/>
    <cellStyle name="Percent 13" xfId="5971"/>
    <cellStyle name="Percent 13 2" xfId="5972"/>
    <cellStyle name="Percent 14" xfId="5973"/>
    <cellStyle name="Percent 14 2" xfId="5974"/>
    <cellStyle name="Percent 15" xfId="5975"/>
    <cellStyle name="Percent 15 2" xfId="5976"/>
    <cellStyle name="Percent 16" xfId="5977"/>
    <cellStyle name="Percent 16 2" xfId="5978"/>
    <cellStyle name="Percent 17" xfId="5979"/>
    <cellStyle name="Percent 17 2" xfId="5980"/>
    <cellStyle name="Percent 18" xfId="5981"/>
    <cellStyle name="Percent 18 2" xfId="5982"/>
    <cellStyle name="Percent 19" xfId="5983"/>
    <cellStyle name="Percent 19 2" xfId="5984"/>
    <cellStyle name="Percent 2" xfId="33"/>
    <cellStyle name="Percent 2 10" xfId="5985"/>
    <cellStyle name="Percent 2 10 2" xfId="5986"/>
    <cellStyle name="Percent 2 10 2 2" xfId="5987"/>
    <cellStyle name="Percent 2 10 3" xfId="5988"/>
    <cellStyle name="Percent 2 100" xfId="5989"/>
    <cellStyle name="Percent 2 101" xfId="5990"/>
    <cellStyle name="Percent 2 102" xfId="5991"/>
    <cellStyle name="Percent 2 103" xfId="5992"/>
    <cellStyle name="Percent 2 104" xfId="5993"/>
    <cellStyle name="Percent 2 105" xfId="5994"/>
    <cellStyle name="Percent 2 106" xfId="5995"/>
    <cellStyle name="Percent 2 107" xfId="5996"/>
    <cellStyle name="Percent 2 108" xfId="5997"/>
    <cellStyle name="Percent 2 109" xfId="5998"/>
    <cellStyle name="Percent 2 11" xfId="5999"/>
    <cellStyle name="Percent 2 11 2" xfId="6000"/>
    <cellStyle name="Percent 2 11 2 2" xfId="6001"/>
    <cellStyle name="Percent 2 11 3" xfId="6002"/>
    <cellStyle name="Percent 2 110" xfId="6003"/>
    <cellStyle name="Percent 2 111" xfId="6004"/>
    <cellStyle name="Percent 2 112" xfId="6005"/>
    <cellStyle name="Percent 2 113" xfId="6006"/>
    <cellStyle name="Percent 2 114" xfId="6007"/>
    <cellStyle name="Percent 2 115" xfId="6008"/>
    <cellStyle name="Percent 2 116" xfId="6009"/>
    <cellStyle name="Percent 2 117" xfId="6010"/>
    <cellStyle name="Percent 2 118" xfId="6011"/>
    <cellStyle name="Percent 2 119" xfId="6012"/>
    <cellStyle name="Percent 2 12" xfId="6013"/>
    <cellStyle name="Percent 2 12 2" xfId="6014"/>
    <cellStyle name="Percent 2 12 2 2" xfId="6015"/>
    <cellStyle name="Percent 2 12 3" xfId="6016"/>
    <cellStyle name="Percent 2 120" xfId="6017"/>
    <cellStyle name="Percent 2 121" xfId="6018"/>
    <cellStyle name="Percent 2 122" xfId="6019"/>
    <cellStyle name="Percent 2 123" xfId="6020"/>
    <cellStyle name="Percent 2 124" xfId="6021"/>
    <cellStyle name="Percent 2 125" xfId="6022"/>
    <cellStyle name="Percent 2 126" xfId="6023"/>
    <cellStyle name="Percent 2 127" xfId="6024"/>
    <cellStyle name="Percent 2 128" xfId="6025"/>
    <cellStyle name="Percent 2 129" xfId="6026"/>
    <cellStyle name="Percent 2 13" xfId="6027"/>
    <cellStyle name="Percent 2 13 2" xfId="6028"/>
    <cellStyle name="Percent 2 13 2 2" xfId="6029"/>
    <cellStyle name="Percent 2 13 3" xfId="6030"/>
    <cellStyle name="Percent 2 130" xfId="6031"/>
    <cellStyle name="Percent 2 131" xfId="6032"/>
    <cellStyle name="Percent 2 132" xfId="6033"/>
    <cellStyle name="Percent 2 133" xfId="6034"/>
    <cellStyle name="Percent 2 134" xfId="6035"/>
    <cellStyle name="Percent 2 135" xfId="6036"/>
    <cellStyle name="Percent 2 136" xfId="6037"/>
    <cellStyle name="Percent 2 137" xfId="6038"/>
    <cellStyle name="Percent 2 138" xfId="6039"/>
    <cellStyle name="Percent 2 139" xfId="6040"/>
    <cellStyle name="Percent 2 14" xfId="6041"/>
    <cellStyle name="Percent 2 14 2" xfId="6042"/>
    <cellStyle name="Percent 2 14 2 2" xfId="6043"/>
    <cellStyle name="Percent 2 14 3" xfId="6044"/>
    <cellStyle name="Percent 2 140" xfId="6045"/>
    <cellStyle name="Percent 2 141" xfId="6046"/>
    <cellStyle name="Percent 2 142" xfId="6047"/>
    <cellStyle name="Percent 2 143" xfId="6048"/>
    <cellStyle name="Percent 2 144" xfId="6049"/>
    <cellStyle name="Percent 2 145" xfId="6050"/>
    <cellStyle name="Percent 2 146" xfId="6051"/>
    <cellStyle name="Percent 2 147" xfId="6052"/>
    <cellStyle name="Percent 2 148" xfId="6053"/>
    <cellStyle name="Percent 2 149" xfId="6054"/>
    <cellStyle name="Percent 2 15" xfId="6055"/>
    <cellStyle name="Percent 2 15 2" xfId="6056"/>
    <cellStyle name="Percent 2 15 2 2" xfId="6057"/>
    <cellStyle name="Percent 2 15 3" xfId="6058"/>
    <cellStyle name="Percent 2 150" xfId="6059"/>
    <cellStyle name="Percent 2 151" xfId="6060"/>
    <cellStyle name="Percent 2 152" xfId="6061"/>
    <cellStyle name="Percent 2 153" xfId="7424"/>
    <cellStyle name="Percent 2 155" xfId="7545"/>
    <cellStyle name="Percent 2 16" xfId="6062"/>
    <cellStyle name="Percent 2 16 2" xfId="6063"/>
    <cellStyle name="Percent 2 16 2 2" xfId="6064"/>
    <cellStyle name="Percent 2 16 3" xfId="6065"/>
    <cellStyle name="Percent 2 17" xfId="6066"/>
    <cellStyle name="Percent 2 17 2" xfId="6067"/>
    <cellStyle name="Percent 2 17 2 2" xfId="6068"/>
    <cellStyle name="Percent 2 17 3" xfId="6069"/>
    <cellStyle name="Percent 2 18" xfId="6070"/>
    <cellStyle name="Percent 2 18 2" xfId="6071"/>
    <cellStyle name="Percent 2 18 2 2" xfId="6072"/>
    <cellStyle name="Percent 2 18 3" xfId="6073"/>
    <cellStyle name="Percent 2 19" xfId="6074"/>
    <cellStyle name="Percent 2 19 2" xfId="6075"/>
    <cellStyle name="Percent 2 19 2 2" xfId="6076"/>
    <cellStyle name="Percent 2 19 3" xfId="6077"/>
    <cellStyle name="Percent 2 2" xfId="6078"/>
    <cellStyle name="Percent 2 2 10" xfId="6079"/>
    <cellStyle name="Percent 2 2 11" xfId="6080"/>
    <cellStyle name="Percent 2 2 12" xfId="6081"/>
    <cellStyle name="Percent 2 2 12 2" xfId="6082"/>
    <cellStyle name="Percent 2 2 13" xfId="6083"/>
    <cellStyle name="Percent 2 2 13 2" xfId="6084"/>
    <cellStyle name="Percent 2 2 14" xfId="6085"/>
    <cellStyle name="Percent 2 2 14 2" xfId="6086"/>
    <cellStyle name="Percent 2 2 15" xfId="6087"/>
    <cellStyle name="Percent 2 2 15 2" xfId="6088"/>
    <cellStyle name="Percent 2 2 16" xfId="6089"/>
    <cellStyle name="Percent 2 2 16 2" xfId="6090"/>
    <cellStyle name="Percent 2 2 17" xfId="6091"/>
    <cellStyle name="Percent 2 2 17 2" xfId="6092"/>
    <cellStyle name="Percent 2 2 18" xfId="6093"/>
    <cellStyle name="Percent 2 2 18 2" xfId="6094"/>
    <cellStyle name="Percent 2 2 19" xfId="6095"/>
    <cellStyle name="Percent 2 2 19 2" xfId="6096"/>
    <cellStyle name="Percent 2 2 2" xfId="6097"/>
    <cellStyle name="Percent 2 2 2 10" xfId="6098"/>
    <cellStyle name="Percent 2 2 2 10 2" xfId="6099"/>
    <cellStyle name="Percent 2 2 2 11" xfId="6100"/>
    <cellStyle name="Percent 2 2 2 12" xfId="6101"/>
    <cellStyle name="Percent 2 2 2 13" xfId="6102"/>
    <cellStyle name="Percent 2 2 2 14" xfId="6103"/>
    <cellStyle name="Percent 2 2 2 15" xfId="6104"/>
    <cellStyle name="Percent 2 2 2 16" xfId="6105"/>
    <cellStyle name="Percent 2 2 2 17" xfId="6106"/>
    <cellStyle name="Percent 2 2 2 18" xfId="6107"/>
    <cellStyle name="Percent 2 2 2 19" xfId="6108"/>
    <cellStyle name="Percent 2 2 2 2" xfId="6109"/>
    <cellStyle name="Percent 2 2 2 2 10" xfId="6110"/>
    <cellStyle name="Percent 2 2 2 2 11" xfId="6111"/>
    <cellStyle name="Percent 2 2 2 2 11 2" xfId="6112"/>
    <cellStyle name="Percent 2 2 2 2 12" xfId="6113"/>
    <cellStyle name="Percent 2 2 2 2 12 2" xfId="6114"/>
    <cellStyle name="Percent 2 2 2 2 13" xfId="6115"/>
    <cellStyle name="Percent 2 2 2 2 13 2" xfId="6116"/>
    <cellStyle name="Percent 2 2 2 2 14" xfId="6117"/>
    <cellStyle name="Percent 2 2 2 2 14 2" xfId="6118"/>
    <cellStyle name="Percent 2 2 2 2 15" xfId="6119"/>
    <cellStyle name="Percent 2 2 2 2 15 2" xfId="6120"/>
    <cellStyle name="Percent 2 2 2 2 16" xfId="6121"/>
    <cellStyle name="Percent 2 2 2 2 16 2" xfId="6122"/>
    <cellStyle name="Percent 2 2 2 2 17" xfId="6123"/>
    <cellStyle name="Percent 2 2 2 2 17 2" xfId="6124"/>
    <cellStyle name="Percent 2 2 2 2 18" xfId="6125"/>
    <cellStyle name="Percent 2 2 2 2 18 2" xfId="6126"/>
    <cellStyle name="Percent 2 2 2 2 19" xfId="6127"/>
    <cellStyle name="Percent 2 2 2 2 19 2" xfId="6128"/>
    <cellStyle name="Percent 2 2 2 2 2" xfId="6129"/>
    <cellStyle name="Percent 2 2 2 2 2 10" xfId="6130"/>
    <cellStyle name="Percent 2 2 2 2 2 11" xfId="6131"/>
    <cellStyle name="Percent 2 2 2 2 2 12" xfId="6132"/>
    <cellStyle name="Percent 2 2 2 2 2 13" xfId="6133"/>
    <cellStyle name="Percent 2 2 2 2 2 14" xfId="6134"/>
    <cellStyle name="Percent 2 2 2 2 2 15" xfId="6135"/>
    <cellStyle name="Percent 2 2 2 2 2 16" xfId="6136"/>
    <cellStyle name="Percent 2 2 2 2 2 17" xfId="6137"/>
    <cellStyle name="Percent 2 2 2 2 2 18" xfId="6138"/>
    <cellStyle name="Percent 2 2 2 2 2 19" xfId="6139"/>
    <cellStyle name="Percent 2 2 2 2 2 2" xfId="6140"/>
    <cellStyle name="Percent 2 2 2 2 2 3" xfId="6141"/>
    <cellStyle name="Percent 2 2 2 2 2 4" xfId="6142"/>
    <cellStyle name="Percent 2 2 2 2 2 5" xfId="6143"/>
    <cellStyle name="Percent 2 2 2 2 2 6" xfId="6144"/>
    <cellStyle name="Percent 2 2 2 2 2 7" xfId="6145"/>
    <cellStyle name="Percent 2 2 2 2 2 8" xfId="6146"/>
    <cellStyle name="Percent 2 2 2 2 2 9" xfId="6147"/>
    <cellStyle name="Percent 2 2 2 2 20" xfId="6148"/>
    <cellStyle name="Percent 2 2 2 2 20 2" xfId="6149"/>
    <cellStyle name="Percent 2 2 2 2 21" xfId="6150"/>
    <cellStyle name="Percent 2 2 2 2 21 2" xfId="6151"/>
    <cellStyle name="Percent 2 2 2 2 22" xfId="6152"/>
    <cellStyle name="Percent 2 2 2 2 22 2" xfId="6153"/>
    <cellStyle name="Percent 2 2 2 2 23" xfId="6154"/>
    <cellStyle name="Percent 2 2 2 2 23 2" xfId="6155"/>
    <cellStyle name="Percent 2 2 2 2 24" xfId="6156"/>
    <cellStyle name="Percent 2 2 2 2 24 2" xfId="6157"/>
    <cellStyle name="Percent 2 2 2 2 25" xfId="6158"/>
    <cellStyle name="Percent 2 2 2 2 25 2" xfId="6159"/>
    <cellStyle name="Percent 2 2 2 2 26" xfId="6160"/>
    <cellStyle name="Percent 2 2 2 2 26 2" xfId="6161"/>
    <cellStyle name="Percent 2 2 2 2 3" xfId="6162"/>
    <cellStyle name="Percent 2 2 2 2 4" xfId="6163"/>
    <cellStyle name="Percent 2 2 2 2 5" xfId="6164"/>
    <cellStyle name="Percent 2 2 2 2 6" xfId="6165"/>
    <cellStyle name="Percent 2 2 2 2 7" xfId="6166"/>
    <cellStyle name="Percent 2 2 2 2 8" xfId="6167"/>
    <cellStyle name="Percent 2 2 2 2 9" xfId="6168"/>
    <cellStyle name="Percent 2 2 2 20" xfId="6169"/>
    <cellStyle name="Percent 2 2 2 21" xfId="6170"/>
    <cellStyle name="Percent 2 2 2 22" xfId="6171"/>
    <cellStyle name="Percent 2 2 2 23" xfId="6172"/>
    <cellStyle name="Percent 2 2 2 24" xfId="6173"/>
    <cellStyle name="Percent 2 2 2 25" xfId="6174"/>
    <cellStyle name="Percent 2 2 2 26" xfId="6175"/>
    <cellStyle name="Percent 2 2 2 27" xfId="6176"/>
    <cellStyle name="Percent 2 2 2 3" xfId="6177"/>
    <cellStyle name="Percent 2 2 2 3 2" xfId="6178"/>
    <cellStyle name="Percent 2 2 2 4" xfId="6179"/>
    <cellStyle name="Percent 2 2 2 4 2" xfId="6180"/>
    <cellStyle name="Percent 2 2 2 5" xfId="6181"/>
    <cellStyle name="Percent 2 2 2 5 2" xfId="6182"/>
    <cellStyle name="Percent 2 2 2 6" xfId="6183"/>
    <cellStyle name="Percent 2 2 2 6 2" xfId="6184"/>
    <cellStyle name="Percent 2 2 2 7" xfId="6185"/>
    <cellStyle name="Percent 2 2 2 7 2" xfId="6186"/>
    <cellStyle name="Percent 2 2 2 8" xfId="6187"/>
    <cellStyle name="Percent 2 2 2 8 2" xfId="6188"/>
    <cellStyle name="Percent 2 2 2 9" xfId="6189"/>
    <cellStyle name="Percent 2 2 2 9 2" xfId="6190"/>
    <cellStyle name="Percent 2 2 20" xfId="6191"/>
    <cellStyle name="Percent 2 2 20 2" xfId="6192"/>
    <cellStyle name="Percent 2 2 21" xfId="6193"/>
    <cellStyle name="Percent 2 2 21 2" xfId="6194"/>
    <cellStyle name="Percent 2 2 22" xfId="6195"/>
    <cellStyle name="Percent 2 2 22 2" xfId="6196"/>
    <cellStyle name="Percent 2 2 23" xfId="6197"/>
    <cellStyle name="Percent 2 2 23 2" xfId="6198"/>
    <cellStyle name="Percent 2 2 24" xfId="6199"/>
    <cellStyle name="Percent 2 2 24 2" xfId="6200"/>
    <cellStyle name="Percent 2 2 25" xfId="6201"/>
    <cellStyle name="Percent 2 2 25 2" xfId="6202"/>
    <cellStyle name="Percent 2 2 26" xfId="6203"/>
    <cellStyle name="Percent 2 2 26 2" xfId="6204"/>
    <cellStyle name="Percent 2 2 27" xfId="6205"/>
    <cellStyle name="Percent 2 2 27 2" xfId="6206"/>
    <cellStyle name="Percent 2 2 28" xfId="6207"/>
    <cellStyle name="Percent 2 2 28 2" xfId="6208"/>
    <cellStyle name="Percent 2 2 29" xfId="6209"/>
    <cellStyle name="Percent 2 2 3" xfId="6210"/>
    <cellStyle name="Percent 2 2 3 2" xfId="6211"/>
    <cellStyle name="Percent 2 2 3 2 2" xfId="6212"/>
    <cellStyle name="Percent 2 2 3 3" xfId="6213"/>
    <cellStyle name="Percent 2 2 4" xfId="6214"/>
    <cellStyle name="Percent 2 2 4 2" xfId="6215"/>
    <cellStyle name="Percent 2 2 4 2 2" xfId="6216"/>
    <cellStyle name="Percent 2 2 4 3" xfId="6217"/>
    <cellStyle name="Percent 2 2 5" xfId="6218"/>
    <cellStyle name="Percent 2 2 5 2" xfId="6219"/>
    <cellStyle name="Percent 2 2 5 2 2" xfId="6220"/>
    <cellStyle name="Percent 2 2 5 3" xfId="6221"/>
    <cellStyle name="Percent 2 2 6" xfId="6222"/>
    <cellStyle name="Percent 2 2 6 2" xfId="6223"/>
    <cellStyle name="Percent 2 2 6 2 2" xfId="6224"/>
    <cellStyle name="Percent 2 2 6 3" xfId="6225"/>
    <cellStyle name="Percent 2 2 7" xfId="6226"/>
    <cellStyle name="Percent 2 2 7 2" xfId="6227"/>
    <cellStyle name="Percent 2 2 7 2 2" xfId="6228"/>
    <cellStyle name="Percent 2 2 7 3" xfId="6229"/>
    <cellStyle name="Percent 2 2 8" xfId="6230"/>
    <cellStyle name="Percent 2 2 8 2" xfId="6231"/>
    <cellStyle name="Percent 2 2 8 2 2" xfId="6232"/>
    <cellStyle name="Percent 2 2 8 3" xfId="6233"/>
    <cellStyle name="Percent 2 2 9" xfId="6234"/>
    <cellStyle name="Percent 2 2 9 2" xfId="6235"/>
    <cellStyle name="Percent 2 20" xfId="6236"/>
    <cellStyle name="Percent 2 20 2" xfId="6237"/>
    <cellStyle name="Percent 2 20 2 2" xfId="6238"/>
    <cellStyle name="Percent 2 20 3" xfId="6239"/>
    <cellStyle name="Percent 2 21" xfId="6240"/>
    <cellStyle name="Percent 2 21 2" xfId="6241"/>
    <cellStyle name="Percent 2 21 2 2" xfId="6242"/>
    <cellStyle name="Percent 2 21 3" xfId="6243"/>
    <cellStyle name="Percent 2 22" xfId="6244"/>
    <cellStyle name="Percent 2 22 2" xfId="6245"/>
    <cellStyle name="Percent 2 22 2 2" xfId="6246"/>
    <cellStyle name="Percent 2 22 3" xfId="6247"/>
    <cellStyle name="Percent 2 23" xfId="6248"/>
    <cellStyle name="Percent 2 23 2" xfId="6249"/>
    <cellStyle name="Percent 2 23 2 2" xfId="6250"/>
    <cellStyle name="Percent 2 23 3" xfId="6251"/>
    <cellStyle name="Percent 2 24" xfId="6252"/>
    <cellStyle name="Percent 2 24 2" xfId="6253"/>
    <cellStyle name="Percent 2 24 2 2" xfId="6254"/>
    <cellStyle name="Percent 2 24 3" xfId="6255"/>
    <cellStyle name="Percent 2 25" xfId="6256"/>
    <cellStyle name="Percent 2 25 2" xfId="6257"/>
    <cellStyle name="Percent 2 25 2 2" xfId="6258"/>
    <cellStyle name="Percent 2 25 3" xfId="6259"/>
    <cellStyle name="Percent 2 26" xfId="6260"/>
    <cellStyle name="Percent 2 26 2" xfId="6261"/>
    <cellStyle name="Percent 2 26 2 2" xfId="6262"/>
    <cellStyle name="Percent 2 26 3" xfId="6263"/>
    <cellStyle name="Percent 2 27" xfId="6264"/>
    <cellStyle name="Percent 2 27 2" xfId="6265"/>
    <cellStyle name="Percent 2 27 2 2" xfId="6266"/>
    <cellStyle name="Percent 2 27 3" xfId="6267"/>
    <cellStyle name="Percent 2 28" xfId="6268"/>
    <cellStyle name="Percent 2 28 2" xfId="6269"/>
    <cellStyle name="Percent 2 28 3" xfId="6270"/>
    <cellStyle name="Percent 2 29" xfId="6271"/>
    <cellStyle name="Percent 2 29 2" xfId="6272"/>
    <cellStyle name="Percent 2 3" xfId="6273"/>
    <cellStyle name="Percent 2 3 10" xfId="6274"/>
    <cellStyle name="Percent 2 3 11" xfId="6275"/>
    <cellStyle name="Percent 2 3 12" xfId="6276"/>
    <cellStyle name="Percent 2 3 13" xfId="6277"/>
    <cellStyle name="Percent 2 3 14" xfId="6278"/>
    <cellStyle name="Percent 2 3 15" xfId="6279"/>
    <cellStyle name="Percent 2 3 16" xfId="6280"/>
    <cellStyle name="Percent 2 3 17" xfId="6281"/>
    <cellStyle name="Percent 2 3 18" xfId="6282"/>
    <cellStyle name="Percent 2 3 19" xfId="6283"/>
    <cellStyle name="Percent 2 3 2" xfId="6284"/>
    <cellStyle name="Percent 2 3 2 2" xfId="6285"/>
    <cellStyle name="Percent 2 3 2 2 2" xfId="6286"/>
    <cellStyle name="Percent 2 3 2 2 2 2" xfId="6287"/>
    <cellStyle name="Percent 2 3 2 2 2 2 2" xfId="6288"/>
    <cellStyle name="Percent 2 3 2 2 2 3" xfId="6289"/>
    <cellStyle name="Percent 2 3 2 2 3" xfId="6290"/>
    <cellStyle name="Percent 2 3 2 2 3 2" xfId="6291"/>
    <cellStyle name="Percent 2 3 2 2 3 2 2" xfId="6292"/>
    <cellStyle name="Percent 2 3 2 2 3 3" xfId="6293"/>
    <cellStyle name="Percent 2 3 2 2 4" xfId="6294"/>
    <cellStyle name="Percent 2 3 2 2 4 2" xfId="6295"/>
    <cellStyle name="Percent 2 3 2 2 4 2 2" xfId="6296"/>
    <cellStyle name="Percent 2 3 2 2 4 3" xfId="6297"/>
    <cellStyle name="Percent 2 3 2 2 5" xfId="6298"/>
    <cellStyle name="Percent 2 3 2 2 5 2" xfId="6299"/>
    <cellStyle name="Percent 2 3 2 2 5 2 2" xfId="6300"/>
    <cellStyle name="Percent 2 3 2 2 5 3" xfId="6301"/>
    <cellStyle name="Percent 2 3 2 3" xfId="6302"/>
    <cellStyle name="Percent 2 3 2 4" xfId="6303"/>
    <cellStyle name="Percent 2 3 2 4 2" xfId="6304"/>
    <cellStyle name="Percent 2 3 2 5" xfId="6305"/>
    <cellStyle name="Percent 2 3 2 6" xfId="6306"/>
    <cellStyle name="Percent 2 3 2 6 2" xfId="6307"/>
    <cellStyle name="Percent 2 3 2 6 3" xfId="6308"/>
    <cellStyle name="Percent 2 3 2 7" xfId="6309"/>
    <cellStyle name="Percent 2 3 2 8" xfId="6310"/>
    <cellStyle name="Percent 2 3 3" xfId="6311"/>
    <cellStyle name="Percent 2 3 3 2" xfId="6312"/>
    <cellStyle name="Percent 2 3 3 2 2" xfId="6313"/>
    <cellStyle name="Percent 2 3 3 3" xfId="6314"/>
    <cellStyle name="Percent 2 3 3 4" xfId="6315"/>
    <cellStyle name="Percent 2 3 4" xfId="6316"/>
    <cellStyle name="Percent 2 3 4 2" xfId="6317"/>
    <cellStyle name="Percent 2 3 4 2 2" xfId="6318"/>
    <cellStyle name="Percent 2 3 4 3" xfId="6319"/>
    <cellStyle name="Percent 2 3 4 4" xfId="6320"/>
    <cellStyle name="Percent 2 3 5" xfId="6321"/>
    <cellStyle name="Percent 2 3 5 2" xfId="6322"/>
    <cellStyle name="Percent 2 3 5 2 2" xfId="6323"/>
    <cellStyle name="Percent 2 3 5 3" xfId="6324"/>
    <cellStyle name="Percent 2 3 5 4" xfId="6325"/>
    <cellStyle name="Percent 2 3 6" xfId="6326"/>
    <cellStyle name="Percent 2 3 6 2" xfId="6327"/>
    <cellStyle name="Percent 2 3 6 2 2" xfId="6328"/>
    <cellStyle name="Percent 2 3 6 3" xfId="6329"/>
    <cellStyle name="Percent 2 3 6 4" xfId="6330"/>
    <cellStyle name="Percent 2 3 7" xfId="6331"/>
    <cellStyle name="Percent 2 3 8" xfId="6332"/>
    <cellStyle name="Percent 2 3 9" xfId="6333"/>
    <cellStyle name="Percent 2 30" xfId="6334"/>
    <cellStyle name="Percent 2 30 2" xfId="6335"/>
    <cellStyle name="Percent 2 31" xfId="6336"/>
    <cellStyle name="Percent 2 31 2" xfId="6337"/>
    <cellStyle name="Percent 2 32" xfId="6338"/>
    <cellStyle name="Percent 2 32 2" xfId="6339"/>
    <cellStyle name="Percent 2 33" xfId="6340"/>
    <cellStyle name="Percent 2 33 2" xfId="6341"/>
    <cellStyle name="Percent 2 34" xfId="6342"/>
    <cellStyle name="Percent 2 34 2" xfId="6343"/>
    <cellStyle name="Percent 2 35" xfId="6344"/>
    <cellStyle name="Percent 2 35 2" xfId="6345"/>
    <cellStyle name="Percent 2 36" xfId="6346"/>
    <cellStyle name="Percent 2 36 2" xfId="6347"/>
    <cellStyle name="Percent 2 37" xfId="6348"/>
    <cellStyle name="Percent 2 37 2" xfId="6349"/>
    <cellStyle name="Percent 2 38" xfId="6350"/>
    <cellStyle name="Percent 2 38 2" xfId="6351"/>
    <cellStyle name="Percent 2 39" xfId="6352"/>
    <cellStyle name="Percent 2 39 2" xfId="6353"/>
    <cellStyle name="Percent 2 4" xfId="6354"/>
    <cellStyle name="Percent 2 4 2" xfId="6355"/>
    <cellStyle name="Percent 2 4 2 2" xfId="6356"/>
    <cellStyle name="Percent 2 4 2 2 2" xfId="6357"/>
    <cellStyle name="Percent 2 4 2 3" xfId="6358"/>
    <cellStyle name="Percent 2 4 2 4" xfId="6359"/>
    <cellStyle name="Percent 2 4 2 5" xfId="6360"/>
    <cellStyle name="Percent 2 4 3" xfId="6361"/>
    <cellStyle name="Percent 2 4 4" xfId="6362"/>
    <cellStyle name="Percent 2 4 5" xfId="6363"/>
    <cellStyle name="Percent 2 4 6" xfId="6364"/>
    <cellStyle name="Percent 2 40" xfId="6365"/>
    <cellStyle name="Percent 2 40 2" xfId="6366"/>
    <cellStyle name="Percent 2 41" xfId="6367"/>
    <cellStyle name="Percent 2 41 2" xfId="6368"/>
    <cellStyle name="Percent 2 42" xfId="6369"/>
    <cellStyle name="Percent 2 42 2" xfId="6370"/>
    <cellStyle name="Percent 2 43" xfId="6371"/>
    <cellStyle name="Percent 2 43 2" xfId="6372"/>
    <cellStyle name="Percent 2 44" xfId="6373"/>
    <cellStyle name="Percent 2 44 2" xfId="6374"/>
    <cellStyle name="Percent 2 45" xfId="6375"/>
    <cellStyle name="Percent 2 45 2" xfId="6376"/>
    <cellStyle name="Percent 2 46" xfId="6377"/>
    <cellStyle name="Percent 2 46 2" xfId="6378"/>
    <cellStyle name="Percent 2 47" xfId="6379"/>
    <cellStyle name="Percent 2 47 2" xfId="6380"/>
    <cellStyle name="Percent 2 48" xfId="6381"/>
    <cellStyle name="Percent 2 48 2" xfId="6382"/>
    <cellStyle name="Percent 2 49" xfId="6383"/>
    <cellStyle name="Percent 2 49 2" xfId="6384"/>
    <cellStyle name="Percent 2 5" xfId="6385"/>
    <cellStyle name="Percent 2 5 2" xfId="6386"/>
    <cellStyle name="Percent 2 5 2 2" xfId="6387"/>
    <cellStyle name="Percent 2 5 3" xfId="6388"/>
    <cellStyle name="Percent 2 50" xfId="6389"/>
    <cellStyle name="Percent 2 50 2" xfId="6390"/>
    <cellStyle name="Percent 2 51" xfId="6391"/>
    <cellStyle name="Percent 2 51 2" xfId="6392"/>
    <cellStyle name="Percent 2 52" xfId="6393"/>
    <cellStyle name="Percent 2 52 2" xfId="6394"/>
    <cellStyle name="Percent 2 53" xfId="6395"/>
    <cellStyle name="Percent 2 53 2" xfId="6396"/>
    <cellStyle name="Percent 2 54" xfId="6397"/>
    <cellStyle name="Percent 2 54 2" xfId="6398"/>
    <cellStyle name="Percent 2 55" xfId="6399"/>
    <cellStyle name="Percent 2 56" xfId="6400"/>
    <cellStyle name="Percent 2 56 2" xfId="6401"/>
    <cellStyle name="Percent 2 57" xfId="6402"/>
    <cellStyle name="Percent 2 57 2" xfId="6403"/>
    <cellStyle name="Percent 2 58" xfId="6404"/>
    <cellStyle name="Percent 2 58 2" xfId="6405"/>
    <cellStyle name="Percent 2 59" xfId="6406"/>
    <cellStyle name="Percent 2 59 2" xfId="6407"/>
    <cellStyle name="Percent 2 6" xfId="6408"/>
    <cellStyle name="Percent 2 6 2" xfId="6409"/>
    <cellStyle name="Percent 2 6 2 2" xfId="6410"/>
    <cellStyle name="Percent 2 6 3" xfId="6411"/>
    <cellStyle name="Percent 2 60" xfId="6412"/>
    <cellStyle name="Percent 2 60 2" xfId="6413"/>
    <cellStyle name="Percent 2 61" xfId="6414"/>
    <cellStyle name="Percent 2 61 2" xfId="6415"/>
    <cellStyle name="Percent 2 62" xfId="6416"/>
    <cellStyle name="Percent 2 62 2" xfId="6417"/>
    <cellStyle name="Percent 2 63" xfId="6418"/>
    <cellStyle name="Percent 2 63 2" xfId="6419"/>
    <cellStyle name="Percent 2 63 2 2" xfId="6420"/>
    <cellStyle name="Percent 2 64" xfId="6421"/>
    <cellStyle name="Percent 2 65" xfId="6422"/>
    <cellStyle name="Percent 2 66" xfId="6423"/>
    <cellStyle name="Percent 2 67" xfId="6424"/>
    <cellStyle name="Percent 2 68" xfId="6425"/>
    <cellStyle name="Percent 2 69" xfId="6426"/>
    <cellStyle name="Percent 2 7" xfId="6427"/>
    <cellStyle name="Percent 2 7 2" xfId="6428"/>
    <cellStyle name="Percent 2 7 2 2" xfId="6429"/>
    <cellStyle name="Percent 2 7 3" xfId="6430"/>
    <cellStyle name="Percent 2 70" xfId="6431"/>
    <cellStyle name="Percent 2 71" xfId="6432"/>
    <cellStyle name="Percent 2 72" xfId="6433"/>
    <cellStyle name="Percent 2 73" xfId="6434"/>
    <cellStyle name="Percent 2 74" xfId="6435"/>
    <cellStyle name="Percent 2 75" xfId="6436"/>
    <cellStyle name="Percent 2 76" xfId="6437"/>
    <cellStyle name="Percent 2 77" xfId="6438"/>
    <cellStyle name="Percent 2 78" xfId="6439"/>
    <cellStyle name="Percent 2 79" xfId="6440"/>
    <cellStyle name="Percent 2 8" xfId="6441"/>
    <cellStyle name="Percent 2 8 2" xfId="6442"/>
    <cellStyle name="Percent 2 8 2 2" xfId="6443"/>
    <cellStyle name="Percent 2 8 3" xfId="6444"/>
    <cellStyle name="Percent 2 80" xfId="6445"/>
    <cellStyle name="Percent 2 81" xfId="6446"/>
    <cellStyle name="Percent 2 82" xfId="6447"/>
    <cellStyle name="Percent 2 83" xfId="6448"/>
    <cellStyle name="Percent 2 84" xfId="6449"/>
    <cellStyle name="Percent 2 85" xfId="6450"/>
    <cellStyle name="Percent 2 86" xfId="6451"/>
    <cellStyle name="Percent 2 87" xfId="6452"/>
    <cellStyle name="Percent 2 88" xfId="6453"/>
    <cellStyle name="Percent 2 89" xfId="6454"/>
    <cellStyle name="Percent 2 9" xfId="6455"/>
    <cellStyle name="Percent 2 9 2" xfId="6456"/>
    <cellStyle name="Percent 2 9 2 2" xfId="6457"/>
    <cellStyle name="Percent 2 9 3" xfId="6458"/>
    <cellStyle name="Percent 2 90" xfId="6459"/>
    <cellStyle name="Percent 2 91" xfId="6460"/>
    <cellStyle name="Percent 2 92" xfId="6461"/>
    <cellStyle name="Percent 2 93" xfId="6462"/>
    <cellStyle name="Percent 2 94" xfId="6463"/>
    <cellStyle name="Percent 2 95" xfId="6464"/>
    <cellStyle name="Percent 2 96" xfId="6465"/>
    <cellStyle name="Percent 2 97" xfId="6466"/>
    <cellStyle name="Percent 2 98" xfId="6467"/>
    <cellStyle name="Percent 2 99" xfId="6468"/>
    <cellStyle name="Percent 20" xfId="6469"/>
    <cellStyle name="Percent 20 2" xfId="6470"/>
    <cellStyle name="Percent 21" xfId="6471"/>
    <cellStyle name="Percent 21 2" xfId="6472"/>
    <cellStyle name="Percent 22" xfId="6473"/>
    <cellStyle name="Percent 23" xfId="6474"/>
    <cellStyle name="Percent 24" xfId="6475"/>
    <cellStyle name="Percent 25" xfId="6476"/>
    <cellStyle name="Percent 26" xfId="6477"/>
    <cellStyle name="Percent 26 2" xfId="6478"/>
    <cellStyle name="Percent 27" xfId="6479"/>
    <cellStyle name="Percent 28" xfId="6480"/>
    <cellStyle name="Percent 29" xfId="6481"/>
    <cellStyle name="Percent 3" xfId="40"/>
    <cellStyle name="Percent 3 10" xfId="6482"/>
    <cellStyle name="Percent 3 10 2" xfId="6483"/>
    <cellStyle name="Percent 3 10 2 2" xfId="6484"/>
    <cellStyle name="Percent 3 10 3" xfId="6485"/>
    <cellStyle name="Percent 3 100" xfId="6486"/>
    <cellStyle name="Percent 3 101" xfId="6487"/>
    <cellStyle name="Percent 3 102" xfId="6488"/>
    <cellStyle name="Percent 3 103" xfId="6489"/>
    <cellStyle name="Percent 3 104" xfId="6490"/>
    <cellStyle name="Percent 3 105" xfId="6491"/>
    <cellStyle name="Percent 3 106" xfId="6492"/>
    <cellStyle name="Percent 3 107" xfId="6493"/>
    <cellStyle name="Percent 3 108" xfId="6494"/>
    <cellStyle name="Percent 3 109" xfId="6495"/>
    <cellStyle name="Percent 3 11" xfId="6496"/>
    <cellStyle name="Percent 3 11 2" xfId="6497"/>
    <cellStyle name="Percent 3 11 2 2" xfId="6498"/>
    <cellStyle name="Percent 3 11 3" xfId="6499"/>
    <cellStyle name="Percent 3 110" xfId="6500"/>
    <cellStyle name="Percent 3 111" xfId="6501"/>
    <cellStyle name="Percent 3 112" xfId="6502"/>
    <cellStyle name="Percent 3 113" xfId="6503"/>
    <cellStyle name="Percent 3 114" xfId="6504"/>
    <cellStyle name="Percent 3 115" xfId="6505"/>
    <cellStyle name="Percent 3 116" xfId="6506"/>
    <cellStyle name="Percent 3 117" xfId="6507"/>
    <cellStyle name="Percent 3 118" xfId="6508"/>
    <cellStyle name="Percent 3 119" xfId="6509"/>
    <cellStyle name="Percent 3 12" xfId="6510"/>
    <cellStyle name="Percent 3 12 2" xfId="6511"/>
    <cellStyle name="Percent 3 12 2 2" xfId="6512"/>
    <cellStyle name="Percent 3 12 3" xfId="6513"/>
    <cellStyle name="Percent 3 120" xfId="6514"/>
    <cellStyle name="Percent 3 121" xfId="6515"/>
    <cellStyle name="Percent 3 122" xfId="6516"/>
    <cellStyle name="Percent 3 123" xfId="6517"/>
    <cellStyle name="Percent 3 124" xfId="6518"/>
    <cellStyle name="Percent 3 125" xfId="6519"/>
    <cellStyle name="Percent 3 126" xfId="6520"/>
    <cellStyle name="Percent 3 127" xfId="6521"/>
    <cellStyle name="Percent 3 128" xfId="6522"/>
    <cellStyle name="Percent 3 129" xfId="6523"/>
    <cellStyle name="Percent 3 13" xfId="6524"/>
    <cellStyle name="Percent 3 13 2" xfId="6525"/>
    <cellStyle name="Percent 3 13 2 2" xfId="6526"/>
    <cellStyle name="Percent 3 13 3" xfId="6527"/>
    <cellStyle name="Percent 3 130" xfId="6528"/>
    <cellStyle name="Percent 3 131" xfId="6529"/>
    <cellStyle name="Percent 3 132" xfId="6530"/>
    <cellStyle name="Percent 3 133" xfId="6531"/>
    <cellStyle name="Percent 3 134" xfId="6532"/>
    <cellStyle name="Percent 3 135" xfId="6533"/>
    <cellStyle name="Percent 3 136" xfId="6534"/>
    <cellStyle name="Percent 3 137" xfId="6535"/>
    <cellStyle name="Percent 3 138" xfId="6536"/>
    <cellStyle name="Percent 3 139" xfId="6537"/>
    <cellStyle name="Percent 3 14" xfId="6538"/>
    <cellStyle name="Percent 3 14 2" xfId="6539"/>
    <cellStyle name="Percent 3 14 2 2" xfId="6540"/>
    <cellStyle name="Percent 3 14 3" xfId="6541"/>
    <cellStyle name="Percent 3 140" xfId="6542"/>
    <cellStyle name="Percent 3 141" xfId="6543"/>
    <cellStyle name="Percent 3 142" xfId="6544"/>
    <cellStyle name="Percent 3 143" xfId="6545"/>
    <cellStyle name="Percent 3 144" xfId="6546"/>
    <cellStyle name="Percent 3 145" xfId="6547"/>
    <cellStyle name="Percent 3 146" xfId="6548"/>
    <cellStyle name="Percent 3 147" xfId="6549"/>
    <cellStyle name="Percent 3 148" xfId="6550"/>
    <cellStyle name="Percent 3 149" xfId="6551"/>
    <cellStyle name="Percent 3 15" xfId="6552"/>
    <cellStyle name="Percent 3 15 2" xfId="6553"/>
    <cellStyle name="Percent 3 15 2 2" xfId="6554"/>
    <cellStyle name="Percent 3 15 3" xfId="6555"/>
    <cellStyle name="Percent 3 150" xfId="6556"/>
    <cellStyle name="Percent 3 151" xfId="6557"/>
    <cellStyle name="Percent 3 152" xfId="6558"/>
    <cellStyle name="Percent 3 153" xfId="6559"/>
    <cellStyle name="Percent 3 154" xfId="7422"/>
    <cellStyle name="Percent 3 16" xfId="6560"/>
    <cellStyle name="Percent 3 16 2" xfId="6561"/>
    <cellStyle name="Percent 3 16 2 2" xfId="6562"/>
    <cellStyle name="Percent 3 16 3" xfId="6563"/>
    <cellStyle name="Percent 3 17" xfId="6564"/>
    <cellStyle name="Percent 3 17 2" xfId="6565"/>
    <cellStyle name="Percent 3 17 2 2" xfId="6566"/>
    <cellStyle name="Percent 3 17 3" xfId="6567"/>
    <cellStyle name="Percent 3 18" xfId="6568"/>
    <cellStyle name="Percent 3 18 2" xfId="6569"/>
    <cellStyle name="Percent 3 18 2 2" xfId="6570"/>
    <cellStyle name="Percent 3 18 3" xfId="6571"/>
    <cellStyle name="Percent 3 19" xfId="6572"/>
    <cellStyle name="Percent 3 19 2" xfId="6573"/>
    <cellStyle name="Percent 3 19 2 2" xfId="6574"/>
    <cellStyle name="Percent 3 19 3" xfId="6575"/>
    <cellStyle name="Percent 3 2" xfId="6576"/>
    <cellStyle name="Percent 3 2 10" xfId="6577"/>
    <cellStyle name="Percent 3 2 10 2" xfId="6578"/>
    <cellStyle name="Percent 3 2 11" xfId="6579"/>
    <cellStyle name="Percent 3 2 11 2" xfId="6580"/>
    <cellStyle name="Percent 3 2 12" xfId="6581"/>
    <cellStyle name="Percent 3 2 12 2" xfId="6582"/>
    <cellStyle name="Percent 3 2 12 2 2" xfId="6583"/>
    <cellStyle name="Percent 3 2 12 3" xfId="6584"/>
    <cellStyle name="Percent 3 2 13" xfId="6585"/>
    <cellStyle name="Percent 3 2 13 2" xfId="6586"/>
    <cellStyle name="Percent 3 2 14" xfId="6587"/>
    <cellStyle name="Percent 3 2 14 2" xfId="6588"/>
    <cellStyle name="Percent 3 2 14 2 2" xfId="6589"/>
    <cellStyle name="Percent 3 2 14 3" xfId="6590"/>
    <cellStyle name="Percent 3 2 15" xfId="6591"/>
    <cellStyle name="Percent 3 2 15 2" xfId="6592"/>
    <cellStyle name="Percent 3 2 15 2 2" xfId="6593"/>
    <cellStyle name="Percent 3 2 15 3" xfId="6594"/>
    <cellStyle name="Percent 3 2 16" xfId="6595"/>
    <cellStyle name="Percent 3 2 16 2" xfId="6596"/>
    <cellStyle name="Percent 3 2 16 2 2" xfId="6597"/>
    <cellStyle name="Percent 3 2 16 3" xfId="6598"/>
    <cellStyle name="Percent 3 2 17" xfId="6599"/>
    <cellStyle name="Percent 3 2 17 2" xfId="6600"/>
    <cellStyle name="Percent 3 2 17 2 2" xfId="6601"/>
    <cellStyle name="Percent 3 2 17 3" xfId="6602"/>
    <cellStyle name="Percent 3 2 18" xfId="6603"/>
    <cellStyle name="Percent 3 2 19" xfId="6604"/>
    <cellStyle name="Percent 3 2 2" xfId="6605"/>
    <cellStyle name="Percent 3 2 2 10" xfId="6606"/>
    <cellStyle name="Percent 3 2 2 10 2" xfId="6607"/>
    <cellStyle name="Percent 3 2 2 11" xfId="6608"/>
    <cellStyle name="Percent 3 2 2 11 2" xfId="6609"/>
    <cellStyle name="Percent 3 2 2 12" xfId="6610"/>
    <cellStyle name="Percent 3 2 2 12 2" xfId="6611"/>
    <cellStyle name="Percent 3 2 2 13" xfId="6612"/>
    <cellStyle name="Percent 3 2 2 13 2" xfId="6613"/>
    <cellStyle name="Percent 3 2 2 14" xfId="6614"/>
    <cellStyle name="Percent 3 2 2 14 2" xfId="6615"/>
    <cellStyle name="Percent 3 2 2 15" xfId="6616"/>
    <cellStyle name="Percent 3 2 2 15 2" xfId="6617"/>
    <cellStyle name="Percent 3 2 2 16" xfId="6618"/>
    <cellStyle name="Percent 3 2 2 17" xfId="6619"/>
    <cellStyle name="Percent 3 2 2 18" xfId="6620"/>
    <cellStyle name="Percent 3 2 2 18 2" xfId="6621"/>
    <cellStyle name="Percent 3 2 2 19" xfId="6622"/>
    <cellStyle name="Percent 3 2 2 2" xfId="6623"/>
    <cellStyle name="Percent 3 2 2 2 10" xfId="6624"/>
    <cellStyle name="Percent 3 2 2 2 10 2" xfId="6625"/>
    <cellStyle name="Percent 3 2 2 2 10 2 2" xfId="6626"/>
    <cellStyle name="Percent 3 2 2 2 10 3" xfId="6627"/>
    <cellStyle name="Percent 3 2 2 2 11" xfId="6628"/>
    <cellStyle name="Percent 3 2 2 2 11 2" xfId="6629"/>
    <cellStyle name="Percent 3 2 2 2 11 2 2" xfId="6630"/>
    <cellStyle name="Percent 3 2 2 2 11 3" xfId="6631"/>
    <cellStyle name="Percent 3 2 2 2 12" xfId="6632"/>
    <cellStyle name="Percent 3 2 2 2 12 2" xfId="6633"/>
    <cellStyle name="Percent 3 2 2 2 12 2 2" xfId="6634"/>
    <cellStyle name="Percent 3 2 2 2 12 3" xfId="6635"/>
    <cellStyle name="Percent 3 2 2 2 13" xfId="6636"/>
    <cellStyle name="Percent 3 2 2 2 13 2" xfId="6637"/>
    <cellStyle name="Percent 3 2 2 2 13 2 2" xfId="6638"/>
    <cellStyle name="Percent 3 2 2 2 13 3" xfId="6639"/>
    <cellStyle name="Percent 3 2 2 2 14" xfId="6640"/>
    <cellStyle name="Percent 3 2 2 2 14 2" xfId="6641"/>
    <cellStyle name="Percent 3 2 2 2 14 2 2" xfId="6642"/>
    <cellStyle name="Percent 3 2 2 2 14 3" xfId="6643"/>
    <cellStyle name="Percent 3 2 2 2 15" xfId="6644"/>
    <cellStyle name="Percent 3 2 2 2 15 2" xfId="6645"/>
    <cellStyle name="Percent 3 2 2 2 15 2 2" xfId="6646"/>
    <cellStyle name="Percent 3 2 2 2 15 3" xfId="6647"/>
    <cellStyle name="Percent 3 2 2 2 16" xfId="6648"/>
    <cellStyle name="Percent 3 2 2 2 16 2" xfId="6649"/>
    <cellStyle name="Percent 3 2 2 2 16 2 2" xfId="6650"/>
    <cellStyle name="Percent 3 2 2 2 16 3" xfId="6651"/>
    <cellStyle name="Percent 3 2 2 2 16 4" xfId="6652"/>
    <cellStyle name="Percent 3 2 2 2 17" xfId="6653"/>
    <cellStyle name="Percent 3 2 2 2 17 2" xfId="6654"/>
    <cellStyle name="Percent 3 2 2 2 17 2 2" xfId="6655"/>
    <cellStyle name="Percent 3 2 2 2 17 3" xfId="6656"/>
    <cellStyle name="Percent 3 2 2 2 2" xfId="6657"/>
    <cellStyle name="Percent 3 2 2 2 2 2" xfId="6658"/>
    <cellStyle name="Percent 3 2 2 2 2 2 2" xfId="6659"/>
    <cellStyle name="Percent 3 2 2 2 2 2 2 2" xfId="6660"/>
    <cellStyle name="Percent 3 2 2 2 2 2 2 2 2" xfId="6661"/>
    <cellStyle name="Percent 3 2 2 2 2 2 2 3" xfId="6662"/>
    <cellStyle name="Percent 3 2 2 2 2 2 3" xfId="6663"/>
    <cellStyle name="Percent 3 2 2 2 2 2 3 2" xfId="6664"/>
    <cellStyle name="Percent 3 2 2 2 2 2 3 2 2" xfId="6665"/>
    <cellStyle name="Percent 3 2 2 2 2 2 3 3" xfId="6666"/>
    <cellStyle name="Percent 3 2 2 2 2 2 4" xfId="6667"/>
    <cellStyle name="Percent 3 2 2 2 2 2 4 2" xfId="6668"/>
    <cellStyle name="Percent 3 2 2 2 2 2 4 2 2" xfId="6669"/>
    <cellStyle name="Percent 3 2 2 2 2 2 4 3" xfId="6670"/>
    <cellStyle name="Percent 3 2 2 2 2 2 5" xfId="6671"/>
    <cellStyle name="Percent 3 2 2 2 2 2 5 2" xfId="6672"/>
    <cellStyle name="Percent 3 2 2 2 2 2 5 2 2" xfId="6673"/>
    <cellStyle name="Percent 3 2 2 2 2 2 5 3" xfId="6674"/>
    <cellStyle name="Percent 3 2 2 2 2 2 6" xfId="6675"/>
    <cellStyle name="Percent 3 2 2 2 2 3" xfId="6676"/>
    <cellStyle name="Percent 3 2 2 2 2 3 2" xfId="6677"/>
    <cellStyle name="Percent 3 2 2 2 2 4" xfId="6678"/>
    <cellStyle name="Percent 3 2 2 2 2 4 2" xfId="6679"/>
    <cellStyle name="Percent 3 2 2 2 2 5" xfId="6680"/>
    <cellStyle name="Percent 3 2 2 2 2 5 2" xfId="6681"/>
    <cellStyle name="Percent 3 2 2 2 2 6" xfId="6682"/>
    <cellStyle name="Percent 3 2 2 2 2 6 2" xfId="6683"/>
    <cellStyle name="Percent 3 2 2 2 2 7" xfId="6684"/>
    <cellStyle name="Percent 3 2 2 2 3" xfId="6685"/>
    <cellStyle name="Percent 3 2 2 2 3 2" xfId="6686"/>
    <cellStyle name="Percent 3 2 2 2 3 2 2" xfId="6687"/>
    <cellStyle name="Percent 3 2 2 2 3 3" xfId="6688"/>
    <cellStyle name="Percent 3 2 2 2 4" xfId="6689"/>
    <cellStyle name="Percent 3 2 2 2 4 2" xfId="6690"/>
    <cellStyle name="Percent 3 2 2 2 4 2 2" xfId="6691"/>
    <cellStyle name="Percent 3 2 2 2 4 3" xfId="6692"/>
    <cellStyle name="Percent 3 2 2 2 5" xfId="6693"/>
    <cellStyle name="Percent 3 2 2 2 5 2" xfId="6694"/>
    <cellStyle name="Percent 3 2 2 2 5 2 2" xfId="6695"/>
    <cellStyle name="Percent 3 2 2 2 5 3" xfId="6696"/>
    <cellStyle name="Percent 3 2 2 2 6" xfId="6697"/>
    <cellStyle name="Percent 3 2 2 2 6 2" xfId="6698"/>
    <cellStyle name="Percent 3 2 2 2 6 2 2" xfId="6699"/>
    <cellStyle name="Percent 3 2 2 2 6 3" xfId="6700"/>
    <cellStyle name="Percent 3 2 2 2 7" xfId="6701"/>
    <cellStyle name="Percent 3 2 2 2 7 2" xfId="6702"/>
    <cellStyle name="Percent 3 2 2 2 7 2 2" xfId="6703"/>
    <cellStyle name="Percent 3 2 2 2 7 3" xfId="6704"/>
    <cellStyle name="Percent 3 2 2 2 8" xfId="6705"/>
    <cellStyle name="Percent 3 2 2 2 8 2" xfId="6706"/>
    <cellStyle name="Percent 3 2 2 2 8 2 2" xfId="6707"/>
    <cellStyle name="Percent 3 2 2 2 8 3" xfId="6708"/>
    <cellStyle name="Percent 3 2 2 2 9" xfId="6709"/>
    <cellStyle name="Percent 3 2 2 2 9 2" xfId="6710"/>
    <cellStyle name="Percent 3 2 2 2 9 2 2" xfId="6711"/>
    <cellStyle name="Percent 3 2 2 2 9 3" xfId="6712"/>
    <cellStyle name="Percent 3 2 2 3" xfId="6713"/>
    <cellStyle name="Percent 3 2 2 3 2" xfId="6714"/>
    <cellStyle name="Percent 3 2 2 4" xfId="6715"/>
    <cellStyle name="Percent 3 2 2 4 2" xfId="6716"/>
    <cellStyle name="Percent 3 2 2 5" xfId="6717"/>
    <cellStyle name="Percent 3 2 2 5 2" xfId="6718"/>
    <cellStyle name="Percent 3 2 2 6" xfId="6719"/>
    <cellStyle name="Percent 3 2 2 6 2" xfId="6720"/>
    <cellStyle name="Percent 3 2 2 7" xfId="6721"/>
    <cellStyle name="Percent 3 2 2 7 2" xfId="6722"/>
    <cellStyle name="Percent 3 2 2 8" xfId="6723"/>
    <cellStyle name="Percent 3 2 2 8 2" xfId="6724"/>
    <cellStyle name="Percent 3 2 2 9" xfId="6725"/>
    <cellStyle name="Percent 3 2 2 9 2" xfId="6726"/>
    <cellStyle name="Percent 3 2 20" xfId="6727"/>
    <cellStyle name="Percent 3 2 21" xfId="7505"/>
    <cellStyle name="Percent 3 2 3" xfId="6728"/>
    <cellStyle name="Percent 3 2 3 2" xfId="6729"/>
    <cellStyle name="Percent 3 2 4" xfId="6730"/>
    <cellStyle name="Percent 3 2 4 2" xfId="6731"/>
    <cellStyle name="Percent 3 2 5" xfId="6732"/>
    <cellStyle name="Percent 3 2 5 2" xfId="6733"/>
    <cellStyle name="Percent 3 2 6" xfId="6734"/>
    <cellStyle name="Percent 3 2 6 2" xfId="6735"/>
    <cellStyle name="Percent 3 2 7" xfId="6736"/>
    <cellStyle name="Percent 3 2 7 2" xfId="6737"/>
    <cellStyle name="Percent 3 2 8" xfId="6738"/>
    <cellStyle name="Percent 3 2 8 2" xfId="6739"/>
    <cellStyle name="Percent 3 2 9" xfId="6740"/>
    <cellStyle name="Percent 3 2 9 2" xfId="6741"/>
    <cellStyle name="Percent 3 20" xfId="6742"/>
    <cellStyle name="Percent 3 20 2" xfId="6743"/>
    <cellStyle name="Percent 3 20 3" xfId="6744"/>
    <cellStyle name="Percent 3 21" xfId="6745"/>
    <cellStyle name="Percent 3 21 2" xfId="6746"/>
    <cellStyle name="Percent 3 21 3" xfId="6747"/>
    <cellStyle name="Percent 3 22" xfId="6748"/>
    <cellStyle name="Percent 3 22 2" xfId="6749"/>
    <cellStyle name="Percent 3 23" xfId="6750"/>
    <cellStyle name="Percent 3 23 2" xfId="6751"/>
    <cellStyle name="Percent 3 24" xfId="6752"/>
    <cellStyle name="Percent 3 24 2" xfId="6753"/>
    <cellStyle name="Percent 3 25" xfId="6754"/>
    <cellStyle name="Percent 3 25 2" xfId="6755"/>
    <cellStyle name="Percent 3 26" xfId="6756"/>
    <cellStyle name="Percent 3 26 2" xfId="6757"/>
    <cellStyle name="Percent 3 27" xfId="6758"/>
    <cellStyle name="Percent 3 27 2" xfId="6759"/>
    <cellStyle name="Percent 3 28" xfId="6760"/>
    <cellStyle name="Percent 3 28 2" xfId="6761"/>
    <cellStyle name="Percent 3 29" xfId="6762"/>
    <cellStyle name="Percent 3 29 2" xfId="6763"/>
    <cellStyle name="Percent 3 3" xfId="6764"/>
    <cellStyle name="Percent 3 3 2" xfId="6765"/>
    <cellStyle name="Percent 3 3 2 2" xfId="6766"/>
    <cellStyle name="Percent 3 3 2 2 2" xfId="6767"/>
    <cellStyle name="Percent 3 3 2 3" xfId="6768"/>
    <cellStyle name="Percent 3 3 2 4" xfId="6769"/>
    <cellStyle name="Percent 3 3 2 5" xfId="6770"/>
    <cellStyle name="Percent 3 3 3" xfId="6771"/>
    <cellStyle name="Percent 3 3 4" xfId="6772"/>
    <cellStyle name="Percent 3 3 5" xfId="6773"/>
    <cellStyle name="Percent 3 3 6" xfId="6774"/>
    <cellStyle name="Percent 3 3 6 2" xfId="6775"/>
    <cellStyle name="Percent 3 3 7" xfId="6776"/>
    <cellStyle name="Percent 3 30" xfId="6777"/>
    <cellStyle name="Percent 3 30 2" xfId="6778"/>
    <cellStyle name="Percent 3 31" xfId="6779"/>
    <cellStyle name="Percent 3 31 2" xfId="6780"/>
    <cellStyle name="Percent 3 32" xfId="6781"/>
    <cellStyle name="Percent 3 32 2" xfId="6782"/>
    <cellStyle name="Percent 3 33" xfId="6783"/>
    <cellStyle name="Percent 3 33 2" xfId="6784"/>
    <cellStyle name="Percent 3 34" xfId="6785"/>
    <cellStyle name="Percent 3 34 2" xfId="6786"/>
    <cellStyle name="Percent 3 35" xfId="6787"/>
    <cellStyle name="Percent 3 35 2" xfId="6788"/>
    <cellStyle name="Percent 3 36" xfId="6789"/>
    <cellStyle name="Percent 3 36 2" xfId="6790"/>
    <cellStyle name="Percent 3 37" xfId="6791"/>
    <cellStyle name="Percent 3 37 2" xfId="6792"/>
    <cellStyle name="Percent 3 38" xfId="6793"/>
    <cellStyle name="Percent 3 38 2" xfId="6794"/>
    <cellStyle name="Percent 3 39" xfId="6795"/>
    <cellStyle name="Percent 3 39 2" xfId="6796"/>
    <cellStyle name="Percent 3 4" xfId="6797"/>
    <cellStyle name="Percent 3 4 2" xfId="6798"/>
    <cellStyle name="Percent 3 4 3" xfId="6799"/>
    <cellStyle name="Percent 3 4 3 2" xfId="6800"/>
    <cellStyle name="Percent 3 4 4" xfId="6801"/>
    <cellStyle name="Percent 3 4 4 2" xfId="6802"/>
    <cellStyle name="Percent 3 40" xfId="6803"/>
    <cellStyle name="Percent 3 40 2" xfId="6804"/>
    <cellStyle name="Percent 3 41" xfId="6805"/>
    <cellStyle name="Percent 3 41 2" xfId="6806"/>
    <cellStyle name="Percent 3 42" xfId="6807"/>
    <cellStyle name="Percent 3 42 2" xfId="6808"/>
    <cellStyle name="Percent 3 43" xfId="6809"/>
    <cellStyle name="Percent 3 43 2" xfId="6810"/>
    <cellStyle name="Percent 3 44" xfId="6811"/>
    <cellStyle name="Percent 3 44 2" xfId="6812"/>
    <cellStyle name="Percent 3 45" xfId="6813"/>
    <cellStyle name="Percent 3 45 2" xfId="6814"/>
    <cellStyle name="Percent 3 46" xfId="6815"/>
    <cellStyle name="Percent 3 46 2" xfId="6816"/>
    <cellStyle name="Percent 3 47" xfId="6817"/>
    <cellStyle name="Percent 3 47 2" xfId="6818"/>
    <cellStyle name="Percent 3 48" xfId="6819"/>
    <cellStyle name="Percent 3 48 2" xfId="6820"/>
    <cellStyle name="Percent 3 49" xfId="6821"/>
    <cellStyle name="Percent 3 49 2" xfId="6822"/>
    <cellStyle name="Percent 3 5" xfId="6823"/>
    <cellStyle name="Percent 3 5 2" xfId="6824"/>
    <cellStyle name="Percent 3 5 2 2" xfId="6825"/>
    <cellStyle name="Percent 3 5 3" xfId="6826"/>
    <cellStyle name="Percent 3 50" xfId="6827"/>
    <cellStyle name="Percent 3 50 2" xfId="6828"/>
    <cellStyle name="Percent 3 51" xfId="6829"/>
    <cellStyle name="Percent 3 51 2" xfId="6830"/>
    <cellStyle name="Percent 3 52" xfId="6831"/>
    <cellStyle name="Percent 3 52 2" xfId="6832"/>
    <cellStyle name="Percent 3 53" xfId="6833"/>
    <cellStyle name="Percent 3 53 2" xfId="6834"/>
    <cellStyle name="Percent 3 54" xfId="6835"/>
    <cellStyle name="Percent 3 54 2" xfId="6836"/>
    <cellStyle name="Percent 3 55" xfId="6837"/>
    <cellStyle name="Percent 3 55 2" xfId="6838"/>
    <cellStyle name="Percent 3 56" xfId="6839"/>
    <cellStyle name="Percent 3 56 2" xfId="6840"/>
    <cellStyle name="Percent 3 57" xfId="6841"/>
    <cellStyle name="Percent 3 57 2" xfId="6842"/>
    <cellStyle name="Percent 3 58" xfId="6843"/>
    <cellStyle name="Percent 3 58 2" xfId="6844"/>
    <cellStyle name="Percent 3 59" xfId="6845"/>
    <cellStyle name="Percent 3 59 2" xfId="6846"/>
    <cellStyle name="Percent 3 6" xfId="6847"/>
    <cellStyle name="Percent 3 6 2" xfId="6848"/>
    <cellStyle name="Percent 3 6 2 2" xfId="6849"/>
    <cellStyle name="Percent 3 6 3" xfId="6850"/>
    <cellStyle name="Percent 3 60" xfId="6851"/>
    <cellStyle name="Percent 3 60 2" xfId="6852"/>
    <cellStyle name="Percent 3 61" xfId="6853"/>
    <cellStyle name="Percent 3 61 2" xfId="6854"/>
    <cellStyle name="Percent 3 62" xfId="6855"/>
    <cellStyle name="Percent 3 63" xfId="6856"/>
    <cellStyle name="Percent 3 64" xfId="6857"/>
    <cellStyle name="Percent 3 65" xfId="6858"/>
    <cellStyle name="Percent 3 66" xfId="6859"/>
    <cellStyle name="Percent 3 67" xfId="6860"/>
    <cellStyle name="Percent 3 68" xfId="6861"/>
    <cellStyle name="Percent 3 69" xfId="6862"/>
    <cellStyle name="Percent 3 7" xfId="6863"/>
    <cellStyle name="Percent 3 7 2" xfId="6864"/>
    <cellStyle name="Percent 3 7 2 2" xfId="6865"/>
    <cellStyle name="Percent 3 7 3" xfId="6866"/>
    <cellStyle name="Percent 3 70" xfId="6867"/>
    <cellStyle name="Percent 3 71" xfId="6868"/>
    <cellStyle name="Percent 3 72" xfId="6869"/>
    <cellStyle name="Percent 3 73" xfId="6870"/>
    <cellStyle name="Percent 3 74" xfId="6871"/>
    <cellStyle name="Percent 3 75" xfId="6872"/>
    <cellStyle name="Percent 3 76" xfId="6873"/>
    <cellStyle name="Percent 3 77" xfId="6874"/>
    <cellStyle name="Percent 3 78" xfId="6875"/>
    <cellStyle name="Percent 3 79" xfId="6876"/>
    <cellStyle name="Percent 3 8" xfId="6877"/>
    <cellStyle name="Percent 3 8 2" xfId="6878"/>
    <cellStyle name="Percent 3 8 2 2" xfId="6879"/>
    <cellStyle name="Percent 3 8 3" xfId="6880"/>
    <cellStyle name="Percent 3 80" xfId="6881"/>
    <cellStyle name="Percent 3 81" xfId="6882"/>
    <cellStyle name="Percent 3 82" xfId="6883"/>
    <cellStyle name="Percent 3 83" xfId="6884"/>
    <cellStyle name="Percent 3 84" xfId="6885"/>
    <cellStyle name="Percent 3 85" xfId="6886"/>
    <cellStyle name="Percent 3 86" xfId="6887"/>
    <cellStyle name="Percent 3 87" xfId="6888"/>
    <cellStyle name="Percent 3 88" xfId="6889"/>
    <cellStyle name="Percent 3 89" xfId="6890"/>
    <cellStyle name="Percent 3 9" xfId="6891"/>
    <cellStyle name="Percent 3 9 2" xfId="6892"/>
    <cellStyle name="Percent 3 9 2 2" xfId="6893"/>
    <cellStyle name="Percent 3 9 3" xfId="6894"/>
    <cellStyle name="Percent 3 90" xfId="6895"/>
    <cellStyle name="Percent 3 91" xfId="6896"/>
    <cellStyle name="Percent 3 92" xfId="6897"/>
    <cellStyle name="Percent 3 93" xfId="6898"/>
    <cellStyle name="Percent 3 94" xfId="6899"/>
    <cellStyle name="Percent 3 95" xfId="6900"/>
    <cellStyle name="Percent 3 96" xfId="6901"/>
    <cellStyle name="Percent 3 97" xfId="6902"/>
    <cellStyle name="Percent 3 98" xfId="6903"/>
    <cellStyle name="Percent 3 99" xfId="6904"/>
    <cellStyle name="Percent 30" xfId="6905"/>
    <cellStyle name="Percent 31" xfId="6906"/>
    <cellStyle name="Percent 32" xfId="6907"/>
    <cellStyle name="Percent 33" xfId="6908"/>
    <cellStyle name="Percent 34" xfId="6909"/>
    <cellStyle name="Percent 35" xfId="6910"/>
    <cellStyle name="Percent 36" xfId="6911"/>
    <cellStyle name="Percent 37" xfId="6912"/>
    <cellStyle name="Percent 38" xfId="6913"/>
    <cellStyle name="Percent 39" xfId="6914"/>
    <cellStyle name="Percent 4" xfId="6915"/>
    <cellStyle name="Percent 4 10" xfId="6916"/>
    <cellStyle name="Percent 4 11" xfId="6917"/>
    <cellStyle name="Percent 4 12" xfId="6918"/>
    <cellStyle name="Percent 4 13" xfId="6919"/>
    <cellStyle name="Percent 4 14" xfId="6920"/>
    <cellStyle name="Percent 4 15" xfId="6921"/>
    <cellStyle name="Percent 4 16" xfId="6922"/>
    <cellStyle name="Percent 4 17" xfId="6923"/>
    <cellStyle name="Percent 4 18" xfId="6924"/>
    <cellStyle name="Percent 4 19" xfId="6925"/>
    <cellStyle name="Percent 4 2" xfId="6926"/>
    <cellStyle name="Percent 4 2 2" xfId="6927"/>
    <cellStyle name="Percent 4 2 2 2" xfId="6928"/>
    <cellStyle name="Percent 4 2 3" xfId="6929"/>
    <cellStyle name="Percent 4 2 4" xfId="6930"/>
    <cellStyle name="Percent 4 20" xfId="6931"/>
    <cellStyle name="Percent 4 21" xfId="6932"/>
    <cellStyle name="Percent 4 22" xfId="6933"/>
    <cellStyle name="Percent 4 23" xfId="6934"/>
    <cellStyle name="Percent 4 24" xfId="6935"/>
    <cellStyle name="Percent 4 25" xfId="6936"/>
    <cellStyle name="Percent 4 26" xfId="6937"/>
    <cellStyle name="Percent 4 27" xfId="6938"/>
    <cellStyle name="Percent 4 28" xfId="6939"/>
    <cellStyle name="Percent 4 29" xfId="6940"/>
    <cellStyle name="Percent 4 3" xfId="6941"/>
    <cellStyle name="Percent 4 3 2" xfId="6942"/>
    <cellStyle name="Percent 4 30" xfId="6943"/>
    <cellStyle name="Percent 4 31" xfId="6944"/>
    <cellStyle name="Percent 4 32" xfId="6945"/>
    <cellStyle name="Percent 4 33" xfId="6946"/>
    <cellStyle name="Percent 4 34" xfId="6947"/>
    <cellStyle name="Percent 4 35" xfId="6948"/>
    <cellStyle name="Percent 4 36" xfId="6949"/>
    <cellStyle name="Percent 4 37" xfId="6950"/>
    <cellStyle name="Percent 4 38" xfId="6951"/>
    <cellStyle name="Percent 4 39" xfId="6952"/>
    <cellStyle name="Percent 4 4" xfId="6953"/>
    <cellStyle name="Percent 4 40" xfId="6954"/>
    <cellStyle name="Percent 4 41" xfId="6955"/>
    <cellStyle name="Percent 4 42" xfId="6956"/>
    <cellStyle name="Percent 4 43" xfId="6957"/>
    <cellStyle name="Percent 4 44" xfId="6958"/>
    <cellStyle name="Percent 4 45" xfId="6959"/>
    <cellStyle name="Percent 4 46" xfId="6960"/>
    <cellStyle name="Percent 4 47" xfId="6961"/>
    <cellStyle name="Percent 4 48" xfId="6962"/>
    <cellStyle name="Percent 4 49" xfId="6963"/>
    <cellStyle name="Percent 4 5" xfId="6964"/>
    <cellStyle name="Percent 4 50" xfId="6965"/>
    <cellStyle name="Percent 4 51" xfId="6966"/>
    <cellStyle name="Percent 4 52" xfId="6967"/>
    <cellStyle name="Percent 4 53" xfId="6968"/>
    <cellStyle name="Percent 4 54" xfId="6969"/>
    <cellStyle name="Percent 4 55" xfId="6970"/>
    <cellStyle name="Percent 4 56" xfId="6971"/>
    <cellStyle name="Percent 4 57" xfId="6972"/>
    <cellStyle name="Percent 4 58" xfId="6973"/>
    <cellStyle name="Percent 4 59" xfId="6974"/>
    <cellStyle name="Percent 4 6" xfId="6975"/>
    <cellStyle name="Percent 4 60" xfId="6976"/>
    <cellStyle name="Percent 4 61" xfId="6977"/>
    <cellStyle name="Percent 4 7" xfId="6978"/>
    <cellStyle name="Percent 4 8" xfId="6979"/>
    <cellStyle name="Percent 4 9" xfId="6980"/>
    <cellStyle name="Percent 40" xfId="6981"/>
    <cellStyle name="Percent 41" xfId="6982"/>
    <cellStyle name="Percent 42" xfId="6983"/>
    <cellStyle name="Percent 43" xfId="6984"/>
    <cellStyle name="Percent 44" xfId="6985"/>
    <cellStyle name="Percent 44 2" xfId="6986"/>
    <cellStyle name="Percent 45" xfId="6987"/>
    <cellStyle name="Percent 46" xfId="6988"/>
    <cellStyle name="Percent 47" xfId="6989"/>
    <cellStyle name="Percent 48" xfId="6990"/>
    <cellStyle name="Percent 49" xfId="6991"/>
    <cellStyle name="Percent 49 2" xfId="6992"/>
    <cellStyle name="Percent 5" xfId="6993"/>
    <cellStyle name="Percent 5 10" xfId="6994"/>
    <cellStyle name="Percent 5 11" xfId="6995"/>
    <cellStyle name="Percent 5 12" xfId="6996"/>
    <cellStyle name="Percent 5 13" xfId="6997"/>
    <cellStyle name="Percent 5 14" xfId="6998"/>
    <cellStyle name="Percent 5 15" xfId="6999"/>
    <cellStyle name="Percent 5 16" xfId="7000"/>
    <cellStyle name="Percent 5 17" xfId="7001"/>
    <cellStyle name="Percent 5 18" xfId="7002"/>
    <cellStyle name="Percent 5 19" xfId="7003"/>
    <cellStyle name="Percent 5 2" xfId="7004"/>
    <cellStyle name="Percent 5 2 10" xfId="7005"/>
    <cellStyle name="Percent 5 2 11" xfId="7006"/>
    <cellStyle name="Percent 5 2 12" xfId="7007"/>
    <cellStyle name="Percent 5 2 13" xfId="7008"/>
    <cellStyle name="Percent 5 2 14" xfId="7009"/>
    <cellStyle name="Percent 5 2 15" xfId="7010"/>
    <cellStyle name="Percent 5 2 15 2" xfId="7011"/>
    <cellStyle name="Percent 5 2 16" xfId="7012"/>
    <cellStyle name="Percent 5 2 17" xfId="7013"/>
    <cellStyle name="Percent 5 2 18" xfId="7506"/>
    <cellStyle name="Percent 5 2 2" xfId="7014"/>
    <cellStyle name="Percent 5 2 2 10" xfId="7015"/>
    <cellStyle name="Percent 5 2 2 11" xfId="7016"/>
    <cellStyle name="Percent 5 2 2 12" xfId="7017"/>
    <cellStyle name="Percent 5 2 2 12 2" xfId="7018"/>
    <cellStyle name="Percent 5 2 2 13" xfId="7019"/>
    <cellStyle name="Percent 5 2 2 14" xfId="7507"/>
    <cellStyle name="Percent 5 2 2 2" xfId="7020"/>
    <cellStyle name="Percent 5 2 2 2 10" xfId="7021"/>
    <cellStyle name="Percent 5 2 2 2 10 2" xfId="7022"/>
    <cellStyle name="Percent 5 2 2 2 11" xfId="7023"/>
    <cellStyle name="Percent 5 2 2 2 11 2" xfId="7024"/>
    <cellStyle name="Percent 5 2 2 2 12" xfId="7025"/>
    <cellStyle name="Percent 5 2 2 2 13" xfId="7026"/>
    <cellStyle name="Percent 5 2 2 2 14" xfId="7027"/>
    <cellStyle name="Percent 5 2 2 2 2" xfId="7028"/>
    <cellStyle name="Percent 5 2 2 2 2 2" xfId="7029"/>
    <cellStyle name="Percent 5 2 2 2 3" xfId="7030"/>
    <cellStyle name="Percent 5 2 2 2 3 2" xfId="7031"/>
    <cellStyle name="Percent 5 2 2 2 4" xfId="7032"/>
    <cellStyle name="Percent 5 2 2 2 4 2" xfId="7033"/>
    <cellStyle name="Percent 5 2 2 2 5" xfId="7034"/>
    <cellStyle name="Percent 5 2 2 2 5 2" xfId="7035"/>
    <cellStyle name="Percent 5 2 2 2 6" xfId="7036"/>
    <cellStyle name="Percent 5 2 2 2 6 2" xfId="7037"/>
    <cellStyle name="Percent 5 2 2 2 7" xfId="7038"/>
    <cellStyle name="Percent 5 2 2 2 7 2" xfId="7039"/>
    <cellStyle name="Percent 5 2 2 2 8" xfId="7040"/>
    <cellStyle name="Percent 5 2 2 2 8 2" xfId="7041"/>
    <cellStyle name="Percent 5 2 2 2 9" xfId="7042"/>
    <cellStyle name="Percent 5 2 2 2 9 2" xfId="7043"/>
    <cellStyle name="Percent 5 2 2 3" xfId="7044"/>
    <cellStyle name="Percent 5 2 2 4" xfId="7045"/>
    <cellStyle name="Percent 5 2 2 5" xfId="7046"/>
    <cellStyle name="Percent 5 2 2 6" xfId="7047"/>
    <cellStyle name="Percent 5 2 2 7" xfId="7048"/>
    <cellStyle name="Percent 5 2 2 8" xfId="7049"/>
    <cellStyle name="Percent 5 2 2 9" xfId="7050"/>
    <cellStyle name="Percent 5 2 3" xfId="7051"/>
    <cellStyle name="Percent 5 2 3 2" xfId="7052"/>
    <cellStyle name="Percent 5 2 3 2 2" xfId="7053"/>
    <cellStyle name="Percent 5 2 3 2 3" xfId="7054"/>
    <cellStyle name="Percent 5 2 3 3" xfId="7055"/>
    <cellStyle name="Percent 5 2 4" xfId="7056"/>
    <cellStyle name="Percent 5 2 4 2" xfId="7057"/>
    <cellStyle name="Percent 5 2 5" xfId="7058"/>
    <cellStyle name="Percent 5 2 5 2" xfId="7059"/>
    <cellStyle name="Percent 5 2 6" xfId="7060"/>
    <cellStyle name="Percent 5 2 7" xfId="7061"/>
    <cellStyle name="Percent 5 2 8" xfId="7062"/>
    <cellStyle name="Percent 5 2 9" xfId="7063"/>
    <cellStyle name="Percent 5 20" xfId="7064"/>
    <cellStyle name="Percent 5 21" xfId="7065"/>
    <cellStyle name="Percent 5 22" xfId="7066"/>
    <cellStyle name="Percent 5 23" xfId="7067"/>
    <cellStyle name="Percent 5 24" xfId="7068"/>
    <cellStyle name="Percent 5 25" xfId="7069"/>
    <cellStyle name="Percent 5 26" xfId="7070"/>
    <cellStyle name="Percent 5 27" xfId="7071"/>
    <cellStyle name="Percent 5 28" xfId="7072"/>
    <cellStyle name="Percent 5 29" xfId="7073"/>
    <cellStyle name="Percent 5 3" xfId="7074"/>
    <cellStyle name="Percent 5 3 2" xfId="7075"/>
    <cellStyle name="Percent 5 3 2 2" xfId="7076"/>
    <cellStyle name="Percent 5 3 3" xfId="7077"/>
    <cellStyle name="Percent 5 3 4" xfId="7078"/>
    <cellStyle name="Percent 5 3 5" xfId="7079"/>
    <cellStyle name="Percent 5 30" xfId="7080"/>
    <cellStyle name="Percent 5 31" xfId="7081"/>
    <cellStyle name="Percent 5 32" xfId="7082"/>
    <cellStyle name="Percent 5 33" xfId="7083"/>
    <cellStyle name="Percent 5 34" xfId="7084"/>
    <cellStyle name="Percent 5 35" xfId="7085"/>
    <cellStyle name="Percent 5 36" xfId="7086"/>
    <cellStyle name="Percent 5 37" xfId="7087"/>
    <cellStyle name="Percent 5 38" xfId="7088"/>
    <cellStyle name="Percent 5 39" xfId="7089"/>
    <cellStyle name="Percent 5 4" xfId="7090"/>
    <cellStyle name="Percent 5 4 2" xfId="7091"/>
    <cellStyle name="Percent 5 40" xfId="7092"/>
    <cellStyle name="Percent 5 41" xfId="7093"/>
    <cellStyle name="Percent 5 42" xfId="7094"/>
    <cellStyle name="Percent 5 43" xfId="7095"/>
    <cellStyle name="Percent 5 44" xfId="7096"/>
    <cellStyle name="Percent 5 45" xfId="7097"/>
    <cellStyle name="Percent 5 46" xfId="7098"/>
    <cellStyle name="Percent 5 47" xfId="7099"/>
    <cellStyle name="Percent 5 48" xfId="7100"/>
    <cellStyle name="Percent 5 49" xfId="7101"/>
    <cellStyle name="Percent 5 5" xfId="7102"/>
    <cellStyle name="Percent 5 5 2" xfId="7103"/>
    <cellStyle name="Percent 5 5 3" xfId="7104"/>
    <cellStyle name="Percent 5 50" xfId="7105"/>
    <cellStyle name="Percent 5 51" xfId="7106"/>
    <cellStyle name="Percent 5 52" xfId="7107"/>
    <cellStyle name="Percent 5 53" xfId="7108"/>
    <cellStyle name="Percent 5 54" xfId="7109"/>
    <cellStyle name="Percent 5 55" xfId="7110"/>
    <cellStyle name="Percent 5 56" xfId="7111"/>
    <cellStyle name="Percent 5 57" xfId="7112"/>
    <cellStyle name="Percent 5 58" xfId="7113"/>
    <cellStyle name="Percent 5 59" xfId="7114"/>
    <cellStyle name="Percent 5 6" xfId="7115"/>
    <cellStyle name="Percent 5 60" xfId="7116"/>
    <cellStyle name="Percent 5 61" xfId="7117"/>
    <cellStyle name="Percent 5 62" xfId="7118"/>
    <cellStyle name="Percent 5 63" xfId="7119"/>
    <cellStyle name="Percent 5 7" xfId="7120"/>
    <cellStyle name="Percent 5 8" xfId="7121"/>
    <cellStyle name="Percent 5 9" xfId="7122"/>
    <cellStyle name="Percent 50" xfId="7123"/>
    <cellStyle name="Percent 51" xfId="7124"/>
    <cellStyle name="Percent 52" xfId="7125"/>
    <cellStyle name="Percent 53" xfId="7126"/>
    <cellStyle name="Percent 54" xfId="7127"/>
    <cellStyle name="Percent 55" xfId="7128"/>
    <cellStyle name="Percent 56" xfId="7129"/>
    <cellStyle name="Percent 57" xfId="7130"/>
    <cellStyle name="Percent 58" xfId="7131"/>
    <cellStyle name="Percent 59" xfId="7132"/>
    <cellStyle name="Percent 6" xfId="7133"/>
    <cellStyle name="Percent 6 2" xfId="7134"/>
    <cellStyle name="Percent 6 3" xfId="7135"/>
    <cellStyle name="Percent 6 4" xfId="7540"/>
    <cellStyle name="Percent 60" xfId="7136"/>
    <cellStyle name="Percent 61" xfId="7137"/>
    <cellStyle name="Percent 62" xfId="7138"/>
    <cellStyle name="Percent 63" xfId="7139"/>
    <cellStyle name="Percent 64" xfId="7140"/>
    <cellStyle name="Percent 64 2" xfId="7141"/>
    <cellStyle name="Percent 65" xfId="7142"/>
    <cellStyle name="Percent 65 2" xfId="7143"/>
    <cellStyle name="Percent 65 3" xfId="7144"/>
    <cellStyle name="Percent 66" xfId="7145"/>
    <cellStyle name="Percent 67" xfId="7146"/>
    <cellStyle name="Percent 68" xfId="7147"/>
    <cellStyle name="Percent 69" xfId="7148"/>
    <cellStyle name="Percent 7" xfId="7149"/>
    <cellStyle name="Percent 7 10" xfId="7150"/>
    <cellStyle name="Percent 7 11" xfId="7151"/>
    <cellStyle name="Percent 7 12" xfId="7152"/>
    <cellStyle name="Percent 7 12 2" xfId="7153"/>
    <cellStyle name="Percent 7 13" xfId="7154"/>
    <cellStyle name="Percent 7 14" xfId="7155"/>
    <cellStyle name="Percent 7 15" xfId="7508"/>
    <cellStyle name="Percent 7 2" xfId="7156"/>
    <cellStyle name="Percent 7 2 10" xfId="7157"/>
    <cellStyle name="Percent 7 2 10 2" xfId="7158"/>
    <cellStyle name="Percent 7 2 11" xfId="7159"/>
    <cellStyle name="Percent 7 2 11 2" xfId="7160"/>
    <cellStyle name="Percent 7 2 12" xfId="7161"/>
    <cellStyle name="Percent 7 2 12 2" xfId="7162"/>
    <cellStyle name="Percent 7 2 13" xfId="7163"/>
    <cellStyle name="Percent 7 2 13 2" xfId="7164"/>
    <cellStyle name="Percent 7 2 14" xfId="7165"/>
    <cellStyle name="Percent 7 2 2" xfId="7166"/>
    <cellStyle name="Percent 7 2 2 2" xfId="7167"/>
    <cellStyle name="Percent 7 2 3" xfId="7168"/>
    <cellStyle name="Percent 7 2 3 2" xfId="7169"/>
    <cellStyle name="Percent 7 2 4" xfId="7170"/>
    <cellStyle name="Percent 7 2 4 2" xfId="7171"/>
    <cellStyle name="Percent 7 2 5" xfId="7172"/>
    <cellStyle name="Percent 7 2 5 2" xfId="7173"/>
    <cellStyle name="Percent 7 2 6" xfId="7174"/>
    <cellStyle name="Percent 7 2 6 2" xfId="7175"/>
    <cellStyle name="Percent 7 2 7" xfId="7176"/>
    <cellStyle name="Percent 7 2 7 2" xfId="7177"/>
    <cellStyle name="Percent 7 2 8" xfId="7178"/>
    <cellStyle name="Percent 7 2 8 2" xfId="7179"/>
    <cellStyle name="Percent 7 2 9" xfId="7180"/>
    <cellStyle name="Percent 7 2 9 2" xfId="7181"/>
    <cellStyle name="Percent 7 3" xfId="7182"/>
    <cellStyle name="Percent 7 4" xfId="7183"/>
    <cellStyle name="Percent 7 5" xfId="7184"/>
    <cellStyle name="Percent 7 6" xfId="7185"/>
    <cellStyle name="Percent 7 7" xfId="7186"/>
    <cellStyle name="Percent 7 8" xfId="7187"/>
    <cellStyle name="Percent 7 9" xfId="7188"/>
    <cellStyle name="Percent 70" xfId="7189"/>
    <cellStyle name="Percent 71" xfId="7190"/>
    <cellStyle name="Percent 72" xfId="7191"/>
    <cellStyle name="Percent 73" xfId="7192"/>
    <cellStyle name="Percent 73 2" xfId="7417"/>
    <cellStyle name="Percent 73 2 2" xfId="7519"/>
    <cellStyle name="Percent 74" xfId="7414"/>
    <cellStyle name="Percent 75" xfId="7426"/>
    <cellStyle name="Percent 76" xfId="7511"/>
    <cellStyle name="Percent 77" xfId="7529"/>
    <cellStyle name="Percent 78" xfId="7534"/>
    <cellStyle name="Percent 78 2" xfId="7544"/>
    <cellStyle name="Percent 79" xfId="7538"/>
    <cellStyle name="Percent 8" xfId="7193"/>
    <cellStyle name="Percent 8 2" xfId="7194"/>
    <cellStyle name="Percent 8 2 2" xfId="7195"/>
    <cellStyle name="Percent 8 2 2 2" xfId="7196"/>
    <cellStyle name="Percent 8 2 2 2 2" xfId="7197"/>
    <cellStyle name="Percent 8 2 2 3" xfId="7198"/>
    <cellStyle name="Percent 8 2 2 3 2" xfId="7199"/>
    <cellStyle name="Percent 8 2 2 4" xfId="7200"/>
    <cellStyle name="Percent 8 2 2 4 2" xfId="7201"/>
    <cellStyle name="Percent 8 2 2 5" xfId="7202"/>
    <cellStyle name="Percent 8 2 2 5 2" xfId="7203"/>
    <cellStyle name="Percent 8 2 3" xfId="7204"/>
    <cellStyle name="Percent 8 2 4" xfId="7205"/>
    <cellStyle name="Percent 8 2 5" xfId="7206"/>
    <cellStyle name="Percent 8 2 6" xfId="7207"/>
    <cellStyle name="Percent 8 3" xfId="7208"/>
    <cellStyle name="Percent 8 3 2" xfId="7209"/>
    <cellStyle name="Percent 8 4" xfId="7210"/>
    <cellStyle name="Percent 8 4 2" xfId="7211"/>
    <cellStyle name="Percent 8 5" xfId="7212"/>
    <cellStyle name="Percent 8 5 2" xfId="7213"/>
    <cellStyle name="Percent 8 6" xfId="7214"/>
    <cellStyle name="Percent 8 6 2" xfId="7215"/>
    <cellStyle name="Percent 8 7" xfId="7216"/>
    <cellStyle name="Percent 8 7 2" xfId="7217"/>
    <cellStyle name="Percent 8 8" xfId="7509"/>
    <cellStyle name="Percent 80" xfId="7547"/>
    <cellStyle name="Percent 88" xfId="7531"/>
    <cellStyle name="Percent 88 2" xfId="7532"/>
    <cellStyle name="Percent 88 3" xfId="7542"/>
    <cellStyle name="Percent 9" xfId="7218"/>
    <cellStyle name="Percent 9 2" xfId="7219"/>
    <cellStyle name="Percent 9 3" xfId="7220"/>
    <cellStyle name="Percent 94" xfId="7528"/>
    <cellStyle name="PRINTFONT" xfId="7221"/>
    <cellStyle name="PSChar" xfId="7222"/>
    <cellStyle name="PSDate" xfId="7223"/>
    <cellStyle name="PSDec" xfId="7224"/>
    <cellStyle name="PSHeading" xfId="7225"/>
    <cellStyle name="PSInt" xfId="7226"/>
    <cellStyle name="PSSpacer" xfId="7227"/>
    <cellStyle name="Reset  - Style4" xfId="7228"/>
    <cellStyle name="Reset  - Style7" xfId="7229"/>
    <cellStyle name="STD" xfId="7230"/>
    <cellStyle name="Style 21" xfId="4"/>
    <cellStyle name="Style 21 2" xfId="7231"/>
    <cellStyle name="Style 21 3" xfId="7232"/>
    <cellStyle name="Style 21 4" xfId="7233"/>
    <cellStyle name="Style 21 5" xfId="7234"/>
    <cellStyle name="Style 22" xfId="5"/>
    <cellStyle name="Style 22 2" xfId="7235"/>
    <cellStyle name="Style 22 3" xfId="7236"/>
    <cellStyle name="Style 22 4" xfId="7237"/>
    <cellStyle name="Style 22 5" xfId="7238"/>
    <cellStyle name="Style 23" xfId="6"/>
    <cellStyle name="Style 23 2" xfId="7239"/>
    <cellStyle name="Style 23 3" xfId="7240"/>
    <cellStyle name="Style 23 4" xfId="7241"/>
    <cellStyle name="Style 23 5" xfId="7242"/>
    <cellStyle name="Style 24" xfId="7"/>
    <cellStyle name="Style 24 2" xfId="7243"/>
    <cellStyle name="Style 24 3" xfId="7244"/>
    <cellStyle name="Style 24 4" xfId="7245"/>
    <cellStyle name="Style 24 5" xfId="7246"/>
    <cellStyle name="Style 25" xfId="8"/>
    <cellStyle name="Style 25 10" xfId="7247"/>
    <cellStyle name="Style 25 2" xfId="30"/>
    <cellStyle name="Style 25 3" xfId="7248"/>
    <cellStyle name="Style 25 4" xfId="7249"/>
    <cellStyle name="Style 25 5" xfId="7250"/>
    <cellStyle name="Style 25 6" xfId="7251"/>
    <cellStyle name="Style 25 7" xfId="7252"/>
    <cellStyle name="Style 25 8" xfId="7253"/>
    <cellStyle name="Style 25 9" xfId="7254"/>
    <cellStyle name="Style 26" xfId="9"/>
    <cellStyle name="Style 26 2" xfId="7255"/>
    <cellStyle name="Style 26 2 2" xfId="7256"/>
    <cellStyle name="Style 26 3" xfId="7257"/>
    <cellStyle name="Style 26 3 2" xfId="7258"/>
    <cellStyle name="Style 26 4" xfId="7259"/>
    <cellStyle name="Style 26 5" xfId="7260"/>
    <cellStyle name="Style 27" xfId="10"/>
    <cellStyle name="Style 27 2" xfId="7261"/>
    <cellStyle name="Style 27 3" xfId="7262"/>
    <cellStyle name="Style 27 4" xfId="7263"/>
    <cellStyle name="Style 27 5" xfId="7264"/>
    <cellStyle name="Style 28" xfId="11"/>
    <cellStyle name="Style 28 2" xfId="7265"/>
    <cellStyle name="Style 28 3" xfId="7266"/>
    <cellStyle name="Style 28 4" xfId="7267"/>
    <cellStyle name="Style 28 5" xfId="7268"/>
    <cellStyle name="Style 29" xfId="12"/>
    <cellStyle name="Style 29 10" xfId="7269"/>
    <cellStyle name="Style 29 11" xfId="7270"/>
    <cellStyle name="Style 29 12" xfId="7271"/>
    <cellStyle name="Style 29 13" xfId="7272"/>
    <cellStyle name="Style 29 14" xfId="7273"/>
    <cellStyle name="Style 29 15" xfId="7274"/>
    <cellStyle name="Style 29 16" xfId="7275"/>
    <cellStyle name="Style 29 2" xfId="7276"/>
    <cellStyle name="Style 29 3" xfId="7277"/>
    <cellStyle name="Style 29 4" xfId="7278"/>
    <cellStyle name="Style 29 5" xfId="7279"/>
    <cellStyle name="Style 29 6" xfId="7280"/>
    <cellStyle name="Style 29 7" xfId="7281"/>
    <cellStyle name="Style 29 8" xfId="7282"/>
    <cellStyle name="Style 29 9" xfId="7283"/>
    <cellStyle name="Style 30" xfId="13"/>
    <cellStyle name="Style 30 10" xfId="7284"/>
    <cellStyle name="Style 30 11" xfId="7285"/>
    <cellStyle name="Style 30 12" xfId="7286"/>
    <cellStyle name="Style 30 13" xfId="7287"/>
    <cellStyle name="Style 30 14" xfId="7288"/>
    <cellStyle name="Style 30 15" xfId="7289"/>
    <cellStyle name="Style 30 16" xfId="7290"/>
    <cellStyle name="Style 30 2" xfId="7291"/>
    <cellStyle name="Style 30 3" xfId="7292"/>
    <cellStyle name="Style 30 4" xfId="7293"/>
    <cellStyle name="Style 30 5" xfId="7294"/>
    <cellStyle name="Style 30 6" xfId="7295"/>
    <cellStyle name="Style 30 7" xfId="7296"/>
    <cellStyle name="Style 30 8" xfId="7297"/>
    <cellStyle name="Style 30 9" xfId="7298"/>
    <cellStyle name="Style 31" xfId="14"/>
    <cellStyle name="Style 31 2" xfId="7299"/>
    <cellStyle name="Style 31 3" xfId="7300"/>
    <cellStyle name="Style 31 4" xfId="7301"/>
    <cellStyle name="Style 31 5" xfId="7302"/>
    <cellStyle name="Style 32" xfId="15"/>
    <cellStyle name="Style 32 2" xfId="31"/>
    <cellStyle name="Style 32 3" xfId="7303"/>
    <cellStyle name="Style 32 4" xfId="7304"/>
    <cellStyle name="Style 32 5" xfId="7305"/>
    <cellStyle name="Style 32 6" xfId="7306"/>
    <cellStyle name="Style 32 7" xfId="7307"/>
    <cellStyle name="Style 33" xfId="16"/>
    <cellStyle name="Style 33 10" xfId="7308"/>
    <cellStyle name="Style 33 11" xfId="7309"/>
    <cellStyle name="Style 33 12" xfId="7310"/>
    <cellStyle name="Style 33 13" xfId="7311"/>
    <cellStyle name="Style 33 14" xfId="7312"/>
    <cellStyle name="Style 33 15" xfId="7313"/>
    <cellStyle name="Style 33 16" xfId="7314"/>
    <cellStyle name="Style 33 2" xfId="7315"/>
    <cellStyle name="Style 33 3" xfId="7316"/>
    <cellStyle name="Style 33 4" xfId="7317"/>
    <cellStyle name="Style 33 5" xfId="7318"/>
    <cellStyle name="Style 33 6" xfId="7319"/>
    <cellStyle name="Style 33 7" xfId="7320"/>
    <cellStyle name="Style 33 8" xfId="7321"/>
    <cellStyle name="Style 33 9" xfId="7322"/>
    <cellStyle name="Style 34" xfId="17"/>
    <cellStyle name="Style 34 10" xfId="7323"/>
    <cellStyle name="Style 34 11" xfId="7324"/>
    <cellStyle name="Style 34 12" xfId="7325"/>
    <cellStyle name="Style 34 13" xfId="7326"/>
    <cellStyle name="Style 34 14" xfId="7327"/>
    <cellStyle name="Style 34 15" xfId="7328"/>
    <cellStyle name="Style 34 16" xfId="7329"/>
    <cellStyle name="Style 34 2" xfId="7330"/>
    <cellStyle name="Style 34 3" xfId="7331"/>
    <cellStyle name="Style 34 4" xfId="7332"/>
    <cellStyle name="Style 34 5" xfId="7333"/>
    <cellStyle name="Style 34 6" xfId="7334"/>
    <cellStyle name="Style 34 7" xfId="7335"/>
    <cellStyle name="Style 34 8" xfId="7336"/>
    <cellStyle name="Style 34 9" xfId="7337"/>
    <cellStyle name="Style 35" xfId="18"/>
    <cellStyle name="Style 35 10" xfId="7338"/>
    <cellStyle name="Style 35 11" xfId="7339"/>
    <cellStyle name="Style 35 12" xfId="7340"/>
    <cellStyle name="Style 35 13" xfId="7341"/>
    <cellStyle name="Style 35 14" xfId="7342"/>
    <cellStyle name="Style 35 15" xfId="7343"/>
    <cellStyle name="Style 35 16" xfId="7344"/>
    <cellStyle name="Style 35 2" xfId="7345"/>
    <cellStyle name="Style 35 3" xfId="7346"/>
    <cellStyle name="Style 35 4" xfId="7347"/>
    <cellStyle name="Style 35 5" xfId="7348"/>
    <cellStyle name="Style 35 6" xfId="7349"/>
    <cellStyle name="Style 35 7" xfId="7350"/>
    <cellStyle name="Style 35 8" xfId="7351"/>
    <cellStyle name="Style 35 9" xfId="7352"/>
    <cellStyle name="Style 36" xfId="19"/>
    <cellStyle name="Style 36 10" xfId="7353"/>
    <cellStyle name="Style 36 11" xfId="7354"/>
    <cellStyle name="Style 36 12" xfId="7355"/>
    <cellStyle name="Style 36 13" xfId="7356"/>
    <cellStyle name="Style 36 14" xfId="7357"/>
    <cellStyle name="Style 36 15" xfId="7358"/>
    <cellStyle name="Style 36 16" xfId="7359"/>
    <cellStyle name="Style 36 2" xfId="7360"/>
    <cellStyle name="Style 36 3" xfId="7361"/>
    <cellStyle name="Style 36 4" xfId="7362"/>
    <cellStyle name="Style 36 5" xfId="7363"/>
    <cellStyle name="Style 36 6" xfId="7364"/>
    <cellStyle name="Style 36 7" xfId="7365"/>
    <cellStyle name="Style 36 8" xfId="7366"/>
    <cellStyle name="Style 36 9" xfId="7367"/>
    <cellStyle name="Style 39" xfId="20"/>
    <cellStyle name="Style 39 10" xfId="7368"/>
    <cellStyle name="Style 39 11" xfId="7369"/>
    <cellStyle name="Style 39 12" xfId="7370"/>
    <cellStyle name="Style 39 13" xfId="7371"/>
    <cellStyle name="Style 39 14" xfId="7372"/>
    <cellStyle name="Style 39 15" xfId="7373"/>
    <cellStyle name="Style 39 16" xfId="7374"/>
    <cellStyle name="Style 39 2" xfId="7375"/>
    <cellStyle name="Style 39 3" xfId="7376"/>
    <cellStyle name="Style 39 4" xfId="7377"/>
    <cellStyle name="Style 39 5" xfId="7378"/>
    <cellStyle name="Style 39 6" xfId="7379"/>
    <cellStyle name="Style 39 7" xfId="7380"/>
    <cellStyle name="Style 39 8" xfId="7381"/>
    <cellStyle name="Style 39 9" xfId="7382"/>
    <cellStyle name="Table  - Style5" xfId="7383"/>
    <cellStyle name="Table  - Style6" xfId="7384"/>
    <cellStyle name="Text B &amp; U" xfId="7385"/>
    <cellStyle name="Text STD 1" xfId="7386"/>
    <cellStyle name="Text STD 2" xfId="7387"/>
    <cellStyle name="Text STD 3" xfId="7388"/>
    <cellStyle name="Text Under 0" xfId="7389"/>
    <cellStyle name="Text Under 1" xfId="7390"/>
    <cellStyle name="Text Wrap" xfId="7391"/>
    <cellStyle name="Title  - Style1" xfId="7392"/>
    <cellStyle name="Title  - Style6" xfId="7393"/>
    <cellStyle name="Title 2" xfId="7394"/>
    <cellStyle name="Title 3" xfId="7395"/>
    <cellStyle name="Title 4" xfId="7396"/>
    <cellStyle name="Total 2" xfId="7397"/>
    <cellStyle name="Total 3" xfId="7398"/>
    <cellStyle name="Total 4" xfId="7399"/>
    <cellStyle name="Total 5" xfId="7400"/>
    <cellStyle name="Total 6" xfId="7401"/>
    <cellStyle name="TotCol - Style5" xfId="7402"/>
    <cellStyle name="TotCol - Style7" xfId="7403"/>
    <cellStyle name="TotRow - Style4" xfId="7404"/>
    <cellStyle name="TotRow - Style8" xfId="7405"/>
    <cellStyle name="Undefined" xfId="7406"/>
    <cellStyle name="UnDERLINED" xfId="7407"/>
    <cellStyle name="Warning Text 2" xfId="7408"/>
    <cellStyle name="Warning Text 3" xfId="7409"/>
    <cellStyle name="Warning Text 4" xfId="7410"/>
    <cellStyle name="Warning Text 5" xfId="7411"/>
    <cellStyle name="Warning Text 6" xfId="7412"/>
  </cellStyles>
  <dxfs count="2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28314494664388E-2"/>
          <c:y val="5.3153344680676583E-2"/>
          <c:w val="0.90801958413493755"/>
          <c:h val="0.89534282300833379"/>
        </c:manualLayout>
      </c:layout>
      <c:scatterChart>
        <c:scatterStyle val="lineMarker"/>
        <c:varyColors val="0"/>
        <c:ser>
          <c:idx val="1"/>
          <c:order val="0"/>
          <c:tx>
            <c:strRef>
              <c:f>'Schedule-1 Summary'!$I$3</c:f>
              <c:strCache>
                <c:ptCount val="1"/>
                <c:pt idx="0">
                  <c:v>Constant Growth DCF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'Schedule-1 Summary'!$J$3:$J$4</c:f>
              <c:numCache>
                <c:formatCode>0.00%</c:formatCode>
                <c:ptCount val="2"/>
                <c:pt idx="0">
                  <c:v>8.3593693099553446E-2</c:v>
                </c:pt>
                <c:pt idx="1">
                  <c:v>0.12149002904099426</c:v>
                </c:pt>
              </c:numCache>
            </c:numRef>
          </c:xVal>
          <c:yVal>
            <c:numRef>
              <c:f>'Schedule-1 Summary'!$K$3:$K$4</c:f>
              <c:numCache>
                <c:formatCode>0.0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FD-432B-9E54-D6F5017E2237}"/>
            </c:ext>
          </c:extLst>
        </c:ser>
        <c:ser>
          <c:idx val="4"/>
          <c:order val="1"/>
          <c:tx>
            <c:strRef>
              <c:f>'Schedule-1 Summary'!$I$5</c:f>
              <c:strCache>
                <c:ptCount val="1"/>
                <c:pt idx="0">
                  <c:v>CAPM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'Schedule-1 Summary'!$J$5:$J$6</c:f>
              <c:numCache>
                <c:formatCode>0.00%</c:formatCode>
                <c:ptCount val="2"/>
                <c:pt idx="0">
                  <c:v>0.10966954752347373</c:v>
                </c:pt>
                <c:pt idx="1">
                  <c:v>0.11251388085680705</c:v>
                </c:pt>
              </c:numCache>
            </c:numRef>
          </c:xVal>
          <c:yVal>
            <c:numRef>
              <c:f>'Schedule-1 Summary'!$K$5:$K$6</c:f>
              <c:numCache>
                <c:formatCode>0.0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FD-432B-9E54-D6F5017E2237}"/>
            </c:ext>
          </c:extLst>
        </c:ser>
        <c:ser>
          <c:idx val="5"/>
          <c:order val="2"/>
          <c:tx>
            <c:strRef>
              <c:f>'Schedule-1 Summary'!$I$7</c:f>
              <c:strCache>
                <c:ptCount val="1"/>
                <c:pt idx="0">
                  <c:v>Risk Premium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'Schedule-1 Summary'!$J$7:$J$8</c:f>
              <c:numCache>
                <c:formatCode>0.00%</c:formatCode>
                <c:ptCount val="2"/>
                <c:pt idx="0">
                  <c:v>9.7443079593652587E-2</c:v>
                </c:pt>
                <c:pt idx="1">
                  <c:v>0.10130150595340928</c:v>
                </c:pt>
              </c:numCache>
            </c:numRef>
          </c:xVal>
          <c:yVal>
            <c:numRef>
              <c:f>'Schedule-1 Summary'!$K$7:$K$8</c:f>
              <c:numCache>
                <c:formatCode>0.0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FD-432B-9E54-D6F5017E2237}"/>
            </c:ext>
          </c:extLst>
        </c:ser>
        <c:ser>
          <c:idx val="0"/>
          <c:order val="3"/>
          <c:tx>
            <c:v>Expected Earnings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'Schedule-1 Summary'!$J$9:$J$10</c:f>
              <c:numCache>
                <c:formatCode>0.00%</c:formatCode>
                <c:ptCount val="2"/>
                <c:pt idx="0">
                  <c:v>0.11482456808072344</c:v>
                </c:pt>
                <c:pt idx="1">
                  <c:v>0.11556742725521925</c:v>
                </c:pt>
              </c:numCache>
            </c:numRef>
          </c:xVal>
          <c:yVal>
            <c:numRef>
              <c:f>'Schedule-1 Summary'!$K$9:$K$10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2-42AB-80B8-5469E756F8FD}"/>
            </c:ext>
          </c:extLst>
        </c:ser>
        <c:ser>
          <c:idx val="6"/>
          <c:order val="4"/>
          <c:tx>
            <c:strRef>
              <c:f>'Schedule-1 Summary'!$I$11</c:f>
              <c:strCache>
                <c:ptCount val="1"/>
                <c:pt idx="0">
                  <c:v>Lower End ROE Recommendation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'Schedule-1 Summary'!$J$11:$J$12</c:f>
              <c:numCache>
                <c:formatCode>0.00%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'Schedule-1 Summary'!$K$11:$K$12</c:f>
              <c:numCache>
                <c:formatCode>0.0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FD-432B-9E54-D6F5017E2237}"/>
            </c:ext>
          </c:extLst>
        </c:ser>
        <c:ser>
          <c:idx val="7"/>
          <c:order val="5"/>
          <c:tx>
            <c:strRef>
              <c:f>'Schedule-1 Summary'!$I$13</c:f>
              <c:strCache>
                <c:ptCount val="1"/>
                <c:pt idx="0">
                  <c:v>Higher End ROE Recommendation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'Schedule-1 Summary'!$J$13:$J$14</c:f>
              <c:numCache>
                <c:formatCode>0.00%</c:formatCode>
                <c:ptCount val="2"/>
                <c:pt idx="0">
                  <c:v>0.1075</c:v>
                </c:pt>
                <c:pt idx="1">
                  <c:v>0.1075</c:v>
                </c:pt>
              </c:numCache>
            </c:numRef>
          </c:xVal>
          <c:yVal>
            <c:numRef>
              <c:f>'Schedule-1 Summary'!$K$13:$K$14</c:f>
              <c:numCache>
                <c:formatCode>0.0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4FD-432B-9E54-D6F5017E2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6.0000000000000012E-2"/>
        </c:scaling>
        <c:delete val="0"/>
        <c:axPos val="b"/>
        <c:numFmt formatCode="0.00%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22656"/>
        <c:crossesAt val="0.1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6.0321054021948081E-2"/>
          <c:y val="0.30378748880637424"/>
          <c:w val="0.38161896865500228"/>
          <c:h val="0.59241175940181068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60407051791864974"/>
                  <c:y val="7.4952113065884077E-2"/>
                </c:manualLayout>
              </c:layout>
              <c:numFmt formatCode="General" sourceLinked="0"/>
              <c:spPr>
                <a:ln>
                  <a:solidFill>
                    <a:sysClr val="windowText" lastClr="000000"/>
                  </a:solidFill>
                </a:ln>
              </c:spPr>
            </c:trendlineLbl>
          </c:trendline>
          <c:xVal>
            <c:numRef>
              <c:f>'Schedule-6 Risk Premium'!$D$6:$D$110</c:f>
              <c:numCache>
                <c:formatCode>0.00%</c:formatCode>
                <c:ptCount val="105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3.0332130434782605E-2</c:v>
                </c:pt>
              </c:numCache>
            </c:numRef>
          </c:xVal>
          <c:yVal>
            <c:numRef>
              <c:f>'Schedule-6 Risk Premium'!$E$6:$E$110</c:f>
              <c:numCache>
                <c:formatCode>0.00%</c:formatCode>
                <c:ptCount val="105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6.2784772727272731E-2</c:v>
                </c:pt>
                <c:pt idx="104">
                  <c:v>6.7167869565217392E-2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C6-43F7-BD52-A66E6A2C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84541163010175E-2"/>
          <c:y val="5.8141175527902919E-2"/>
          <c:w val="0.90372881470454303"/>
          <c:h val="0.86018544604245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'Schedule-10 CapEx 2'!$E$30</c:f>
              <c:strCache>
                <c:ptCount val="1"/>
                <c:pt idx="0">
                  <c:v>2019-2023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96-4A85-A162-DDD4EC2B555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496-4A85-A162-DDD4EC2B5558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1E1-46E6-8412-58F1E528BB5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496-4A85-A162-DDD4EC2B555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496-4A85-A162-DDD4EC2B5558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96-4A85-A162-DDD4EC2B5558}"/>
              </c:ext>
            </c:extLst>
          </c:dPt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'Schedule-10 CapEx 2'!$D$31:$D$38</c:f>
              <c:strCache>
                <c:ptCount val="8"/>
                <c:pt idx="0">
                  <c:v>NJR</c:v>
                </c:pt>
                <c:pt idx="1">
                  <c:v>NWN</c:v>
                </c:pt>
                <c:pt idx="2">
                  <c:v>OGS</c:v>
                </c:pt>
                <c:pt idx="3">
                  <c:v>SR</c:v>
                </c:pt>
                <c:pt idx="4">
                  <c:v>CNG</c:v>
                </c:pt>
                <c:pt idx="5">
                  <c:v>SJI</c:v>
                </c:pt>
                <c:pt idx="6">
                  <c:v>ATO</c:v>
                </c:pt>
                <c:pt idx="7">
                  <c:v>SWX</c:v>
                </c:pt>
              </c:strCache>
            </c:strRef>
          </c:cat>
          <c:val>
            <c:numRef>
              <c:f>'Schedule-10 CapEx 2'!$E$31:$E$38</c:f>
              <c:numCache>
                <c:formatCode>0.00%</c:formatCode>
                <c:ptCount val="8"/>
                <c:pt idx="0">
                  <c:v>0.38448863854082849</c:v>
                </c:pt>
                <c:pt idx="1">
                  <c:v>0.44321507760532153</c:v>
                </c:pt>
                <c:pt idx="2">
                  <c:v>0.50703663040223579</c:v>
                </c:pt>
                <c:pt idx="3">
                  <c:v>0.72942813489031977</c:v>
                </c:pt>
                <c:pt idx="4">
                  <c:v>0.73512286131060589</c:v>
                </c:pt>
                <c:pt idx="5">
                  <c:v>0.74100992519072661</c:v>
                </c:pt>
                <c:pt idx="6">
                  <c:v>0.97326712890962486</c:v>
                </c:pt>
                <c:pt idx="7">
                  <c:v>0.99064372084797847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96-4A85-A162-DDD4EC2B5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33344"/>
        <c:axId val="239055616"/>
      </c:barChart>
      <c:scatterChart>
        <c:scatterStyle val="smoothMarker"/>
        <c:varyColors val="0"/>
        <c:ser>
          <c:idx val="1"/>
          <c:order val="1"/>
          <c:tx>
            <c:v>Median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'Schedule-10 CapEx 2'!$C$49:$C$50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'Schedule-10 CapEx 2'!$D$49:$D$50</c:f>
              <c:numCache>
                <c:formatCode>0.00%</c:formatCode>
                <c:ptCount val="2"/>
                <c:pt idx="0">
                  <c:v>0.72942813489031977</c:v>
                </c:pt>
                <c:pt idx="1">
                  <c:v>0.72942813489031977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496-4A85-A162-DDD4EC2B5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58944"/>
        <c:axId val="239057152"/>
      </c:scatterChart>
      <c:catAx>
        <c:axId val="2390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055616"/>
        <c:crosses val="autoZero"/>
        <c:auto val="1"/>
        <c:lblAlgn val="ctr"/>
        <c:lblOffset val="100"/>
        <c:noMultiLvlLbl val="0"/>
      </c:catAx>
      <c:valAx>
        <c:axId val="2390556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9033344"/>
        <c:crosses val="autoZero"/>
        <c:crossBetween val="between"/>
      </c:valAx>
      <c:valAx>
        <c:axId val="239057152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one"/>
        <c:crossAx val="239058944"/>
        <c:crosses val="max"/>
        <c:crossBetween val="midCat"/>
      </c:valAx>
      <c:valAx>
        <c:axId val="239058944"/>
        <c:scaling>
          <c:orientation val="minMax"/>
          <c:max val="10"/>
        </c:scaling>
        <c:delete val="0"/>
        <c:axPos val="t"/>
        <c:numFmt formatCode="General" sourceLinked="1"/>
        <c:majorTickMark val="none"/>
        <c:minorTickMark val="none"/>
        <c:tickLblPos val="none"/>
        <c:crossAx val="239057152"/>
        <c:crosses val="max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7A9358-2CAE-486E-B942-997A59918495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AD0FDDE-0FCD-4E46-BA59-EDFB19B6267C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5F36CB7-78C2-42F7-AD49-203EBD70942D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158684</xdr:colOff>
      <xdr:row>1</xdr:row>
      <xdr:rowOff>94132</xdr:rowOff>
    </xdr:from>
    <xdr:to>
      <xdr:col>23</xdr:col>
      <xdr:colOff>21168</xdr:colOff>
      <xdr:row>19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ACFE90-C519-4227-BCB1-AD5CEC559FC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1</xdr:row>
      <xdr:rowOff>347381</xdr:rowOff>
    </xdr:from>
    <xdr:to>
      <xdr:col>11</xdr:col>
      <xdr:colOff>669215</xdr:colOff>
      <xdr:row>23</xdr:row>
      <xdr:rowOff>8604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E2CF6A-E186-4E1E-9FBC-8388E2CC5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16</xdr:row>
      <xdr:rowOff>23812</xdr:rowOff>
    </xdr:from>
    <xdr:to>
      <xdr:col>5</xdr:col>
      <xdr:colOff>622299</xdr:colOff>
      <xdr:row>18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C8FF-8B7B-4430-99B9-0E69C5EB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5100" y="3113087"/>
          <a:ext cx="1663699" cy="44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103587</xdr:colOff>
      <xdr:row>3</xdr:row>
      <xdr:rowOff>127397</xdr:rowOff>
    </xdr:from>
    <xdr:to>
      <xdr:col>6</xdr:col>
      <xdr:colOff>514350</xdr:colOff>
      <xdr:row>25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B57432-B87B-4365-8213-A221889A5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67694</xdr:colOff>
      <xdr:row>5</xdr:row>
      <xdr:rowOff>74841</xdr:rowOff>
    </xdr:from>
    <xdr:to>
      <xdr:col>2</xdr:col>
      <xdr:colOff>1066800</xdr:colOff>
      <xdr:row>7</xdr:row>
      <xdr:rowOff>1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9E3EB527-57D3-46A0-B053-E1AA7CF85ACC}"/>
            </a:ext>
          </a:extLst>
        </xdr:cNvPr>
        <xdr:cNvSpPr txBox="1"/>
      </xdr:nvSpPr>
      <xdr:spPr>
        <a:xfrm>
          <a:off x="905894" y="1046391"/>
          <a:ext cx="1589656" cy="24901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b="1"/>
            <a:t>Proxy Group Median = 72.94%</a:t>
          </a:r>
        </a:p>
      </xdr:txBody>
    </xdr:sp>
    <xdr:clientData/>
  </xdr:twoCellAnchor>
  <xdr:twoCellAnchor>
    <xdr:from>
      <xdr:col>2</xdr:col>
      <xdr:colOff>209550</xdr:colOff>
      <xdr:row>7</xdr:row>
      <xdr:rowOff>1</xdr:rowOff>
    </xdr:from>
    <xdr:to>
      <xdr:col>2</xdr:col>
      <xdr:colOff>271972</xdr:colOff>
      <xdr:row>11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963F95B-331B-4615-A927-3C08C5F2BFF4}"/>
            </a:ext>
          </a:extLst>
        </xdr:cNvPr>
        <xdr:cNvCxnSpPr>
          <a:stCxn id="3" idx="2"/>
        </xdr:cNvCxnSpPr>
      </xdr:nvCxnSpPr>
      <xdr:spPr>
        <a:xfrm flipH="1">
          <a:off x="1638300" y="1295401"/>
          <a:ext cx="62422" cy="7238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XFD1048576"/>
    </sheetView>
  </sheetViews>
  <sheetFormatPr defaultRowHeight="15.75"/>
  <cols>
    <col min="1" max="1" width="98.7109375" style="399" customWidth="1"/>
    <col min="2" max="2" width="29.42578125" style="399" customWidth="1"/>
    <col min="3" max="16384" width="9.140625" style="399"/>
  </cols>
  <sheetData>
    <row r="1" spans="1:7">
      <c r="A1" s="398" t="s">
        <v>1494</v>
      </c>
    </row>
    <row r="2" spans="1:7">
      <c r="A2" s="398" t="s">
        <v>1495</v>
      </c>
    </row>
    <row r="3" spans="1:7">
      <c r="A3" s="398" t="s">
        <v>1496</v>
      </c>
    </row>
    <row r="4" spans="1:7">
      <c r="A4" s="400"/>
    </row>
    <row r="5" spans="1:7">
      <c r="A5" s="401"/>
    </row>
    <row r="6" spans="1:7">
      <c r="A6" s="401"/>
    </row>
    <row r="7" spans="1:7">
      <c r="A7" s="401"/>
    </row>
    <row r="8" spans="1:7">
      <c r="A8" s="401"/>
    </row>
    <row r="9" spans="1:7">
      <c r="A9" s="401"/>
    </row>
    <row r="10" spans="1:7">
      <c r="A10" s="401"/>
    </row>
    <row r="11" spans="1:7">
      <c r="A11" s="401"/>
      <c r="G11" s="402"/>
    </row>
    <row r="12" spans="1:7">
      <c r="A12" s="401"/>
    </row>
    <row r="13" spans="1:7">
      <c r="A13" s="401"/>
    </row>
    <row r="14" spans="1:7">
      <c r="A14" s="401"/>
    </row>
    <row r="15" spans="1:7">
      <c r="A15" s="401"/>
    </row>
    <row r="16" spans="1:7">
      <c r="A16" s="403"/>
    </row>
    <row r="17" spans="1:1">
      <c r="A17" s="403"/>
    </row>
    <row r="18" spans="1:1">
      <c r="A18" s="401"/>
    </row>
    <row r="19" spans="1:1">
      <c r="A19" s="403" t="s">
        <v>1497</v>
      </c>
    </row>
    <row r="20" spans="1:1">
      <c r="A20" s="403"/>
    </row>
    <row r="21" spans="1:1">
      <c r="A21" s="403" t="s">
        <v>1498</v>
      </c>
    </row>
    <row r="22" spans="1:1">
      <c r="A22" s="403"/>
    </row>
    <row r="23" spans="1:1">
      <c r="A23" s="403"/>
    </row>
    <row r="24" spans="1:1">
      <c r="A24" s="404" t="s">
        <v>1499</v>
      </c>
    </row>
    <row r="25" spans="1:1">
      <c r="A25" s="403"/>
    </row>
    <row r="26" spans="1:1">
      <c r="A26" s="403"/>
    </row>
    <row r="27" spans="1:1">
      <c r="A27" s="403"/>
    </row>
    <row r="28" spans="1:1">
      <c r="A28" s="403"/>
    </row>
    <row r="29" spans="1:1">
      <c r="A29" s="403"/>
    </row>
    <row r="30" spans="1:1">
      <c r="A30" s="405" t="s">
        <v>1500</v>
      </c>
    </row>
    <row r="31" spans="1:1">
      <c r="A31" s="406"/>
    </row>
    <row r="32" spans="1:1">
      <c r="A32" s="402"/>
    </row>
    <row r="33" spans="1:1">
      <c r="A33" s="402"/>
    </row>
    <row r="34" spans="1:1">
      <c r="A34" s="402"/>
    </row>
    <row r="35" spans="1:1">
      <c r="A35" s="402"/>
    </row>
    <row r="36" spans="1:1">
      <c r="A36" s="40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1"/>
  <sheetViews>
    <sheetView zoomScale="90" zoomScaleNormal="90" zoomScaleSheetLayoutView="70" workbookViewId="0">
      <selection sqref="A1:XFD1048576"/>
    </sheetView>
  </sheetViews>
  <sheetFormatPr defaultColWidth="9.140625" defaultRowHeight="15.75"/>
  <cols>
    <col min="1" max="1" width="3" style="236" customWidth="1"/>
    <col min="2" max="2" width="40.7109375" style="236" customWidth="1"/>
    <col min="3" max="3" width="10.7109375" style="236" customWidth="1"/>
    <col min="4" max="11" width="15.5703125" style="236" customWidth="1"/>
    <col min="12" max="13" width="14.5703125" style="236" customWidth="1"/>
    <col min="14" max="14" width="19" style="236" bestFit="1" customWidth="1"/>
    <col min="15" max="16384" width="9.140625" style="236"/>
  </cols>
  <sheetData>
    <row r="1" spans="1:15" ht="12.75" customHeight="1">
      <c r="A1" s="234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5" ht="12.75" customHeight="1">
      <c r="A2" s="234"/>
      <c r="B2" s="451" t="s">
        <v>1371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</row>
    <row r="3" spans="1:15" ht="12.75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5" ht="12.75" customHeight="1" thickBot="1">
      <c r="A4" s="234"/>
      <c r="B4" s="234"/>
      <c r="C4" s="234"/>
      <c r="D4" s="237" t="s">
        <v>4</v>
      </c>
      <c r="E4" s="237" t="s">
        <v>5</v>
      </c>
      <c r="F4" s="237" t="s">
        <v>6</v>
      </c>
      <c r="G4" s="237" t="s">
        <v>7</v>
      </c>
      <c r="H4" s="237" t="s">
        <v>8</v>
      </c>
      <c r="I4" s="237" t="s">
        <v>9</v>
      </c>
      <c r="J4" s="237" t="s">
        <v>10</v>
      </c>
      <c r="K4" s="237" t="s">
        <v>11</v>
      </c>
      <c r="L4" s="237" t="s">
        <v>12</v>
      </c>
      <c r="M4" s="237" t="s">
        <v>13</v>
      </c>
      <c r="O4" s="238"/>
    </row>
    <row r="5" spans="1:15" ht="63" customHeight="1">
      <c r="A5" s="239"/>
      <c r="B5" s="240"/>
      <c r="C5" s="240"/>
      <c r="D5" s="241" t="s">
        <v>1372</v>
      </c>
      <c r="E5" s="241" t="s">
        <v>1373</v>
      </c>
      <c r="F5" s="241" t="s">
        <v>1374</v>
      </c>
      <c r="G5" s="241" t="s">
        <v>1375</v>
      </c>
      <c r="H5" s="241" t="s">
        <v>1376</v>
      </c>
      <c r="I5" s="241" t="s">
        <v>1377</v>
      </c>
      <c r="J5" s="241" t="s">
        <v>1378</v>
      </c>
      <c r="K5" s="241" t="s">
        <v>1492</v>
      </c>
      <c r="L5" s="241" t="s">
        <v>1379</v>
      </c>
      <c r="M5" s="241" t="s">
        <v>1380</v>
      </c>
    </row>
    <row r="6" spans="1:15" ht="12.75" customHeight="1">
      <c r="A6" s="239"/>
      <c r="B6" s="234"/>
      <c r="C6" s="234"/>
      <c r="D6" s="239"/>
      <c r="E6" s="239"/>
      <c r="F6" s="239"/>
      <c r="G6" s="239"/>
      <c r="H6" s="239"/>
      <c r="I6" s="239"/>
      <c r="J6" s="239"/>
      <c r="K6" s="239"/>
      <c r="L6" s="239"/>
      <c r="M6" s="239"/>
      <c r="O6" s="242"/>
    </row>
    <row r="7" spans="1:15" ht="12.75" customHeight="1">
      <c r="A7" s="243"/>
      <c r="B7" s="14" t="s">
        <v>58</v>
      </c>
      <c r="C7" s="8" t="s">
        <v>21</v>
      </c>
      <c r="D7" s="244">
        <v>0.11</v>
      </c>
      <c r="E7" s="245">
        <v>6965.7</v>
      </c>
      <c r="F7" s="244">
        <v>0.56000000000000005</v>
      </c>
      <c r="G7" s="245">
        <f>E7*F7</f>
        <v>3900.7920000000004</v>
      </c>
      <c r="H7" s="245">
        <v>11000</v>
      </c>
      <c r="I7" s="244">
        <v>0.55000000000000004</v>
      </c>
      <c r="J7" s="245">
        <f>H7*I7</f>
        <v>6050.0000000000009</v>
      </c>
      <c r="K7" s="246">
        <f t="shared" ref="K7:K13" si="0">IFERROR((J7/G7)^(1/5)-1, " ")</f>
        <v>9.1743252063397174E-2</v>
      </c>
      <c r="L7" s="247">
        <f>IFERROR(2*(1+K7)/(2+K7), " ")</f>
        <v>1.0438597098247586</v>
      </c>
      <c r="M7" s="248">
        <f t="shared" ref="M7:M13" si="1">D7*L7</f>
        <v>0.11482456808072344</v>
      </c>
      <c r="N7" s="249"/>
      <c r="O7" s="250"/>
    </row>
    <row r="8" spans="1:15" ht="12.75" customHeight="1">
      <c r="A8" s="243"/>
      <c r="B8" s="14" t="s">
        <v>59</v>
      </c>
      <c r="C8" s="8" t="s">
        <v>22</v>
      </c>
      <c r="D8" s="244">
        <v>0.13</v>
      </c>
      <c r="E8" s="245">
        <v>2233.6999999999998</v>
      </c>
      <c r="F8" s="244">
        <v>0.55400000000000005</v>
      </c>
      <c r="G8" s="245">
        <f>E8*F8</f>
        <v>1237.4698000000001</v>
      </c>
      <c r="H8" s="245">
        <v>3160</v>
      </c>
      <c r="I8" s="244">
        <v>0.62</v>
      </c>
      <c r="J8" s="245">
        <f>H8*I8</f>
        <v>1959.2</v>
      </c>
      <c r="K8" s="246">
        <f t="shared" si="0"/>
        <v>9.6248046925375474E-2</v>
      </c>
      <c r="L8" s="247">
        <f t="shared" ref="L8:L13" si="2">IFERROR(2*(1+K8)/(2+K8), " ")</f>
        <v>1.0459144360642554</v>
      </c>
      <c r="M8" s="248">
        <f t="shared" si="1"/>
        <v>0.1359688766883532</v>
      </c>
    </row>
    <row r="9" spans="1:15" ht="12.75" customHeight="1">
      <c r="A9" s="243"/>
      <c r="B9" s="14" t="s">
        <v>62</v>
      </c>
      <c r="C9" s="8" t="s">
        <v>23</v>
      </c>
      <c r="D9" s="244">
        <v>0.12</v>
      </c>
      <c r="E9" s="245">
        <v>1426</v>
      </c>
      <c r="F9" s="244">
        <v>0.52100000000000002</v>
      </c>
      <c r="G9" s="245">
        <f t="shared" ref="G9:G13" si="3">E9*F9</f>
        <v>742.94600000000003</v>
      </c>
      <c r="H9" s="245">
        <v>1750</v>
      </c>
      <c r="I9" s="244">
        <v>0.53500000000000003</v>
      </c>
      <c r="J9" s="245">
        <f t="shared" ref="J9:J13" si="4">H9*I9</f>
        <v>936.25</v>
      </c>
      <c r="K9" s="246">
        <f t="shared" si="0"/>
        <v>4.7338133327326393E-2</v>
      </c>
      <c r="L9" s="247">
        <f t="shared" si="2"/>
        <v>1.0231217953481835</v>
      </c>
      <c r="M9" s="248">
        <f t="shared" si="1"/>
        <v>0.12277461544178202</v>
      </c>
    </row>
    <row r="10" spans="1:15" ht="12.75" customHeight="1">
      <c r="A10" s="243"/>
      <c r="B10" s="14" t="s">
        <v>100</v>
      </c>
      <c r="C10" s="29" t="s">
        <v>101</v>
      </c>
      <c r="D10" s="244">
        <v>0.11</v>
      </c>
      <c r="E10" s="245">
        <v>3153.5</v>
      </c>
      <c r="F10" s="244">
        <v>0.622</v>
      </c>
      <c r="G10" s="245">
        <f t="shared" si="3"/>
        <v>1961.4770000000001</v>
      </c>
      <c r="H10" s="245">
        <v>3850</v>
      </c>
      <c r="I10" s="244">
        <v>0.62</v>
      </c>
      <c r="J10" s="245">
        <f t="shared" si="4"/>
        <v>2387</v>
      </c>
      <c r="K10" s="246">
        <f t="shared" si="0"/>
        <v>4.0049093466726804E-2</v>
      </c>
      <c r="L10" s="247">
        <f t="shared" si="2"/>
        <v>1.0196314361232701</v>
      </c>
      <c r="M10" s="248">
        <f t="shared" si="1"/>
        <v>0.11215945797355971</v>
      </c>
    </row>
    <row r="11" spans="1:15" ht="12.75" customHeight="1">
      <c r="A11" s="243"/>
      <c r="B11" s="14" t="s">
        <v>60</v>
      </c>
      <c r="C11" s="8" t="s">
        <v>24</v>
      </c>
      <c r="D11" s="244">
        <v>0.115</v>
      </c>
      <c r="E11" s="245">
        <v>2315.4</v>
      </c>
      <c r="F11" s="244">
        <v>0.51500000000000001</v>
      </c>
      <c r="G11" s="245">
        <f t="shared" si="3"/>
        <v>1192.431</v>
      </c>
      <c r="H11" s="245">
        <v>3700</v>
      </c>
      <c r="I11" s="244">
        <v>0.5</v>
      </c>
      <c r="J11" s="245">
        <f t="shared" si="4"/>
        <v>1850</v>
      </c>
      <c r="K11" s="246">
        <f>IFERROR((J11/G11)^(1/5)-1, " ")</f>
        <v>9.1811574624354408E-2</v>
      </c>
      <c r="L11" s="247">
        <f t="shared" si="2"/>
        <v>1.043890939192667</v>
      </c>
      <c r="M11" s="248">
        <f t="shared" si="1"/>
        <v>0.1200474580071567</v>
      </c>
    </row>
    <row r="12" spans="1:15" ht="12.75" customHeight="1">
      <c r="A12" s="243"/>
      <c r="B12" s="14" t="s">
        <v>61</v>
      </c>
      <c r="C12" s="8" t="s">
        <v>25</v>
      </c>
      <c r="D12" s="244">
        <v>9.5000000000000001E-2</v>
      </c>
      <c r="E12" s="245">
        <v>3613.3</v>
      </c>
      <c r="F12" s="244">
        <v>0.502</v>
      </c>
      <c r="G12" s="245">
        <f t="shared" si="3"/>
        <v>1813.8766000000001</v>
      </c>
      <c r="H12" s="245">
        <v>5700</v>
      </c>
      <c r="I12" s="244">
        <v>0.52500000000000002</v>
      </c>
      <c r="J12" s="245">
        <f t="shared" si="4"/>
        <v>2992.5</v>
      </c>
      <c r="K12" s="246">
        <f t="shared" si="0"/>
        <v>0.1053130158369735</v>
      </c>
      <c r="L12" s="247">
        <f t="shared" si="2"/>
        <v>1.0500224978636283</v>
      </c>
      <c r="M12" s="248">
        <f t="shared" si="1"/>
        <v>9.9752137297044699E-2</v>
      </c>
    </row>
    <row r="13" spans="1:15" ht="12.75" customHeight="1">
      <c r="A13" s="243"/>
      <c r="B13" s="14" t="s">
        <v>102</v>
      </c>
      <c r="C13" s="29" t="s">
        <v>103</v>
      </c>
      <c r="D13" s="244">
        <v>0.1</v>
      </c>
      <c r="E13" s="245">
        <v>3986.3</v>
      </c>
      <c r="F13" s="244">
        <v>0.5</v>
      </c>
      <c r="G13" s="245">
        <f t="shared" si="3"/>
        <v>1993.15</v>
      </c>
      <c r="H13" s="245">
        <v>5115</v>
      </c>
      <c r="I13" s="244">
        <v>0.55000000000000004</v>
      </c>
      <c r="J13" s="245">
        <f t="shared" si="4"/>
        <v>2813.25</v>
      </c>
      <c r="K13" s="246">
        <f t="shared" si="0"/>
        <v>7.135566092218415E-2</v>
      </c>
      <c r="L13" s="247">
        <f t="shared" si="2"/>
        <v>1.0344487729791494</v>
      </c>
      <c r="M13" s="248">
        <f t="shared" si="1"/>
        <v>0.10344487729791495</v>
      </c>
    </row>
    <row r="14" spans="1:15" ht="12.75" customHeight="1">
      <c r="A14" s="243"/>
      <c r="B14" s="234"/>
      <c r="C14" s="237"/>
      <c r="D14" s="244"/>
      <c r="E14" s="245"/>
      <c r="F14" s="244"/>
      <c r="G14" s="245"/>
      <c r="H14" s="245"/>
      <c r="I14" s="244"/>
      <c r="J14" s="245"/>
      <c r="K14" s="246"/>
      <c r="L14" s="247"/>
      <c r="M14" s="248"/>
    </row>
    <row r="15" spans="1:15" ht="12.75" customHeight="1">
      <c r="A15" s="243"/>
      <c r="B15" s="392" t="s">
        <v>1454</v>
      </c>
      <c r="C15" s="393"/>
      <c r="D15" s="394"/>
      <c r="E15" s="394"/>
      <c r="F15" s="394"/>
      <c r="G15" s="394"/>
      <c r="H15" s="394"/>
      <c r="I15" s="394"/>
      <c r="J15" s="394"/>
      <c r="K15" s="394"/>
      <c r="L15" s="395"/>
      <c r="M15" s="396">
        <f>AVERAGE(M7:M13)</f>
        <v>0.11556742725521925</v>
      </c>
    </row>
    <row r="16" spans="1:15" ht="12.75" customHeight="1" thickBot="1">
      <c r="A16" s="243"/>
      <c r="B16" s="389" t="s">
        <v>1315</v>
      </c>
      <c r="C16" s="390"/>
      <c r="D16" s="391"/>
      <c r="E16" s="391"/>
      <c r="F16" s="391"/>
      <c r="G16" s="391"/>
      <c r="H16" s="391"/>
      <c r="I16" s="391"/>
      <c r="J16" s="391"/>
      <c r="K16" s="391"/>
      <c r="L16" s="389"/>
      <c r="M16" s="397">
        <f>MEDIAN(M7:M13)</f>
        <v>0.11482456808072344</v>
      </c>
    </row>
    <row r="17" spans="1:14" ht="12.75" customHeight="1">
      <c r="A17" s="234"/>
      <c r="B17" s="252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</row>
    <row r="18" spans="1:14" ht="12.75" customHeight="1">
      <c r="A18" s="234"/>
      <c r="B18" s="253" t="s">
        <v>27</v>
      </c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54"/>
    </row>
    <row r="19" spans="1:14" ht="12.75" customHeight="1">
      <c r="A19" s="234"/>
      <c r="B19" s="255" t="s">
        <v>1300</v>
      </c>
      <c r="C19" s="234"/>
      <c r="D19" s="234"/>
      <c r="E19" s="234"/>
      <c r="F19" s="234"/>
      <c r="G19" s="256"/>
      <c r="H19" s="257"/>
      <c r="I19" s="257"/>
      <c r="J19" s="257"/>
      <c r="K19" s="257"/>
      <c r="L19" s="257"/>
      <c r="M19" s="257"/>
      <c r="N19" s="258"/>
    </row>
    <row r="20" spans="1:14" ht="12.75" customHeight="1">
      <c r="A20" s="234"/>
      <c r="B20" s="255" t="s">
        <v>1299</v>
      </c>
      <c r="C20" s="234"/>
      <c r="D20" s="234"/>
      <c r="E20" s="234"/>
      <c r="F20" s="234"/>
      <c r="G20" s="259"/>
      <c r="H20" s="259"/>
      <c r="I20" s="259"/>
      <c r="J20" s="259"/>
      <c r="K20" s="259"/>
      <c r="L20" s="259"/>
      <c r="M20" s="234"/>
      <c r="N20" s="260"/>
    </row>
    <row r="21" spans="1:14" ht="12.75" customHeight="1">
      <c r="A21" s="234"/>
      <c r="B21" s="255" t="s">
        <v>1298</v>
      </c>
      <c r="C21" s="234"/>
      <c r="D21" s="234"/>
      <c r="E21" s="234"/>
      <c r="F21" s="234"/>
      <c r="G21" s="261"/>
      <c r="H21" s="261"/>
      <c r="I21" s="261"/>
      <c r="J21" s="261"/>
      <c r="K21" s="261"/>
      <c r="L21" s="261"/>
      <c r="M21" s="234"/>
      <c r="N21" s="250"/>
    </row>
    <row r="22" spans="1:14" ht="12.75" customHeight="1">
      <c r="A22" s="234"/>
      <c r="B22" s="255" t="s">
        <v>1382</v>
      </c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</row>
    <row r="23" spans="1:14" ht="12.75" customHeight="1">
      <c r="A23" s="234"/>
      <c r="B23" s="255" t="s">
        <v>1297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</row>
    <row r="24" spans="1:14" ht="12.75" customHeight="1">
      <c r="A24" s="234"/>
      <c r="B24" s="255" t="s">
        <v>1296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</row>
    <row r="25" spans="1:14" ht="12.75" customHeight="1">
      <c r="A25" s="234"/>
      <c r="B25" s="255" t="s">
        <v>1383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</row>
    <row r="26" spans="1:14" ht="12.75" customHeight="1">
      <c r="A26" s="234"/>
      <c r="B26" s="255" t="s">
        <v>1384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</row>
    <row r="27" spans="1:14" ht="12.75" customHeight="1">
      <c r="A27" s="234"/>
      <c r="B27" s="255" t="s">
        <v>1385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</row>
    <row r="28" spans="1:14" ht="12.75" customHeight="1">
      <c r="A28" s="234"/>
      <c r="B28" s="255" t="s">
        <v>1386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</row>
    <row r="29" spans="1:14" ht="12.75" customHeight="1">
      <c r="A29" s="234"/>
      <c r="B29" s="255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</row>
    <row r="30" spans="1:14" ht="12.75" customHeight="1">
      <c r="A30" s="234"/>
      <c r="B30" s="255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</row>
    <row r="31" spans="1:14" ht="12.75" customHeight="1">
      <c r="B31" s="262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</sheetData>
  <mergeCells count="1">
    <mergeCell ref="B2:M2"/>
  </mergeCells>
  <conditionalFormatting sqref="D7:J14 D15:K16">
    <cfRule type="expression" dxfId="12" priority="3">
      <formula>$D7="Yes"</formula>
    </cfRule>
  </conditionalFormatting>
  <conditionalFormatting sqref="B7:C13">
    <cfRule type="expression" dxfId="11" priority="1">
      <formula>"(blank)"</formula>
    </cfRule>
  </conditionalFormatting>
  <conditionalFormatting sqref="B7:C13">
    <cfRule type="expression" dxfId="10" priority="2">
      <formula>#REF!</formula>
    </cfRule>
  </conditionalFormatting>
  <pageMargins left="0.7" right="0.7" top="0.75" bottom="0.75" header="0.3" footer="0.3"/>
  <pageSetup scale="59" orientation="landscape" useFirstPageNumber="1" r:id="rId1"/>
  <headerFooter>
    <oddHeader>&amp;RDocket No. UG-19____
Cascade Natural Gas Corp.
Exhibit No.___(AEB-2)
Schedule 7
Page &amp;P of 1</oddHeader>
  </headerFooter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62"/>
  <sheetViews>
    <sheetView zoomScaleNormal="100" workbookViewId="0">
      <selection sqref="A1:XFD1048576"/>
    </sheetView>
  </sheetViews>
  <sheetFormatPr defaultColWidth="9.140625" defaultRowHeight="12.75"/>
  <cols>
    <col min="1" max="1" width="2.42578125" style="338" customWidth="1"/>
    <col min="2" max="2" width="15.85546875" style="338" customWidth="1"/>
    <col min="3" max="3" width="16.7109375" style="338" customWidth="1"/>
    <col min="4" max="4" width="14.85546875" style="338" customWidth="1"/>
    <col min="5" max="5" width="14" style="338" customWidth="1"/>
    <col min="6" max="6" width="14.85546875" style="338" customWidth="1"/>
    <col min="7" max="7" width="13" style="338" customWidth="1"/>
    <col min="8" max="8" width="2.42578125" style="338" customWidth="1"/>
    <col min="9" max="9" width="12.28515625" style="338" bestFit="1" customWidth="1"/>
    <col min="10" max="10" width="14" style="338" customWidth="1"/>
    <col min="11" max="11" width="12.28515625" style="338" bestFit="1" customWidth="1"/>
    <col min="12" max="16384" width="9.140625" style="338"/>
  </cols>
  <sheetData>
    <row r="2" spans="2:7">
      <c r="B2" s="337" t="s">
        <v>1459</v>
      </c>
      <c r="C2" s="337"/>
      <c r="D2" s="337"/>
      <c r="E2" s="337"/>
      <c r="F2" s="337"/>
      <c r="G2" s="337"/>
    </row>
    <row r="4" spans="2:7">
      <c r="B4" s="337" t="s">
        <v>1460</v>
      </c>
      <c r="C4" s="337"/>
      <c r="D4" s="337"/>
      <c r="E4" s="337"/>
      <c r="F4" s="337"/>
      <c r="G4" s="337"/>
    </row>
    <row r="6" spans="2:7" ht="13.5" thickBot="1">
      <c r="F6" s="339" t="s">
        <v>4</v>
      </c>
      <c r="G6" s="339" t="s">
        <v>5</v>
      </c>
    </row>
    <row r="7" spans="2:7">
      <c r="B7" s="340"/>
      <c r="C7" s="340"/>
      <c r="D7" s="340"/>
      <c r="E7" s="340"/>
      <c r="F7" s="341" t="s">
        <v>245</v>
      </c>
      <c r="G7" s="340"/>
    </row>
    <row r="8" spans="2:7">
      <c r="F8" s="342" t="s">
        <v>1461</v>
      </c>
      <c r="G8" s="342" t="s">
        <v>1462</v>
      </c>
    </row>
    <row r="9" spans="2:7">
      <c r="B9" s="343" t="s">
        <v>0</v>
      </c>
      <c r="C9" s="343"/>
      <c r="D9" s="343"/>
      <c r="E9" s="344" t="s">
        <v>1</v>
      </c>
      <c r="F9" s="344" t="s">
        <v>1463</v>
      </c>
      <c r="G9" s="344" t="s">
        <v>1464</v>
      </c>
    </row>
    <row r="10" spans="2:7">
      <c r="B10" s="337"/>
      <c r="C10" s="337"/>
      <c r="D10" s="337"/>
      <c r="E10" s="342"/>
      <c r="F10" s="342"/>
      <c r="G10" s="342"/>
    </row>
    <row r="11" spans="2:7">
      <c r="B11" s="345" t="s">
        <v>58</v>
      </c>
      <c r="E11" s="346" t="s">
        <v>21</v>
      </c>
      <c r="F11" s="347">
        <v>10.927531843333332</v>
      </c>
      <c r="G11" s="347">
        <v>2.074983333333333</v>
      </c>
    </row>
    <row r="12" spans="2:7">
      <c r="B12" s="345" t="s">
        <v>59</v>
      </c>
      <c r="E12" s="346" t="s">
        <v>22</v>
      </c>
      <c r="F12" s="347">
        <v>4.0834798600000006</v>
      </c>
      <c r="G12" s="347">
        <v>2.7674533333333349</v>
      </c>
    </row>
    <row r="13" spans="2:7">
      <c r="B13" s="345" t="s">
        <v>62</v>
      </c>
      <c r="E13" s="346" t="s">
        <v>23</v>
      </c>
      <c r="F13" s="347">
        <v>1.7420259533333329</v>
      </c>
      <c r="G13" s="347">
        <v>2.3653733333333333</v>
      </c>
    </row>
    <row r="14" spans="2:7">
      <c r="B14" s="345" t="s">
        <v>1465</v>
      </c>
      <c r="E14" s="346" t="s">
        <v>101</v>
      </c>
      <c r="F14" s="347">
        <v>4.1902717333333328</v>
      </c>
      <c r="G14" s="347">
        <v>2.0778700000000003</v>
      </c>
    </row>
    <row r="15" spans="2:7">
      <c r="B15" s="345" t="s">
        <v>60</v>
      </c>
      <c r="C15" s="348"/>
      <c r="E15" s="348" t="s">
        <v>24</v>
      </c>
      <c r="F15" s="347">
        <v>2.5365529533333331</v>
      </c>
      <c r="G15" s="347">
        <v>1.9992966666666667</v>
      </c>
    </row>
    <row r="16" spans="2:7">
      <c r="B16" s="345" t="s">
        <v>61</v>
      </c>
      <c r="E16" s="346" t="s">
        <v>25</v>
      </c>
      <c r="F16" s="347">
        <v>4.0810119599999997</v>
      </c>
      <c r="G16" s="347">
        <v>1.9553766666666665</v>
      </c>
    </row>
    <row r="17" spans="2:15">
      <c r="B17" s="345" t="s">
        <v>102</v>
      </c>
      <c r="E17" s="346" t="s">
        <v>103</v>
      </c>
      <c r="F17" s="347">
        <v>3.8092836633333347</v>
      </c>
      <c r="G17" s="347">
        <v>1.6731733333333334</v>
      </c>
    </row>
    <row r="18" spans="2:15">
      <c r="B18" s="349"/>
      <c r="C18" s="350"/>
      <c r="D18" s="350"/>
      <c r="E18" s="351"/>
      <c r="F18" s="352"/>
      <c r="G18" s="352"/>
    </row>
    <row r="19" spans="2:15">
      <c r="B19" s="353" t="s">
        <v>1381</v>
      </c>
      <c r="C19" s="353"/>
      <c r="D19" s="353"/>
      <c r="E19" s="354"/>
      <c r="F19" s="355">
        <f>AVERAGE(F11:F17)</f>
        <v>4.4814511380952391</v>
      </c>
      <c r="G19" s="355">
        <f>AVERAGE(G11:G17)</f>
        <v>2.1305038095238094</v>
      </c>
    </row>
    <row r="20" spans="2:15" ht="13.5" thickBot="1">
      <c r="B20" s="356" t="s">
        <v>1315</v>
      </c>
      <c r="C20" s="356"/>
      <c r="D20" s="356"/>
      <c r="E20" s="357"/>
      <c r="F20" s="358">
        <f>MEDIAN(F11:F17)</f>
        <v>4.0810119599999997</v>
      </c>
      <c r="G20" s="358">
        <f>MEDIAN(G11:G17)</f>
        <v>2.074983333333333</v>
      </c>
    </row>
    <row r="23" spans="2:15">
      <c r="B23" s="338" t="s">
        <v>1483</v>
      </c>
    </row>
    <row r="24" spans="2:15" s="361" customFormat="1">
      <c r="B24" s="359" t="s">
        <v>1466</v>
      </c>
      <c r="C24" s="338"/>
      <c r="D24" s="338"/>
      <c r="E24" s="338"/>
      <c r="F24" s="338"/>
      <c r="G24" s="386">
        <f>(405000000/1000000)*50%</f>
        <v>202.5</v>
      </c>
      <c r="H24" s="338"/>
      <c r="I24" s="360"/>
      <c r="J24" s="338"/>
      <c r="K24" s="338"/>
      <c r="L24" s="338"/>
      <c r="M24" s="338"/>
      <c r="N24" s="338"/>
      <c r="O24" s="338"/>
    </row>
    <row r="25" spans="2:15">
      <c r="B25" s="359" t="s">
        <v>1467</v>
      </c>
      <c r="C25" s="361"/>
      <c r="D25" s="361"/>
      <c r="E25" s="361"/>
      <c r="F25" s="361"/>
      <c r="G25" s="381">
        <f>G24*G20</f>
        <v>420.18412499999994</v>
      </c>
      <c r="H25" s="361"/>
    </row>
    <row r="26" spans="2:15">
      <c r="B26" s="362" t="s">
        <v>1468</v>
      </c>
      <c r="G26" s="363">
        <f>G25/(F20*1000)</f>
        <v>0.10296076784837453</v>
      </c>
    </row>
    <row r="27" spans="2:15">
      <c r="B27" s="362"/>
      <c r="J27" s="364"/>
    </row>
    <row r="29" spans="2:15">
      <c r="B29" s="337" t="s">
        <v>1469</v>
      </c>
      <c r="C29" s="337"/>
      <c r="D29" s="337"/>
      <c r="E29" s="337"/>
      <c r="F29" s="337"/>
      <c r="G29" s="337"/>
      <c r="J29" s="364"/>
    </row>
    <row r="30" spans="2:15">
      <c r="B30" s="337"/>
      <c r="C30" s="337"/>
      <c r="D30" s="337"/>
      <c r="E30" s="337"/>
      <c r="F30" s="337"/>
      <c r="G30" s="337"/>
      <c r="H30" s="337"/>
    </row>
    <row r="31" spans="2:15" ht="13.5" thickBot="1">
      <c r="F31" s="339" t="s">
        <v>8</v>
      </c>
      <c r="G31" s="339" t="s">
        <v>9</v>
      </c>
    </row>
    <row r="32" spans="2:15">
      <c r="B32" s="340"/>
      <c r="C32" s="340"/>
      <c r="D32" s="340"/>
      <c r="E32" s="340"/>
      <c r="F32" s="365" t="s">
        <v>245</v>
      </c>
      <c r="G32" s="366"/>
    </row>
    <row r="33" spans="2:15">
      <c r="F33" s="367" t="s">
        <v>1461</v>
      </c>
      <c r="G33" s="368"/>
    </row>
    <row r="34" spans="2:15">
      <c r="F34" s="367" t="s">
        <v>1470</v>
      </c>
      <c r="G34" s="368"/>
    </row>
    <row r="35" spans="2:15">
      <c r="F35" s="367" t="s">
        <v>0</v>
      </c>
      <c r="G35" s="367" t="s">
        <v>1471</v>
      </c>
    </row>
    <row r="36" spans="2:15">
      <c r="B36" s="350" t="s">
        <v>1472</v>
      </c>
      <c r="C36" s="350"/>
      <c r="D36" s="350"/>
      <c r="E36" s="350"/>
      <c r="F36" s="369" t="s">
        <v>1473</v>
      </c>
      <c r="G36" s="369" t="s">
        <v>55</v>
      </c>
    </row>
    <row r="37" spans="2:15">
      <c r="B37" s="361" t="s">
        <v>1474</v>
      </c>
      <c r="F37" s="370">
        <v>1073390.5660000001</v>
      </c>
      <c r="G37" s="371">
        <v>-3.0000000000000001E-3</v>
      </c>
      <c r="I37" s="372"/>
      <c r="J37" s="373"/>
      <c r="K37" s="374"/>
    </row>
    <row r="38" spans="2:15">
      <c r="B38" s="361">
        <v>2</v>
      </c>
      <c r="F38" s="372">
        <v>29022.866999999998</v>
      </c>
      <c r="G38" s="371">
        <v>5.1999999999999998E-3</v>
      </c>
      <c r="I38" s="372"/>
      <c r="J38" s="373"/>
      <c r="K38" s="374"/>
    </row>
    <row r="39" spans="2:15">
      <c r="B39" s="361">
        <v>3</v>
      </c>
      <c r="F39" s="372">
        <v>13455.802</v>
      </c>
      <c r="G39" s="371">
        <v>8.0999999999999996E-3</v>
      </c>
      <c r="I39" s="372"/>
      <c r="J39" s="373"/>
      <c r="K39" s="374"/>
    </row>
    <row r="40" spans="2:15">
      <c r="B40" s="361">
        <v>4</v>
      </c>
      <c r="F40" s="372">
        <v>7254.23</v>
      </c>
      <c r="G40" s="371">
        <v>8.5000000000000006E-3</v>
      </c>
      <c r="I40" s="372"/>
      <c r="J40" s="373"/>
      <c r="K40" s="374"/>
      <c r="M40" s="371"/>
      <c r="N40" s="371"/>
    </row>
    <row r="41" spans="2:15">
      <c r="B41" s="361">
        <v>5</v>
      </c>
      <c r="F41" s="372">
        <v>4503.549</v>
      </c>
      <c r="G41" s="371">
        <v>1.2800000000000001E-2</v>
      </c>
      <c r="I41" s="372"/>
      <c r="J41" s="373"/>
      <c r="K41" s="374"/>
      <c r="M41" s="371"/>
      <c r="N41" s="371"/>
      <c r="O41" s="371"/>
    </row>
    <row r="42" spans="2:15">
      <c r="B42" s="361">
        <v>6</v>
      </c>
      <c r="F42" s="372">
        <v>2992.2510000000002</v>
      </c>
      <c r="G42" s="371">
        <v>1.4999999999999999E-2</v>
      </c>
      <c r="I42" s="372"/>
      <c r="J42" s="373"/>
      <c r="K42" s="374"/>
    </row>
    <row r="43" spans="2:15">
      <c r="B43" s="361">
        <v>7</v>
      </c>
      <c r="F43" s="372">
        <v>1960.201</v>
      </c>
      <c r="G43" s="371">
        <v>1.5800000000000002E-2</v>
      </c>
      <c r="I43" s="372"/>
      <c r="J43" s="373"/>
      <c r="K43" s="374"/>
    </row>
    <row r="44" spans="2:15">
      <c r="B44" s="361">
        <v>8</v>
      </c>
      <c r="F44" s="372">
        <v>1292.2239999999999</v>
      </c>
      <c r="G44" s="371">
        <v>1.7999999999999999E-2</v>
      </c>
      <c r="I44" s="372"/>
      <c r="J44" s="373"/>
      <c r="K44" s="374"/>
    </row>
    <row r="45" spans="2:15">
      <c r="B45" s="361">
        <v>9</v>
      </c>
      <c r="F45" s="372">
        <v>727.84299999999996</v>
      </c>
      <c r="G45" s="371">
        <v>2.46E-2</v>
      </c>
      <c r="I45" s="372"/>
      <c r="J45" s="373"/>
      <c r="K45" s="374"/>
    </row>
    <row r="46" spans="2:15">
      <c r="B46" s="375" t="s">
        <v>1475</v>
      </c>
      <c r="C46" s="350"/>
      <c r="D46" s="350"/>
      <c r="E46" s="350"/>
      <c r="F46" s="376">
        <v>321.57799999999997</v>
      </c>
      <c r="G46" s="377">
        <v>5.2200000000000003E-2</v>
      </c>
      <c r="I46" s="372"/>
      <c r="J46" s="373"/>
      <c r="K46" s="374"/>
    </row>
    <row r="47" spans="2:15">
      <c r="K47" s="374"/>
    </row>
    <row r="48" spans="2:15">
      <c r="B48" s="338" t="s">
        <v>1485</v>
      </c>
      <c r="F48" s="378">
        <f>G25</f>
        <v>420.18412499999994</v>
      </c>
      <c r="G48" s="371">
        <f>G45</f>
        <v>2.46E-2</v>
      </c>
    </row>
    <row r="49" spans="2:7">
      <c r="B49" s="338" t="s">
        <v>1476</v>
      </c>
      <c r="F49" s="378">
        <f>F20*1000</f>
        <v>4081.0119599999998</v>
      </c>
      <c r="G49" s="371">
        <f>G41</f>
        <v>1.2800000000000001E-2</v>
      </c>
    </row>
    <row r="51" spans="2:7">
      <c r="B51" s="338" t="s">
        <v>1477</v>
      </c>
      <c r="G51" s="371">
        <f>G48-G49</f>
        <v>1.18E-2</v>
      </c>
    </row>
    <row r="54" spans="2:7">
      <c r="B54" s="379" t="s">
        <v>27</v>
      </c>
      <c r="C54" s="350"/>
    </row>
    <row r="55" spans="2:7">
      <c r="B55" s="368" t="s">
        <v>1478</v>
      </c>
    </row>
    <row r="56" spans="2:7">
      <c r="B56" s="368" t="s">
        <v>1479</v>
      </c>
    </row>
    <row r="57" spans="2:7">
      <c r="B57" s="368" t="s">
        <v>1484</v>
      </c>
    </row>
    <row r="58" spans="2:7">
      <c r="B58" s="368" t="s">
        <v>1480</v>
      </c>
    </row>
    <row r="59" spans="2:7">
      <c r="B59" s="368" t="s">
        <v>1481</v>
      </c>
    </row>
    <row r="60" spans="2:7">
      <c r="B60" s="368" t="s">
        <v>1482</v>
      </c>
    </row>
    <row r="61" spans="2:7">
      <c r="B61" s="368" t="str">
        <f>"[7] Equals "&amp;TEXT(G48,"0.00%")&amp;" − "&amp;TEXT(G49,"0.00%")</f>
        <v>[7] Equals 2.46% − 1.28%</v>
      </c>
    </row>
    <row r="62" spans="2:7">
      <c r="B62" s="380"/>
    </row>
  </sheetData>
  <conditionalFormatting sqref="B11:B14 B16:B17">
    <cfRule type="expression" dxfId="9" priority="5">
      <formula>"(blank)"</formula>
    </cfRule>
  </conditionalFormatting>
  <conditionalFormatting sqref="B11:B14 B16:B17">
    <cfRule type="expression" dxfId="8" priority="6">
      <formula>#REF!</formula>
    </cfRule>
  </conditionalFormatting>
  <conditionalFormatting sqref="B15:C15">
    <cfRule type="expression" dxfId="7" priority="3">
      <formula>"(blank)"</formula>
    </cfRule>
  </conditionalFormatting>
  <conditionalFormatting sqref="B15:C15">
    <cfRule type="expression" dxfId="6" priority="4">
      <formula>#REF!</formula>
    </cfRule>
  </conditionalFormatting>
  <conditionalFormatting sqref="E15">
    <cfRule type="expression" dxfId="5" priority="1">
      <formula>"(blank)"</formula>
    </cfRule>
  </conditionalFormatting>
  <conditionalFormatting sqref="E15">
    <cfRule type="expression" dxfId="4" priority="2">
      <formula>#REF!</formula>
    </cfRule>
  </conditionalFormatting>
  <printOptions horizontalCentered="1"/>
  <pageMargins left="0.7" right="0.7" top="0.75" bottom="0.75" header="0.3" footer="0.3"/>
  <pageSetup scale="90" orientation="portrait" useFirstPageNumber="1" r:id="rId1"/>
  <headerFooter>
    <oddHeader>&amp;RDocket No. UG-19____
Cascade Natural Gas Corp.
Exhibit No.___(AEB-2)
Schedule 8
Page &amp;P of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47"/>
  <sheetViews>
    <sheetView zoomScale="80" zoomScaleNormal="80" zoomScaleSheetLayoutView="70" zoomScalePageLayoutView="85" workbookViewId="0">
      <selection sqref="A1:XFD1048576"/>
    </sheetView>
  </sheetViews>
  <sheetFormatPr defaultColWidth="9.140625" defaultRowHeight="12.75"/>
  <cols>
    <col min="1" max="1" width="48" style="44" customWidth="1"/>
    <col min="2" max="6" width="10.5703125" style="44" customWidth="1"/>
    <col min="7" max="7" width="13.42578125" style="44" customWidth="1"/>
    <col min="8" max="10" width="10.5703125" style="44" customWidth="1"/>
    <col min="11" max="11" width="11.85546875" style="44" customWidth="1"/>
    <col min="12" max="12" width="10.5703125" style="44" customWidth="1"/>
    <col min="13" max="13" width="12" style="44" customWidth="1"/>
    <col min="14" max="16384" width="9.140625" style="44"/>
  </cols>
  <sheetData>
    <row r="1" spans="1:14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A2" s="452" t="s">
        <v>1493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"/>
    </row>
    <row r="3" spans="1:14" ht="13.5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51.75" customHeight="1">
      <c r="A4" s="140" t="s">
        <v>0</v>
      </c>
      <c r="B4" s="139" t="s">
        <v>1325</v>
      </c>
      <c r="C4" s="138" t="s">
        <v>1326</v>
      </c>
      <c r="D4" s="138" t="s">
        <v>1327</v>
      </c>
      <c r="E4" s="138" t="s">
        <v>1328</v>
      </c>
      <c r="F4" s="138" t="s">
        <v>1329</v>
      </c>
      <c r="G4" s="138" t="s">
        <v>1330</v>
      </c>
      <c r="H4" s="138" t="s">
        <v>1331</v>
      </c>
      <c r="I4" s="138" t="s">
        <v>1332</v>
      </c>
      <c r="J4" s="138" t="s">
        <v>1333</v>
      </c>
      <c r="K4" s="138" t="s">
        <v>1334</v>
      </c>
      <c r="L4" s="45"/>
      <c r="M4" s="45"/>
      <c r="N4" s="45"/>
    </row>
    <row r="5" spans="1:14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45"/>
      <c r="N5" s="45"/>
    </row>
    <row r="6" spans="1:14">
      <c r="A6" s="169" t="s">
        <v>1335</v>
      </c>
      <c r="B6" s="170">
        <v>38021</v>
      </c>
      <c r="C6" s="171">
        <v>2300</v>
      </c>
      <c r="D6" s="172">
        <v>23.32</v>
      </c>
      <c r="E6" s="173">
        <v>0.79300000000000004</v>
      </c>
      <c r="F6" s="174">
        <v>350</v>
      </c>
      <c r="G6" s="175">
        <f>J6/C6</f>
        <v>22.374826086956521</v>
      </c>
      <c r="H6" s="176">
        <f>E6*C6+F6</f>
        <v>2173.9</v>
      </c>
      <c r="I6" s="176">
        <f>C6*D6</f>
        <v>53636</v>
      </c>
      <c r="J6" s="176">
        <f>I6-H6</f>
        <v>51462.1</v>
      </c>
      <c r="K6" s="177">
        <f>H6/I6</f>
        <v>4.0530613766872996E-2</v>
      </c>
      <c r="M6" s="45"/>
      <c r="N6" s="45"/>
    </row>
    <row r="7" spans="1:14">
      <c r="A7" s="169" t="s">
        <v>1335</v>
      </c>
      <c r="B7" s="170">
        <v>37579</v>
      </c>
      <c r="C7" s="171">
        <v>2400</v>
      </c>
      <c r="D7" s="172">
        <v>24</v>
      </c>
      <c r="E7" s="173">
        <v>0.72</v>
      </c>
      <c r="F7" s="174">
        <v>192.5</v>
      </c>
      <c r="G7" s="175">
        <f>J7/C7</f>
        <v>23.199791666666666</v>
      </c>
      <c r="H7" s="178">
        <f>E7*C7+F7</f>
        <v>1920.5</v>
      </c>
      <c r="I7" s="178">
        <f>C7*D7</f>
        <v>57600</v>
      </c>
      <c r="J7" s="178">
        <f>I7-H7</f>
        <v>55679.5</v>
      </c>
      <c r="K7" s="179">
        <f>H7/I7</f>
        <v>3.334201388888889E-2</v>
      </c>
      <c r="L7" s="45"/>
      <c r="M7" s="45"/>
      <c r="N7" s="45"/>
    </row>
    <row r="8" spans="1:14" ht="13.5" thickBot="1">
      <c r="A8" s="137"/>
      <c r="B8" s="137"/>
      <c r="C8" s="137"/>
      <c r="D8" s="137"/>
      <c r="E8" s="137"/>
      <c r="F8" s="180"/>
      <c r="G8" s="180"/>
      <c r="H8" s="181">
        <f>SUM(H6:H7)</f>
        <v>4094.4</v>
      </c>
      <c r="I8" s="181">
        <f>SUM(I6:I7)</f>
        <v>111236</v>
      </c>
      <c r="J8" s="181">
        <f>SUM(J6:J7)</f>
        <v>107141.6</v>
      </c>
      <c r="K8" s="182">
        <f>H8/I8</f>
        <v>3.6808227552231294E-2</v>
      </c>
      <c r="L8" s="45"/>
      <c r="M8" s="45"/>
      <c r="N8" s="45"/>
    </row>
    <row r="9" spans="1:14">
      <c r="A9" s="45"/>
      <c r="B9" s="45"/>
      <c r="C9" s="45"/>
      <c r="D9" s="45"/>
      <c r="E9" s="45"/>
      <c r="F9" s="183"/>
      <c r="G9" s="183"/>
      <c r="H9" s="184"/>
      <c r="I9" s="45"/>
      <c r="J9" s="45"/>
      <c r="K9" s="45"/>
      <c r="L9" s="45"/>
      <c r="M9" s="45"/>
      <c r="N9" s="45"/>
    </row>
    <row r="10" spans="1:14">
      <c r="A10" s="185" t="s">
        <v>27</v>
      </c>
      <c r="B10" s="45"/>
      <c r="C10" s="45"/>
      <c r="D10" s="45"/>
      <c r="E10" s="45"/>
      <c r="F10" s="183"/>
      <c r="G10" s="183"/>
      <c r="H10" s="184"/>
      <c r="I10" s="45"/>
      <c r="J10" s="45"/>
      <c r="K10" s="45"/>
      <c r="L10" s="45"/>
      <c r="M10" s="45"/>
      <c r="N10" s="45"/>
    </row>
    <row r="11" spans="1:14">
      <c r="A11" s="186" t="s">
        <v>1336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>
      <c r="A12" s="186" t="s">
        <v>1337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>
      <c r="A13" s="186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>
      <c r="A14" s="45" t="str">
        <f>"The flotation cost adjustment is derived by dividing the dividend yield by 1 − F (where F = flotation costs expressed in percentage terms), or by "&amp;TEXT(1-K8,"0.0000")&amp;", and adding that result to the constant growth rate"</f>
        <v>The flotation cost adjustment is derived by dividing the dividend yield by 1 − F (where F = flotation costs expressed in percentage terms), or by 0.9632, and adding that result to the constant growth rate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187"/>
      <c r="M14" s="45"/>
      <c r="N14" s="45"/>
    </row>
    <row r="15" spans="1:14">
      <c r="A15" s="45" t="s">
        <v>1338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5" ht="13.5" thickBot="1">
      <c r="A21" s="45"/>
      <c r="B21" s="45"/>
      <c r="C21" s="46" t="s">
        <v>4</v>
      </c>
      <c r="D21" s="46" t="s">
        <v>5</v>
      </c>
      <c r="E21" s="46" t="s">
        <v>6</v>
      </c>
      <c r="F21" s="46" t="s">
        <v>7</v>
      </c>
      <c r="G21" s="46" t="s">
        <v>8</v>
      </c>
      <c r="H21" s="46" t="s">
        <v>9</v>
      </c>
      <c r="I21" s="46" t="s">
        <v>10</v>
      </c>
      <c r="J21" s="46" t="s">
        <v>11</v>
      </c>
      <c r="K21" s="46" t="s">
        <v>12</v>
      </c>
      <c r="L21" s="46" t="s">
        <v>13</v>
      </c>
      <c r="M21" s="46" t="s">
        <v>19</v>
      </c>
      <c r="N21" s="45"/>
    </row>
    <row r="22" spans="1:15" ht="63.75">
      <c r="A22" s="140" t="s">
        <v>0</v>
      </c>
      <c r="B22" s="139" t="s">
        <v>1</v>
      </c>
      <c r="C22" s="138" t="s">
        <v>14</v>
      </c>
      <c r="D22" s="138" t="s">
        <v>15</v>
      </c>
      <c r="E22" s="138" t="s">
        <v>16</v>
      </c>
      <c r="F22" s="138" t="s">
        <v>17</v>
      </c>
      <c r="G22" s="138" t="s">
        <v>1339</v>
      </c>
      <c r="H22" s="138" t="s">
        <v>115</v>
      </c>
      <c r="I22" s="138" t="s">
        <v>66</v>
      </c>
      <c r="J22" s="138" t="s">
        <v>67</v>
      </c>
      <c r="K22" s="138" t="s">
        <v>1340</v>
      </c>
      <c r="L22" s="138" t="s">
        <v>56</v>
      </c>
      <c r="M22" s="138" t="s">
        <v>1341</v>
      </c>
      <c r="N22" s="45"/>
    </row>
    <row r="23" spans="1: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5">
      <c r="A24" s="14" t="s">
        <v>58</v>
      </c>
      <c r="B24" s="8" t="s">
        <v>21</v>
      </c>
      <c r="C24" s="141">
        <f>'Schedule-3 Constant DCF'!C7</f>
        <v>2.1</v>
      </c>
      <c r="D24" s="141">
        <f>'Schedule-3 Constant DCF'!D7</f>
        <v>93.272666666666638</v>
      </c>
      <c r="E24" s="96">
        <f>IFERROR(C24/D24,"")</f>
        <v>2.2514634512433091E-2</v>
      </c>
      <c r="F24" s="188">
        <f>E24*(1+(0.5*K24))</f>
        <v>2.3282008305398515E-2</v>
      </c>
      <c r="G24" s="188">
        <f>F24/(1-$K$8)</f>
        <v>2.4171726722947103E-2</v>
      </c>
      <c r="H24" s="96">
        <f>'Schedule-3 Constant DCF'!G7</f>
        <v>7.4999999999999997E-2</v>
      </c>
      <c r="I24" s="96">
        <f>'Schedule-3 Constant DCF'!H7</f>
        <v>6.4500000000000002E-2</v>
      </c>
      <c r="J24" s="96">
        <f>'Schedule-3 Constant DCF'!I7</f>
        <v>6.5000000000000002E-2</v>
      </c>
      <c r="K24" s="96">
        <f>AVERAGE(H24:J24)</f>
        <v>6.8166666666666667E-2</v>
      </c>
      <c r="L24" s="188">
        <f>K24+F24</f>
        <v>9.1448674972065186E-2</v>
      </c>
      <c r="M24" s="188">
        <f>K24+G24</f>
        <v>9.2338393389613777E-2</v>
      </c>
      <c r="N24" s="45"/>
      <c r="O24" s="57"/>
    </row>
    <row r="25" spans="1:15">
      <c r="A25" s="14" t="s">
        <v>59</v>
      </c>
      <c r="B25" s="8" t="s">
        <v>22</v>
      </c>
      <c r="C25" s="141">
        <f>'Schedule-3 Constant DCF'!C8</f>
        <v>1.17</v>
      </c>
      <c r="D25" s="141">
        <f>'Schedule-3 Constant DCF'!D8</f>
        <v>46.094666666666676</v>
      </c>
      <c r="E25" s="96">
        <f t="shared" ref="E25:E29" si="0">IFERROR(C25/D25,"")</f>
        <v>2.5382546064620631E-2</v>
      </c>
      <c r="F25" s="188">
        <f t="shared" ref="F25:F30" si="1">E25*(1+(0.5*K25))</f>
        <v>2.6334391542043905E-2</v>
      </c>
      <c r="G25" s="188">
        <f t="shared" ref="G25:G30" si="2">F25/(1-$K$8)</f>
        <v>2.734075632220161E-2</v>
      </c>
      <c r="H25" s="96">
        <f>'Schedule-3 Constant DCF'!G8</f>
        <v>9.5000000000000001E-2</v>
      </c>
      <c r="I25" s="96">
        <f>'Schedule-3 Constant DCF'!H8</f>
        <v>0.06</v>
      </c>
      <c r="J25" s="96">
        <f>'Schedule-3 Constant DCF'!I8</f>
        <v>7.0000000000000007E-2</v>
      </c>
      <c r="K25" s="96">
        <f t="shared" ref="K25:K30" si="3">AVERAGE(H25:J25)</f>
        <v>7.4999999999999997E-2</v>
      </c>
      <c r="L25" s="188">
        <f t="shared" ref="L25:L30" si="4">K25+F25</f>
        <v>0.10133439154204391</v>
      </c>
      <c r="M25" s="188">
        <f t="shared" ref="M25:M30" si="5">K25+G25</f>
        <v>0.1023407563222016</v>
      </c>
      <c r="N25" s="45"/>
      <c r="O25" s="57"/>
    </row>
    <row r="26" spans="1:15">
      <c r="A26" s="14" t="s">
        <v>62</v>
      </c>
      <c r="B26" s="8" t="s">
        <v>23</v>
      </c>
      <c r="C26" s="141">
        <f>'Schedule-3 Constant DCF'!C9</f>
        <v>1.9</v>
      </c>
      <c r="D26" s="141">
        <f>'Schedule-3 Constant DCF'!D9</f>
        <v>60.486000000000004</v>
      </c>
      <c r="E26" s="96">
        <f t="shared" si="0"/>
        <v>3.1412227622921E-2</v>
      </c>
      <c r="F26" s="188">
        <f t="shared" si="1"/>
        <v>3.344355167586989E-2</v>
      </c>
      <c r="G26" s="188">
        <f t="shared" si="2"/>
        <v>3.4721591932704604E-2</v>
      </c>
      <c r="H26" s="96">
        <f>'Schedule-3 Constant DCF'!G9</f>
        <v>0.30499999999999999</v>
      </c>
      <c r="I26" s="96">
        <f>'Schedule-3 Constant DCF'!H9</f>
        <v>0.04</v>
      </c>
      <c r="J26" s="96">
        <f>'Schedule-3 Constant DCF'!I9</f>
        <v>4.2999999999999997E-2</v>
      </c>
      <c r="K26" s="96">
        <f t="shared" si="3"/>
        <v>0.12933333333333333</v>
      </c>
      <c r="L26" s="188">
        <f t="shared" si="4"/>
        <v>0.16277688500920323</v>
      </c>
      <c r="M26" s="188">
        <f t="shared" si="5"/>
        <v>0.16405492526603793</v>
      </c>
      <c r="N26" s="45"/>
      <c r="O26" s="57"/>
    </row>
    <row r="27" spans="1:15">
      <c r="A27" s="14" t="s">
        <v>100</v>
      </c>
      <c r="B27" s="29" t="s">
        <v>101</v>
      </c>
      <c r="C27" s="141">
        <f>'Schedule-3 Constant DCF'!C10</f>
        <v>1.84</v>
      </c>
      <c r="D27" s="141">
        <f>'Schedule-3 Constant DCF'!D10</f>
        <v>79.774666666666661</v>
      </c>
      <c r="E27" s="96">
        <f t="shared" si="0"/>
        <v>2.3064966321806425E-2</v>
      </c>
      <c r="F27" s="188">
        <f t="shared" si="1"/>
        <v>2.3906837592552358E-2</v>
      </c>
      <c r="G27" s="188">
        <f t="shared" si="2"/>
        <v>2.4820433766577634E-2</v>
      </c>
      <c r="H27" s="96">
        <f>'Schedule-3 Constant DCF'!G10</f>
        <v>0.105</v>
      </c>
      <c r="I27" s="96">
        <f>'Schedule-3 Constant DCF'!H10</f>
        <v>5.5E-2</v>
      </c>
      <c r="J27" s="96">
        <f>'Schedule-3 Constant DCF'!I10</f>
        <v>5.8999999999999997E-2</v>
      </c>
      <c r="K27" s="96">
        <f t="shared" si="3"/>
        <v>7.2999999999999995E-2</v>
      </c>
      <c r="L27" s="188">
        <f t="shared" si="4"/>
        <v>9.690683759255235E-2</v>
      </c>
      <c r="M27" s="188">
        <f t="shared" si="5"/>
        <v>9.7820433766577633E-2</v>
      </c>
      <c r="N27" s="45"/>
      <c r="O27" s="57"/>
    </row>
    <row r="28" spans="1:15">
      <c r="A28" s="14" t="s">
        <v>60</v>
      </c>
      <c r="B28" s="8" t="s">
        <v>24</v>
      </c>
      <c r="C28" s="141">
        <f>'Schedule-3 Constant DCF'!C11</f>
        <v>1.1499999999999999</v>
      </c>
      <c r="D28" s="141">
        <f>'Schedule-3 Constant DCF'!D11</f>
        <v>28.872666666666667</v>
      </c>
      <c r="E28" s="96">
        <f t="shared" si="0"/>
        <v>3.9830058417419011E-2</v>
      </c>
      <c r="F28" s="188">
        <f t="shared" si="1"/>
        <v>4.2133563462559746E-2</v>
      </c>
      <c r="G28" s="188">
        <f t="shared" si="2"/>
        <v>4.3743691202308872E-2</v>
      </c>
      <c r="H28" s="96">
        <f>'Schedule-3 Constant DCF'!G11</f>
        <v>9.5000000000000001E-2</v>
      </c>
      <c r="I28" s="96">
        <f>'Schedule-3 Constant DCF'!H11</f>
        <v>0.127</v>
      </c>
      <c r="J28" s="96">
        <f>'Schedule-3 Constant DCF'!I11</f>
        <v>0.125</v>
      </c>
      <c r="K28" s="96">
        <f t="shared" si="3"/>
        <v>0.11566666666666665</v>
      </c>
      <c r="L28" s="188">
        <f t="shared" si="4"/>
        <v>0.15780023012922639</v>
      </c>
      <c r="M28" s="188">
        <f t="shared" si="5"/>
        <v>0.15941035786897553</v>
      </c>
      <c r="N28" s="45"/>
      <c r="O28" s="57"/>
    </row>
    <row r="29" spans="1:15">
      <c r="A29" s="14" t="s">
        <v>61</v>
      </c>
      <c r="B29" s="8" t="s">
        <v>25</v>
      </c>
      <c r="C29" s="141">
        <f>'Schedule-3 Constant DCF'!C12</f>
        <v>2.08</v>
      </c>
      <c r="D29" s="141">
        <f>'Schedule-3 Constant DCF'!D12</f>
        <v>77.000999999999991</v>
      </c>
      <c r="E29" s="96">
        <f t="shared" si="0"/>
        <v>2.7012636199529882E-2</v>
      </c>
      <c r="F29" s="188">
        <f t="shared" si="1"/>
        <v>2.7922061618247389E-2</v>
      </c>
      <c r="G29" s="188">
        <f t="shared" si="2"/>
        <v>2.8989098969656665E-2</v>
      </c>
      <c r="H29" s="96">
        <f>'Schedule-3 Constant DCF'!G12</f>
        <v>0.09</v>
      </c>
      <c r="I29" s="96">
        <f>'Schedule-3 Constant DCF'!H12</f>
        <v>6.2E-2</v>
      </c>
      <c r="J29" s="96">
        <f>'Schedule-3 Constant DCF'!I12</f>
        <v>0.05</v>
      </c>
      <c r="K29" s="96">
        <f t="shared" si="3"/>
        <v>6.7333333333333342E-2</v>
      </c>
      <c r="L29" s="188">
        <f t="shared" si="4"/>
        <v>9.5255394951580724E-2</v>
      </c>
      <c r="M29" s="188">
        <f t="shared" si="5"/>
        <v>9.6322432302990008E-2</v>
      </c>
      <c r="N29" s="45"/>
      <c r="O29" s="57"/>
    </row>
    <row r="30" spans="1:15">
      <c r="A30" s="14" t="s">
        <v>102</v>
      </c>
      <c r="B30" s="29" t="s">
        <v>103</v>
      </c>
      <c r="C30" s="141">
        <f>'Schedule-3 Constant DCF'!C13</f>
        <v>2.37</v>
      </c>
      <c r="D30" s="141">
        <f>'Schedule-3 Constant DCF'!D13</f>
        <v>75.124000000000009</v>
      </c>
      <c r="E30" s="96">
        <f>IFERROR(C30/D30,"")</f>
        <v>3.1547840903040303E-2</v>
      </c>
      <c r="F30" s="188">
        <f t="shared" si="1"/>
        <v>3.2241893402907187E-2</v>
      </c>
      <c r="G30" s="188">
        <f t="shared" si="2"/>
        <v>3.3474012471026979E-2</v>
      </c>
      <c r="H30" s="96">
        <f>'Schedule-3 Constant DCF'!G13</f>
        <v>6.5000000000000002E-2</v>
      </c>
      <c r="I30" s="96">
        <f>'Schedule-3 Constant DCF'!H13</f>
        <v>2.7E-2</v>
      </c>
      <c r="J30" s="96">
        <f>'Schedule-3 Constant DCF'!I13</f>
        <v>0.04</v>
      </c>
      <c r="K30" s="96">
        <f t="shared" si="3"/>
        <v>4.4000000000000004E-2</v>
      </c>
      <c r="L30" s="188">
        <f t="shared" si="4"/>
        <v>7.6241893402907185E-2</v>
      </c>
      <c r="M30" s="188">
        <f t="shared" si="5"/>
        <v>7.7474012471026976E-2</v>
      </c>
      <c r="N30" s="45"/>
      <c r="O30" s="57"/>
    </row>
    <row r="31" spans="1:15">
      <c r="O31" s="57"/>
    </row>
    <row r="32" spans="1:15">
      <c r="A32" s="189" t="s">
        <v>1315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90">
        <f>MEDIAN(L24:L30)</f>
        <v>9.690683759255235E-2</v>
      </c>
      <c r="M32" s="190">
        <f>MEDIAN(M24:M30)</f>
        <v>9.7820433766577633E-2</v>
      </c>
      <c r="N32" s="45"/>
      <c r="O32" s="57"/>
    </row>
    <row r="33" spans="1:14" ht="13.5" thickBot="1">
      <c r="A33" s="191" t="s">
        <v>1342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3" t="s">
        <v>1288</v>
      </c>
      <c r="M33" s="194">
        <f>M32-L32</f>
        <v>9.1359617402528293E-4</v>
      </c>
      <c r="N33" s="45"/>
    </row>
    <row r="34" spans="1:1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>
      <c r="A35" s="93" t="s">
        <v>27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>
      <c r="A36" s="45" t="s">
        <v>57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>
      <c r="A37" s="45" t="s">
        <v>1486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>
      <c r="A38" s="45" t="s">
        <v>64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>
      <c r="A39" s="45" t="s">
        <v>1343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4">
      <c r="A40" s="45" t="s">
        <v>1344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4">
      <c r="A41" s="45" t="s">
        <v>1296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4">
      <c r="A42" s="45" t="s">
        <v>1345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>
      <c r="A43" s="45" t="s">
        <v>1346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>
      <c r="A44" s="45" t="s">
        <v>1347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>
      <c r="A45" s="45" t="s">
        <v>1348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>
      <c r="A46" s="45" t="s">
        <v>1349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>
      <c r="A47" s="45" t="s">
        <v>1350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</sheetData>
  <mergeCells count="1">
    <mergeCell ref="A2:M2"/>
  </mergeCells>
  <conditionalFormatting sqref="A24:B30">
    <cfRule type="expression" dxfId="3" priority="1">
      <formula>"(blank)"</formula>
    </cfRule>
  </conditionalFormatting>
  <conditionalFormatting sqref="A24:B30">
    <cfRule type="expression" dxfId="2" priority="2">
      <formula>#REF!</formula>
    </cfRule>
  </conditionalFormatting>
  <printOptions horizontalCentered="1"/>
  <pageMargins left="0.7" right="0.7" top="1.25" bottom="0.75" header="0.3" footer="0.3"/>
  <pageSetup scale="61" fitToWidth="0" fitToHeight="0" orientation="landscape" useFirstPageNumber="1" horizontalDpi="4294967293" verticalDpi="4294967293" r:id="rId1"/>
  <headerFooter>
    <oddHeader>&amp;RDocket No. UG-19____
Cascade Natural Gas Corp.
Exhibit No.___(AEB-2)
Schedule 9
Page &amp;P of 1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M61"/>
  <sheetViews>
    <sheetView zoomScale="90" zoomScaleNormal="90" zoomScaleSheetLayoutView="70" workbookViewId="0">
      <selection activeCell="O20" sqref="O20"/>
    </sheetView>
  </sheetViews>
  <sheetFormatPr defaultColWidth="9" defaultRowHeight="12.75"/>
  <cols>
    <col min="1" max="1" width="2.5703125" style="294" customWidth="1"/>
    <col min="2" max="2" width="33" style="294" customWidth="1"/>
    <col min="3" max="3" width="10.5703125" style="294" customWidth="1"/>
    <col min="4" max="5" width="9.85546875" style="294" bestFit="1" customWidth="1"/>
    <col min="6" max="6" width="12.28515625" style="294" customWidth="1"/>
    <col min="7" max="8" width="8.7109375" style="294" bestFit="1" customWidth="1"/>
    <col min="9" max="9" width="8.7109375" style="294" customWidth="1"/>
    <col min="10" max="10" width="11.5703125" style="294" customWidth="1"/>
    <col min="11" max="12" width="9" style="294"/>
    <col min="13" max="13" width="7.7109375" style="294" customWidth="1"/>
    <col min="14" max="16384" width="9" style="294"/>
  </cols>
  <sheetData>
    <row r="2" spans="1:10" s="298" customFormat="1" ht="11.25" customHeight="1">
      <c r="A2" s="296" t="s">
        <v>1431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0" ht="12" customHeight="1">
      <c r="A3" s="299" t="s">
        <v>1432</v>
      </c>
      <c r="B3" s="299"/>
      <c r="C3" s="299"/>
      <c r="D3" s="299"/>
      <c r="E3" s="299"/>
      <c r="F3" s="299"/>
      <c r="G3" s="295"/>
      <c r="H3" s="295"/>
      <c r="I3" s="295"/>
      <c r="J3" s="295"/>
    </row>
    <row r="4" spans="1:10">
      <c r="A4" s="300"/>
    </row>
    <row r="5" spans="1:10" ht="13.5" thickBot="1">
      <c r="A5" s="300"/>
      <c r="D5" s="278" t="s">
        <v>4</v>
      </c>
      <c r="E5" s="278" t="s">
        <v>5</v>
      </c>
      <c r="F5" s="278" t="s">
        <v>6</v>
      </c>
      <c r="G5" s="278" t="s">
        <v>7</v>
      </c>
      <c r="H5" s="278" t="s">
        <v>8</v>
      </c>
      <c r="I5" s="278" t="s">
        <v>9</v>
      </c>
      <c r="J5" s="278" t="s">
        <v>10</v>
      </c>
    </row>
    <row r="6" spans="1:10" ht="12.75" customHeight="1">
      <c r="A6" s="301"/>
      <c r="B6" s="302"/>
      <c r="C6" s="302"/>
      <c r="D6" s="302"/>
      <c r="E6" s="302"/>
      <c r="F6" s="302"/>
      <c r="G6" s="302"/>
      <c r="H6" s="302"/>
      <c r="I6" s="302"/>
      <c r="J6" s="303" t="s">
        <v>1433</v>
      </c>
    </row>
    <row r="7" spans="1:10">
      <c r="J7" s="304" t="s">
        <v>1434</v>
      </c>
    </row>
    <row r="8" spans="1:10">
      <c r="J8" s="304">
        <v>2017</v>
      </c>
    </row>
    <row r="9" spans="1:10">
      <c r="A9" s="305"/>
      <c r="B9" s="305"/>
      <c r="C9" s="305"/>
      <c r="D9" s="306">
        <v>2017</v>
      </c>
      <c r="E9" s="306">
        <v>2019</v>
      </c>
      <c r="F9" s="306">
        <f>E9+1</f>
        <v>2020</v>
      </c>
      <c r="G9" s="306">
        <f>F9+1</f>
        <v>2021</v>
      </c>
      <c r="H9" s="306">
        <f>G9+1</f>
        <v>2022</v>
      </c>
      <c r="I9" s="306">
        <v>2023</v>
      </c>
      <c r="J9" s="307" t="s">
        <v>1435</v>
      </c>
    </row>
    <row r="10" spans="1:10">
      <c r="D10" s="278"/>
      <c r="E10" s="278"/>
      <c r="F10" s="278"/>
      <c r="G10" s="278"/>
      <c r="H10" s="278"/>
      <c r="I10" s="278"/>
      <c r="J10" s="278"/>
    </row>
    <row r="11" spans="1:10">
      <c r="A11" s="294" t="s">
        <v>58</v>
      </c>
      <c r="C11" s="294" t="s">
        <v>21</v>
      </c>
    </row>
    <row r="12" spans="1:10">
      <c r="A12" s="275"/>
      <c r="B12" s="275" t="s">
        <v>1436</v>
      </c>
      <c r="E12" s="308">
        <v>14.65</v>
      </c>
      <c r="F12" s="308">
        <f>AVERAGE(E12,G12)</f>
        <v>14.425000000000001</v>
      </c>
      <c r="G12" s="308">
        <v>14.2</v>
      </c>
      <c r="H12" s="308">
        <v>14.2</v>
      </c>
      <c r="I12" s="308">
        <v>14.2</v>
      </c>
    </row>
    <row r="13" spans="1:10">
      <c r="A13" s="275"/>
      <c r="B13" s="275" t="s">
        <v>1437</v>
      </c>
      <c r="D13" s="305"/>
      <c r="E13" s="309">
        <v>116</v>
      </c>
      <c r="F13" s="310">
        <f>AVERAGE(E13,G13)</f>
        <v>123</v>
      </c>
      <c r="G13" s="309">
        <v>130</v>
      </c>
      <c r="H13" s="309">
        <v>130</v>
      </c>
      <c r="I13" s="309">
        <v>130</v>
      </c>
      <c r="J13" s="305"/>
    </row>
    <row r="14" spans="1:10">
      <c r="A14" s="275"/>
      <c r="B14" s="275" t="s">
        <v>1438</v>
      </c>
      <c r="E14" s="311">
        <f>E12*E13</f>
        <v>1699.4</v>
      </c>
      <c r="F14" s="311">
        <f t="shared" ref="F14:I14" si="0">F12*F13</f>
        <v>1774.2750000000001</v>
      </c>
      <c r="G14" s="311">
        <f t="shared" si="0"/>
        <v>1846</v>
      </c>
      <c r="H14" s="311">
        <f t="shared" si="0"/>
        <v>1846</v>
      </c>
      <c r="I14" s="311">
        <f t="shared" si="0"/>
        <v>1846</v>
      </c>
      <c r="J14" s="312">
        <f>SUM(E14:I14)/D15</f>
        <v>0.97326712890962486</v>
      </c>
    </row>
    <row r="15" spans="1:10">
      <c r="A15" s="275"/>
      <c r="B15" s="275" t="s">
        <v>1435</v>
      </c>
      <c r="D15" s="311">
        <v>9259.2000000000007</v>
      </c>
    </row>
    <row r="16" spans="1:10">
      <c r="A16" s="294" t="s">
        <v>59</v>
      </c>
      <c r="B16" s="275"/>
      <c r="C16" s="294" t="s">
        <v>22</v>
      </c>
    </row>
    <row r="17" spans="1:10">
      <c r="A17" s="275"/>
      <c r="B17" s="275" t="s">
        <v>1436</v>
      </c>
      <c r="E17" s="308">
        <v>2.25</v>
      </c>
      <c r="F17" s="308">
        <f>AVERAGE(E17,G17)</f>
        <v>2.2999999999999998</v>
      </c>
      <c r="G17" s="308">
        <v>2.35</v>
      </c>
      <c r="H17" s="308">
        <v>2.35</v>
      </c>
      <c r="I17" s="308">
        <v>2.35</v>
      </c>
    </row>
    <row r="18" spans="1:10">
      <c r="A18" s="275"/>
      <c r="B18" s="275" t="s">
        <v>1437</v>
      </c>
      <c r="D18" s="305"/>
      <c r="E18" s="309">
        <v>86.5</v>
      </c>
      <c r="F18" s="310">
        <f>AVERAGE(E18,G18)</f>
        <v>86.5</v>
      </c>
      <c r="G18" s="309">
        <v>86.5</v>
      </c>
      <c r="H18" s="309">
        <v>86.5</v>
      </c>
      <c r="I18" s="309">
        <v>86.5</v>
      </c>
      <c r="J18" s="305"/>
    </row>
    <row r="19" spans="1:10">
      <c r="A19" s="275"/>
      <c r="B19" s="275" t="s">
        <v>1438</v>
      </c>
      <c r="E19" s="311">
        <f>E17*E18</f>
        <v>194.625</v>
      </c>
      <c r="F19" s="311">
        <f>F17*F18</f>
        <v>198.95</v>
      </c>
      <c r="G19" s="311">
        <f>G17*G18</f>
        <v>203.27500000000001</v>
      </c>
      <c r="H19" s="311">
        <f>H17*H18</f>
        <v>203.27500000000001</v>
      </c>
      <c r="I19" s="311">
        <f>I17*I18</f>
        <v>203.27500000000001</v>
      </c>
      <c r="J19" s="312">
        <f>SUM(E19:I19)/D20</f>
        <v>0.38448863854082849</v>
      </c>
    </row>
    <row r="20" spans="1:10">
      <c r="A20" s="275"/>
      <c r="B20" s="275" t="s">
        <v>1435</v>
      </c>
      <c r="D20" s="311">
        <v>2609.6999999999998</v>
      </c>
    </row>
    <row r="21" spans="1:10">
      <c r="A21" s="294" t="s">
        <v>62</v>
      </c>
      <c r="B21" s="313"/>
      <c r="C21" s="294" t="s">
        <v>23</v>
      </c>
    </row>
    <row r="22" spans="1:10">
      <c r="A22" s="275"/>
      <c r="B22" s="275" t="s">
        <v>1436</v>
      </c>
      <c r="E22" s="308">
        <v>6.65</v>
      </c>
      <c r="F22" s="308">
        <f>AVERAGE(E22,G22)</f>
        <v>6.45</v>
      </c>
      <c r="G22" s="308">
        <v>6.25</v>
      </c>
      <c r="H22" s="308">
        <v>6.25</v>
      </c>
      <c r="I22" s="308">
        <v>6.25</v>
      </c>
    </row>
    <row r="23" spans="1:10">
      <c r="A23" s="275"/>
      <c r="B23" s="275" t="s">
        <v>1437</v>
      </c>
      <c r="D23" s="305"/>
      <c r="E23" s="309">
        <v>30</v>
      </c>
      <c r="F23" s="310">
        <f>AVERAGE(E23,G23)</f>
        <v>31</v>
      </c>
      <c r="G23" s="309">
        <v>32</v>
      </c>
      <c r="H23" s="309">
        <v>32</v>
      </c>
      <c r="I23" s="309">
        <v>32</v>
      </c>
      <c r="J23" s="305"/>
    </row>
    <row r="24" spans="1:10">
      <c r="A24" s="275"/>
      <c r="B24" s="275" t="s">
        <v>1438</v>
      </c>
      <c r="E24" s="311">
        <f>E22*E23</f>
        <v>199.5</v>
      </c>
      <c r="F24" s="311">
        <f t="shared" ref="F24:I24" si="1">F22*F23</f>
        <v>199.95000000000002</v>
      </c>
      <c r="G24" s="311">
        <f t="shared" si="1"/>
        <v>200</v>
      </c>
      <c r="H24" s="311">
        <f t="shared" si="1"/>
        <v>200</v>
      </c>
      <c r="I24" s="311">
        <f t="shared" si="1"/>
        <v>200</v>
      </c>
      <c r="J24" s="312">
        <f>SUM(E24:I24)/D25</f>
        <v>0.44321507760532153</v>
      </c>
    </row>
    <row r="25" spans="1:10">
      <c r="A25" s="275"/>
      <c r="B25" s="275" t="s">
        <v>1435</v>
      </c>
      <c r="D25" s="311">
        <v>2255</v>
      </c>
    </row>
    <row r="26" spans="1:10">
      <c r="A26" s="294" t="s">
        <v>106</v>
      </c>
      <c r="C26" s="294" t="s">
        <v>101</v>
      </c>
    </row>
    <row r="27" spans="1:10">
      <c r="B27" s="294" t="s">
        <v>1436</v>
      </c>
      <c r="E27" s="308">
        <v>7.4</v>
      </c>
      <c r="F27" s="308">
        <f>AVERAGE(E27,G27)</f>
        <v>7.45</v>
      </c>
      <c r="G27" s="308">
        <v>7.5</v>
      </c>
      <c r="H27" s="308">
        <v>7.5</v>
      </c>
      <c r="I27" s="308">
        <v>7.5</v>
      </c>
    </row>
    <row r="28" spans="1:10">
      <c r="B28" s="294" t="s">
        <v>1437</v>
      </c>
      <c r="D28" s="305"/>
      <c r="E28" s="309">
        <v>53</v>
      </c>
      <c r="F28" s="310">
        <f>AVERAGE(E28,G28)</f>
        <v>54</v>
      </c>
      <c r="G28" s="309">
        <v>55</v>
      </c>
      <c r="H28" s="309">
        <v>55</v>
      </c>
      <c r="I28" s="309">
        <v>55</v>
      </c>
      <c r="J28" s="305"/>
    </row>
    <row r="29" spans="1:10">
      <c r="B29" s="294" t="s">
        <v>1438</v>
      </c>
      <c r="E29" s="311">
        <f>E27*E28</f>
        <v>392.20000000000005</v>
      </c>
      <c r="F29" s="311">
        <f>F27*F28</f>
        <v>402.3</v>
      </c>
      <c r="G29" s="311">
        <f>G27*G28</f>
        <v>412.5</v>
      </c>
      <c r="H29" s="311">
        <f>H27*H28</f>
        <v>412.5</v>
      </c>
      <c r="I29" s="311">
        <f>I27*I28</f>
        <v>412.5</v>
      </c>
      <c r="J29" s="312">
        <f>SUM(E29:I29)/D30</f>
        <v>0.50703663040223579</v>
      </c>
    </row>
    <row r="30" spans="1:10">
      <c r="B30" s="294" t="s">
        <v>1435</v>
      </c>
      <c r="D30" s="311">
        <v>4007.6</v>
      </c>
    </row>
    <row r="31" spans="1:10">
      <c r="A31" s="294" t="s">
        <v>60</v>
      </c>
      <c r="C31" s="294" t="s">
        <v>24</v>
      </c>
    </row>
    <row r="32" spans="1:10">
      <c r="B32" s="294" t="s">
        <v>1436</v>
      </c>
      <c r="E32" s="308">
        <v>3.1</v>
      </c>
      <c r="F32" s="308">
        <f>AVERAGE(E32,G32)</f>
        <v>3.9249999999999998</v>
      </c>
      <c r="G32" s="308">
        <v>4.75</v>
      </c>
      <c r="H32" s="308">
        <v>4.75</v>
      </c>
      <c r="I32" s="308">
        <v>4.75</v>
      </c>
    </row>
    <row r="33" spans="1:10">
      <c r="B33" s="294" t="s">
        <v>1437</v>
      </c>
      <c r="D33" s="305"/>
      <c r="E33" s="309">
        <v>91</v>
      </c>
      <c r="F33" s="310">
        <f>AVERAGE(E33,G33)</f>
        <v>93</v>
      </c>
      <c r="G33" s="309">
        <v>95</v>
      </c>
      <c r="H33" s="309">
        <v>95</v>
      </c>
      <c r="I33" s="309">
        <v>95</v>
      </c>
      <c r="J33" s="305"/>
    </row>
    <row r="34" spans="1:10">
      <c r="B34" s="294" t="s">
        <v>1438</v>
      </c>
      <c r="E34" s="311">
        <f>E32*E33</f>
        <v>282.10000000000002</v>
      </c>
      <c r="F34" s="311">
        <f t="shared" ref="F34:I34" si="2">F32*F33</f>
        <v>365.02499999999998</v>
      </c>
      <c r="G34" s="311">
        <f t="shared" si="2"/>
        <v>451.25</v>
      </c>
      <c r="H34" s="311">
        <f t="shared" si="2"/>
        <v>451.25</v>
      </c>
      <c r="I34" s="311">
        <f t="shared" si="2"/>
        <v>451.25</v>
      </c>
      <c r="J34" s="312">
        <f>SUM(E34:I34)/D35</f>
        <v>0.74100992519072661</v>
      </c>
    </row>
    <row r="35" spans="1:10">
      <c r="B35" s="294" t="s">
        <v>1435</v>
      </c>
      <c r="D35" s="311">
        <v>2700.2</v>
      </c>
    </row>
    <row r="36" spans="1:10">
      <c r="A36" s="294" t="s">
        <v>61</v>
      </c>
      <c r="C36" s="294" t="s">
        <v>25</v>
      </c>
    </row>
    <row r="37" spans="1:10">
      <c r="B37" s="294" t="s">
        <v>1436</v>
      </c>
      <c r="E37" s="308">
        <v>15.2</v>
      </c>
      <c r="F37" s="308">
        <f>AVERAGE(E37,G37)</f>
        <v>16.225000000000001</v>
      </c>
      <c r="G37" s="308">
        <v>17.25</v>
      </c>
      <c r="H37" s="308">
        <v>17.25</v>
      </c>
      <c r="I37" s="308">
        <v>17.25</v>
      </c>
    </row>
    <row r="38" spans="1:10">
      <c r="B38" s="294" t="s">
        <v>1437</v>
      </c>
      <c r="D38" s="305"/>
      <c r="E38" s="309">
        <v>51</v>
      </c>
      <c r="F38" s="310">
        <f>AVERAGE(E38,G38)</f>
        <v>53</v>
      </c>
      <c r="G38" s="309">
        <v>55</v>
      </c>
      <c r="H38" s="309">
        <v>55</v>
      </c>
      <c r="I38" s="309">
        <v>55</v>
      </c>
      <c r="J38" s="305"/>
    </row>
    <row r="39" spans="1:10">
      <c r="B39" s="294" t="s">
        <v>1438</v>
      </c>
      <c r="E39" s="311">
        <f>E37*E38</f>
        <v>775.19999999999993</v>
      </c>
      <c r="F39" s="311">
        <f t="shared" ref="F39:I39" si="3">F37*F38</f>
        <v>859.92500000000007</v>
      </c>
      <c r="G39" s="311">
        <f t="shared" si="3"/>
        <v>948.75</v>
      </c>
      <c r="H39" s="311">
        <f t="shared" si="3"/>
        <v>948.75</v>
      </c>
      <c r="I39" s="311">
        <f t="shared" si="3"/>
        <v>948.75</v>
      </c>
      <c r="J39" s="312">
        <f>SUM(E39:I39)/D40</f>
        <v>0.99064372084797847</v>
      </c>
    </row>
    <row r="40" spans="1:10">
      <c r="B40" s="294" t="s">
        <v>1435</v>
      </c>
      <c r="D40" s="311">
        <v>4523.7</v>
      </c>
    </row>
    <row r="41" spans="1:10">
      <c r="A41" s="294" t="s">
        <v>102</v>
      </c>
      <c r="C41" s="294" t="s">
        <v>103</v>
      </c>
    </row>
    <row r="42" spans="1:10">
      <c r="B42" s="294" t="s">
        <v>1436</v>
      </c>
      <c r="E42" s="308">
        <v>9.6</v>
      </c>
      <c r="F42" s="308">
        <f>AVERAGE(E42,G42)</f>
        <v>9.8000000000000007</v>
      </c>
      <c r="G42" s="308">
        <v>10</v>
      </c>
      <c r="H42" s="308">
        <v>10</v>
      </c>
      <c r="I42" s="308">
        <v>10</v>
      </c>
    </row>
    <row r="43" spans="1:10">
      <c r="B43" s="294" t="s">
        <v>1437</v>
      </c>
      <c r="D43" s="305"/>
      <c r="E43" s="309">
        <v>52</v>
      </c>
      <c r="F43" s="310">
        <f>AVERAGE(E43,G43)</f>
        <v>53.5</v>
      </c>
      <c r="G43" s="309">
        <v>55</v>
      </c>
      <c r="H43" s="309">
        <v>55</v>
      </c>
      <c r="I43" s="309">
        <v>55</v>
      </c>
      <c r="J43" s="305"/>
    </row>
    <row r="44" spans="1:10">
      <c r="B44" s="294" t="s">
        <v>1438</v>
      </c>
      <c r="E44" s="311">
        <f>E42*E43</f>
        <v>499.2</v>
      </c>
      <c r="F44" s="311">
        <f t="shared" ref="F44:I44" si="4">F42*F43</f>
        <v>524.30000000000007</v>
      </c>
      <c r="G44" s="311">
        <f t="shared" si="4"/>
        <v>550</v>
      </c>
      <c r="H44" s="311">
        <f t="shared" si="4"/>
        <v>550</v>
      </c>
      <c r="I44" s="311">
        <f t="shared" si="4"/>
        <v>550</v>
      </c>
      <c r="J44" s="312">
        <f>SUM(E44:I44)/D45</f>
        <v>0.72942813489031977</v>
      </c>
    </row>
    <row r="45" spans="1:10">
      <c r="B45" s="294" t="s">
        <v>1435</v>
      </c>
      <c r="D45" s="311">
        <v>3665.2</v>
      </c>
    </row>
    <row r="46" spans="1:10">
      <c r="J46" s="312"/>
    </row>
    <row r="47" spans="1:10">
      <c r="A47" s="294" t="s">
        <v>1425</v>
      </c>
      <c r="C47" s="251" t="s">
        <v>1445</v>
      </c>
      <c r="E47" s="308"/>
      <c r="F47" s="308"/>
      <c r="G47" s="308"/>
      <c r="H47" s="308"/>
      <c r="I47" s="308"/>
      <c r="J47" s="312"/>
    </row>
    <row r="48" spans="1:10">
      <c r="C48" s="314"/>
      <c r="E48" s="308"/>
      <c r="F48" s="308"/>
      <c r="G48" s="308"/>
      <c r="H48" s="308"/>
      <c r="I48" s="308"/>
      <c r="J48" s="312"/>
    </row>
    <row r="49" spans="1:13">
      <c r="C49" s="314"/>
      <c r="E49" s="308"/>
      <c r="F49" s="308"/>
      <c r="G49" s="308"/>
      <c r="H49" s="308"/>
      <c r="I49" s="308"/>
      <c r="J49" s="312"/>
    </row>
    <row r="50" spans="1:13">
      <c r="B50" s="294" t="s">
        <v>1439</v>
      </c>
      <c r="D50" s="315"/>
      <c r="E50" s="387">
        <f>86.635637</f>
        <v>86.635637000000003</v>
      </c>
      <c r="F50" s="387">
        <v>67.641817000000003</v>
      </c>
      <c r="G50" s="387">
        <v>46.230021999999998</v>
      </c>
      <c r="H50" s="387">
        <v>42.505462999999999</v>
      </c>
      <c r="I50" s="387">
        <v>39.093103999999997</v>
      </c>
      <c r="J50" s="312">
        <f>SUM(E50:I50)/D51</f>
        <v>0.73512286131060589</v>
      </c>
    </row>
    <row r="51" spans="1:13">
      <c r="B51" s="294" t="s">
        <v>1452</v>
      </c>
      <c r="D51" s="382">
        <f>(754648674-370895076)/1000000</f>
        <v>383.75359800000001</v>
      </c>
      <c r="E51" s="311"/>
      <c r="F51" s="311"/>
      <c r="G51" s="311"/>
      <c r="H51" s="311"/>
      <c r="I51" s="311"/>
    </row>
    <row r="52" spans="1:13">
      <c r="D52" s="311"/>
      <c r="F52" s="294" t="s">
        <v>1447</v>
      </c>
      <c r="J52" s="383">
        <f>SUM(E50:I50)</f>
        <v>282.106043</v>
      </c>
      <c r="M52" s="388"/>
    </row>
    <row r="53" spans="1:13">
      <c r="F53" s="294" t="s">
        <v>1448</v>
      </c>
      <c r="J53" s="316">
        <f>AVERAGE(E50:I50)</f>
        <v>56.4212086</v>
      </c>
    </row>
    <row r="54" spans="1:13">
      <c r="F54" s="294" t="s">
        <v>1428</v>
      </c>
      <c r="J54" s="317">
        <f>MEDIAN(J14:J45)</f>
        <v>0.72942813489031977</v>
      </c>
    </row>
    <row r="55" spans="1:13">
      <c r="F55" s="294" t="s">
        <v>1449</v>
      </c>
      <c r="J55" s="318">
        <f>J50/J54</f>
        <v>1.0078071110064084</v>
      </c>
    </row>
    <row r="56" spans="1:13">
      <c r="J56" s="318"/>
    </row>
    <row r="57" spans="1:13">
      <c r="A57" s="305" t="s">
        <v>27</v>
      </c>
      <c r="B57" s="305"/>
    </row>
    <row r="58" spans="1:13">
      <c r="A58" s="294" t="s">
        <v>1440</v>
      </c>
    </row>
    <row r="59" spans="1:13">
      <c r="A59" s="294" t="s">
        <v>1441</v>
      </c>
      <c r="J59" s="334"/>
    </row>
    <row r="60" spans="1:13">
      <c r="A60" s="294" t="s">
        <v>1446</v>
      </c>
    </row>
    <row r="61" spans="1:13">
      <c r="B61" s="275"/>
    </row>
  </sheetData>
  <conditionalFormatting sqref="A21 L14 A26 A31 A36 A41">
    <cfRule type="expression" dxfId="1" priority="1">
      <formula>"(blank)"</formula>
    </cfRule>
  </conditionalFormatting>
  <conditionalFormatting sqref="A21 L14 A26 A31 A36 A41">
    <cfRule type="expression" dxfId="0" priority="2">
      <formula>#REF!</formula>
    </cfRule>
  </conditionalFormatting>
  <printOptions horizontalCentered="1"/>
  <pageMargins left="0.7" right="0.7" top="1.25" bottom="0.75" header="0.3" footer="0.3"/>
  <pageSetup scale="73" fitToHeight="0" orientation="portrait" useFirstPageNumber="1" r:id="rId1"/>
  <headerFooter>
    <oddHeader>&amp;RDocket No. UG-19____
Cascade Natural Gas Corp.
Exhibit No.___(AEB-2)
Schedule 10
Page &amp;P of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3:K60"/>
  <sheetViews>
    <sheetView zoomScaleNormal="100" zoomScaleSheetLayoutView="70" workbookViewId="0">
      <selection activeCell="H33" sqref="H33"/>
    </sheetView>
  </sheetViews>
  <sheetFormatPr defaultColWidth="9.140625" defaultRowHeight="12.75"/>
  <cols>
    <col min="1" max="1" width="12.5703125" style="275" customWidth="1"/>
    <col min="2" max="2" width="8.85546875" style="275" customWidth="1"/>
    <col min="3" max="3" width="36" style="275" bestFit="1" customWidth="1"/>
    <col min="4" max="5" width="12.5703125" style="275" customWidth="1"/>
    <col min="6" max="7" width="11.28515625" style="275" customWidth="1"/>
    <col min="8" max="16384" width="9.140625" style="275"/>
  </cols>
  <sheetData>
    <row r="3" spans="1:7">
      <c r="A3" s="453" t="s">
        <v>1431</v>
      </c>
      <c r="B3" s="453"/>
      <c r="C3" s="453"/>
      <c r="D3" s="453"/>
      <c r="E3" s="453"/>
      <c r="F3" s="453"/>
      <c r="G3" s="453"/>
    </row>
    <row r="21" spans="3:11">
      <c r="J21" s="294"/>
      <c r="K21" s="294"/>
    </row>
    <row r="22" spans="3:11">
      <c r="J22" s="294"/>
      <c r="K22" s="294"/>
    </row>
    <row r="23" spans="3:11">
      <c r="J23" s="294"/>
      <c r="K23" s="294"/>
    </row>
    <row r="24" spans="3:11">
      <c r="J24" s="294"/>
      <c r="K24" s="294"/>
    </row>
    <row r="25" spans="3:11">
      <c r="J25" s="294"/>
      <c r="K25" s="294"/>
    </row>
    <row r="26" spans="3:11">
      <c r="J26" s="294"/>
      <c r="K26" s="294"/>
    </row>
    <row r="27" spans="3:11">
      <c r="J27" s="294"/>
      <c r="K27" s="294"/>
    </row>
    <row r="28" spans="3:11">
      <c r="C28" s="319" t="s">
        <v>1442</v>
      </c>
      <c r="D28" s="297"/>
      <c r="E28" s="297"/>
    </row>
    <row r="30" spans="3:11">
      <c r="C30" s="320" t="s">
        <v>0</v>
      </c>
      <c r="D30" s="321"/>
      <c r="E30" s="320" t="s">
        <v>1443</v>
      </c>
    </row>
    <row r="31" spans="3:11">
      <c r="C31" s="294" t="s">
        <v>59</v>
      </c>
      <c r="D31" s="278" t="s">
        <v>22</v>
      </c>
      <c r="E31" s="322">
        <f>INDEX('Schedule-10 CapEx 1'!J:J, MATCH(D31, 'Schedule-10 CapEx 1'!C:C, 0)+3,0)</f>
        <v>0.38448863854082849</v>
      </c>
    </row>
    <row r="32" spans="3:11">
      <c r="C32" s="294" t="s">
        <v>62</v>
      </c>
      <c r="D32" s="278" t="s">
        <v>23</v>
      </c>
      <c r="E32" s="322">
        <f>INDEX('Schedule-10 CapEx 1'!J:J, MATCH(D32, 'Schedule-10 CapEx 1'!C:C, 0)+3,0)</f>
        <v>0.44321507760532153</v>
      </c>
    </row>
    <row r="33" spans="2:6">
      <c r="C33" s="294" t="s">
        <v>106</v>
      </c>
      <c r="D33" s="278" t="s">
        <v>101</v>
      </c>
      <c r="E33" s="322">
        <f>INDEX('Schedule-10 CapEx 1'!J:J, MATCH(D33, 'Schedule-10 CapEx 1'!C:C, 0)+3,0)</f>
        <v>0.50703663040223579</v>
      </c>
    </row>
    <row r="34" spans="2:6">
      <c r="C34" s="294" t="s">
        <v>102</v>
      </c>
      <c r="D34" s="278" t="s">
        <v>103</v>
      </c>
      <c r="E34" s="322">
        <f>INDEX('Schedule-10 CapEx 1'!J:J, MATCH(D34, 'Schedule-10 CapEx 1'!C:C, 0)+3,0)</f>
        <v>0.72942813489031977</v>
      </c>
    </row>
    <row r="35" spans="2:6">
      <c r="C35" s="294" t="s">
        <v>1425</v>
      </c>
      <c r="D35" s="278" t="s">
        <v>1445</v>
      </c>
      <c r="E35" s="322">
        <f>INDEX('Schedule-10 CapEx 1'!J:J, MATCH(D35, 'Schedule-10 CapEx 1'!C:C, 0)+3,0)</f>
        <v>0.73512286131060589</v>
      </c>
    </row>
    <row r="36" spans="2:6">
      <c r="C36" s="294" t="s">
        <v>60</v>
      </c>
      <c r="D36" s="278" t="s">
        <v>24</v>
      </c>
      <c r="E36" s="322">
        <f>INDEX('Schedule-10 CapEx 1'!J:J, MATCH(D36, 'Schedule-10 CapEx 1'!C:C, 0)+3,0)</f>
        <v>0.74100992519072661</v>
      </c>
    </row>
    <row r="37" spans="2:6">
      <c r="C37" s="294" t="s">
        <v>58</v>
      </c>
      <c r="D37" s="278" t="s">
        <v>21</v>
      </c>
      <c r="E37" s="322">
        <f>INDEX('Schedule-10 CapEx 1'!J:J, MATCH(D37, 'Schedule-10 CapEx 1'!C:C, 0)+3,0)</f>
        <v>0.97326712890962486</v>
      </c>
    </row>
    <row r="38" spans="2:6">
      <c r="C38" s="294" t="s">
        <v>61</v>
      </c>
      <c r="D38" s="314" t="s">
        <v>25</v>
      </c>
      <c r="E38" s="322">
        <f>INDEX('Schedule-10 CapEx 1'!J:J, MATCH(D38, 'Schedule-10 CapEx 1'!C:C, 0)+3,0)</f>
        <v>0.99064372084797847</v>
      </c>
    </row>
    <row r="39" spans="2:6">
      <c r="D39" s="294"/>
      <c r="E39" s="294"/>
    </row>
    <row r="40" spans="2:6">
      <c r="C40" s="315" t="s">
        <v>1428</v>
      </c>
      <c r="D40" s="323"/>
      <c r="E40" s="324">
        <f>MEDIAN(E31:E34,E36:E38)</f>
        <v>0.72942813489031977</v>
      </c>
      <c r="F40" s="325"/>
    </row>
    <row r="41" spans="2:6" ht="13.5" thickBot="1">
      <c r="C41" s="326" t="s">
        <v>1451</v>
      </c>
      <c r="D41" s="327"/>
      <c r="E41" s="328">
        <f>'Schedule-10 CapEx 1'!J50/E40</f>
        <v>1.0078071110064084</v>
      </c>
    </row>
    <row r="42" spans="2:6">
      <c r="D42" s="294"/>
      <c r="E42" s="329"/>
    </row>
    <row r="43" spans="2:6">
      <c r="D43" s="294"/>
      <c r="E43" s="329"/>
    </row>
    <row r="44" spans="2:6">
      <c r="C44" s="330" t="s">
        <v>27</v>
      </c>
    </row>
    <row r="45" spans="2:6">
      <c r="C45" s="275" t="s">
        <v>1450</v>
      </c>
    </row>
    <row r="47" spans="2:6">
      <c r="B47" s="294"/>
      <c r="C47" s="294"/>
      <c r="D47" s="278"/>
    </row>
    <row r="48" spans="2:6">
      <c r="C48" s="331" t="s">
        <v>1444</v>
      </c>
      <c r="D48" s="331" t="s">
        <v>1315</v>
      </c>
      <c r="E48" s="294"/>
    </row>
    <row r="49" spans="3:5">
      <c r="C49" s="332">
        <v>0</v>
      </c>
      <c r="D49" s="333">
        <f>E40</f>
        <v>0.72942813489031977</v>
      </c>
      <c r="E49" s="294"/>
    </row>
    <row r="50" spans="3:5">
      <c r="C50" s="332">
        <v>10</v>
      </c>
      <c r="D50" s="333">
        <f>E40</f>
        <v>0.72942813489031977</v>
      </c>
      <c r="E50" s="294"/>
    </row>
    <row r="51" spans="3:5">
      <c r="C51" s="294"/>
      <c r="D51" s="294"/>
      <c r="E51" s="294"/>
    </row>
    <row r="52" spans="3:5">
      <c r="C52" s="294"/>
      <c r="D52" s="294"/>
      <c r="E52" s="294"/>
    </row>
    <row r="53" spans="3:5">
      <c r="C53" s="294"/>
      <c r="D53" s="294"/>
      <c r="E53" s="294"/>
    </row>
    <row r="54" spans="3:5">
      <c r="C54" s="294"/>
      <c r="D54" s="294"/>
      <c r="E54" s="294"/>
    </row>
    <row r="55" spans="3:5">
      <c r="C55" s="294"/>
      <c r="D55" s="294"/>
      <c r="E55" s="294"/>
    </row>
    <row r="56" spans="3:5">
      <c r="C56" s="294"/>
      <c r="D56" s="294"/>
      <c r="E56" s="294"/>
    </row>
    <row r="57" spans="3:5">
      <c r="C57" s="294"/>
      <c r="D57" s="294"/>
      <c r="E57" s="294"/>
    </row>
    <row r="58" spans="3:5">
      <c r="C58" s="294"/>
      <c r="D58" s="294"/>
      <c r="E58" s="294"/>
    </row>
    <row r="59" spans="3:5">
      <c r="C59" s="294"/>
      <c r="D59" s="294"/>
      <c r="E59" s="294"/>
    </row>
    <row r="60" spans="3:5">
      <c r="C60" s="294"/>
      <c r="D60" s="294"/>
      <c r="E60" s="294"/>
    </row>
  </sheetData>
  <sortState ref="C31:E38">
    <sortCondition ref="E31:E38"/>
  </sortState>
  <mergeCells count="1">
    <mergeCell ref="A3:G3"/>
  </mergeCells>
  <printOptions horizontalCentered="1"/>
  <pageMargins left="0.7" right="0.7" top="1.25" bottom="0.75" header="0.3" footer="0.3"/>
  <pageSetup scale="73" firstPageNumber="2" orientation="portrait" useFirstPageNumber="1" r:id="rId1"/>
  <headerFooter>
    <oddHeader>&amp;RDocket No. UG-19____
Cascade Natural Gas Corp.
Exhibit No.___(AEB-2)
Schedule 10
Page &amp;P of 2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O45"/>
  <sheetViews>
    <sheetView zoomScale="85" zoomScaleNormal="85" zoomScaleSheetLayoutView="85" workbookViewId="0">
      <selection sqref="A1:XFD1048576"/>
    </sheetView>
  </sheetViews>
  <sheetFormatPr defaultColWidth="9" defaultRowHeight="12.75"/>
  <cols>
    <col min="1" max="1" width="30" style="264" customWidth="1"/>
    <col min="2" max="2" width="15.28515625" style="264" bestFit="1" customWidth="1"/>
    <col min="3" max="3" width="13.7109375" style="264" customWidth="1"/>
    <col min="4" max="4" width="1.85546875" style="264" customWidth="1"/>
    <col min="5" max="5" width="16.7109375" style="264" bestFit="1" customWidth="1"/>
    <col min="6" max="6" width="20.28515625" style="264" customWidth="1"/>
    <col min="7" max="7" width="7" style="264" customWidth="1"/>
    <col min="8" max="8" width="9.28515625" style="264" customWidth="1"/>
    <col min="9" max="9" width="11.7109375" style="264" bestFit="1" customWidth="1"/>
    <col min="10" max="10" width="13" style="264" bestFit="1" customWidth="1"/>
    <col min="11" max="11" width="11" style="264" customWidth="1"/>
    <col min="12" max="16384" width="9" style="264"/>
  </cols>
  <sheetData>
    <row r="2" spans="1:15">
      <c r="A2" s="454" t="s">
        <v>1426</v>
      </c>
      <c r="B2" s="454"/>
      <c r="C2" s="454"/>
      <c r="D2" s="454"/>
      <c r="E2" s="454"/>
      <c r="F2" s="454"/>
      <c r="G2" s="454"/>
      <c r="H2" s="454"/>
      <c r="I2" s="454"/>
      <c r="J2" s="454"/>
    </row>
    <row r="3" spans="1:15">
      <c r="A3" s="454" t="s">
        <v>1387</v>
      </c>
      <c r="B3" s="454"/>
      <c r="C3" s="454"/>
      <c r="D3" s="454"/>
      <c r="E3" s="454"/>
      <c r="F3" s="454"/>
      <c r="G3" s="454"/>
      <c r="H3" s="454"/>
      <c r="I3" s="454"/>
      <c r="J3" s="454"/>
    </row>
    <row r="4" spans="1:15" ht="13.5" thickBot="1">
      <c r="A4" s="265"/>
      <c r="B4" s="265"/>
      <c r="C4" s="265"/>
      <c r="D4" s="265"/>
      <c r="E4" s="265"/>
      <c r="F4" s="265"/>
      <c r="G4" s="265"/>
      <c r="H4" s="265"/>
      <c r="I4" s="265"/>
      <c r="J4" s="265"/>
    </row>
    <row r="5" spans="1:15">
      <c r="A5" s="266"/>
      <c r="B5" s="266"/>
      <c r="C5" s="266"/>
      <c r="D5" s="266"/>
      <c r="E5" s="266"/>
      <c r="F5" s="266"/>
      <c r="G5" s="266"/>
      <c r="H5" s="266"/>
      <c r="I5" s="267"/>
      <c r="J5" s="267"/>
    </row>
    <row r="6" spans="1:15">
      <c r="A6" s="268"/>
      <c r="B6" s="268"/>
      <c r="C6" s="268"/>
      <c r="D6" s="268"/>
      <c r="E6" s="268"/>
      <c r="F6" s="268"/>
      <c r="G6" s="455" t="s">
        <v>1388</v>
      </c>
      <c r="H6" s="455"/>
      <c r="I6" s="456" t="s">
        <v>1389</v>
      </c>
      <c r="J6" s="456"/>
    </row>
    <row r="7" spans="1:15" ht="12.75" customHeight="1">
      <c r="A7" s="268"/>
      <c r="B7" s="268"/>
      <c r="C7" s="268"/>
      <c r="D7" s="268"/>
      <c r="E7" s="269"/>
      <c r="F7" s="270"/>
      <c r="G7" s="457"/>
      <c r="H7" s="457"/>
      <c r="I7" s="271" t="s">
        <v>1390</v>
      </c>
      <c r="J7" s="271" t="s">
        <v>1391</v>
      </c>
    </row>
    <row r="8" spans="1:15">
      <c r="A8" s="272" t="s">
        <v>227</v>
      </c>
      <c r="B8" s="272" t="s">
        <v>1392</v>
      </c>
      <c r="C8" s="272" t="s">
        <v>1393</v>
      </c>
      <c r="D8" s="272"/>
      <c r="E8" s="272" t="s">
        <v>1394</v>
      </c>
      <c r="F8" s="272" t="s">
        <v>1395</v>
      </c>
      <c r="G8" s="273" t="s">
        <v>1396</v>
      </c>
      <c r="H8" s="272" t="s">
        <v>1397</v>
      </c>
      <c r="I8" s="274" t="s">
        <v>1398</v>
      </c>
      <c r="J8" s="274" t="s">
        <v>1399</v>
      </c>
    </row>
    <row r="9" spans="1:15">
      <c r="K9" s="271"/>
      <c r="N9" s="271"/>
      <c r="O9" s="271"/>
    </row>
    <row r="10" spans="1:15">
      <c r="A10" s="264" t="s">
        <v>58</v>
      </c>
      <c r="B10" s="275" t="s">
        <v>1400</v>
      </c>
      <c r="C10" s="276" t="s">
        <v>1401</v>
      </c>
      <c r="D10" s="271">
        <f>IF(B10="","",1)</f>
        <v>1</v>
      </c>
      <c r="E10" s="277" t="s">
        <v>1402</v>
      </c>
      <c r="F10" s="277" t="s">
        <v>1403</v>
      </c>
      <c r="G10" s="278"/>
      <c r="H10" s="278" t="s">
        <v>1404</v>
      </c>
      <c r="I10" s="278"/>
      <c r="J10" s="278" t="s">
        <v>1404</v>
      </c>
      <c r="K10" s="271"/>
      <c r="L10" s="271"/>
      <c r="M10" s="271"/>
      <c r="N10" s="279"/>
      <c r="O10" s="279"/>
    </row>
    <row r="11" spans="1:15">
      <c r="A11" s="280"/>
      <c r="B11" s="275" t="s">
        <v>1405</v>
      </c>
      <c r="C11" s="276" t="s">
        <v>1401</v>
      </c>
      <c r="D11" s="271">
        <f>IF(B11="","",1)</f>
        <v>1</v>
      </c>
      <c r="E11" s="277" t="s">
        <v>1406</v>
      </c>
      <c r="F11" s="277" t="s">
        <v>1403</v>
      </c>
      <c r="G11" s="278"/>
      <c r="H11" s="278" t="s">
        <v>1404</v>
      </c>
      <c r="I11" s="278"/>
      <c r="J11" s="278" t="s">
        <v>1404</v>
      </c>
      <c r="K11" s="271"/>
      <c r="L11" s="271"/>
      <c r="M11" s="271"/>
      <c r="N11" s="279"/>
      <c r="O11" s="279"/>
    </row>
    <row r="12" spans="1:15">
      <c r="A12" s="280"/>
      <c r="B12" s="275" t="s">
        <v>1407</v>
      </c>
      <c r="C12" s="276" t="s">
        <v>1401</v>
      </c>
      <c r="D12" s="271">
        <f t="shared" ref="D12:D33" si="0">IF(B12="","",1)</f>
        <v>1</v>
      </c>
      <c r="E12" s="277" t="s">
        <v>1402</v>
      </c>
      <c r="F12" s="277" t="s">
        <v>1381</v>
      </c>
      <c r="G12" s="278"/>
      <c r="H12" s="278" t="s">
        <v>1404</v>
      </c>
      <c r="I12" s="278"/>
      <c r="J12" s="278" t="s">
        <v>1404</v>
      </c>
      <c r="K12" s="271"/>
      <c r="L12" s="271"/>
      <c r="M12" s="271"/>
      <c r="N12" s="279"/>
      <c r="O12" s="279"/>
    </row>
    <row r="13" spans="1:15">
      <c r="A13" s="280"/>
      <c r="B13" s="275" t="s">
        <v>1408</v>
      </c>
      <c r="C13" s="276" t="s">
        <v>1401</v>
      </c>
      <c r="D13" s="271">
        <f t="shared" si="0"/>
        <v>1</v>
      </c>
      <c r="E13" s="277" t="s">
        <v>1406</v>
      </c>
      <c r="F13" s="277" t="s">
        <v>1381</v>
      </c>
      <c r="G13" s="278"/>
      <c r="H13" s="278" t="s">
        <v>1404</v>
      </c>
      <c r="I13" s="278"/>
      <c r="J13" s="278" t="s">
        <v>1404</v>
      </c>
      <c r="K13" s="271"/>
      <c r="L13" s="271"/>
      <c r="M13" s="271"/>
      <c r="N13" s="279"/>
      <c r="O13" s="279"/>
    </row>
    <row r="14" spans="1:15">
      <c r="A14" s="280"/>
      <c r="B14" s="275" t="s">
        <v>1409</v>
      </c>
      <c r="C14" s="276" t="s">
        <v>1401</v>
      </c>
      <c r="D14" s="271">
        <f t="shared" si="0"/>
        <v>1</v>
      </c>
      <c r="E14" s="277" t="s">
        <v>1406</v>
      </c>
      <c r="F14" s="277" t="s">
        <v>1381</v>
      </c>
      <c r="G14" s="278"/>
      <c r="H14" s="278" t="s">
        <v>1404</v>
      </c>
      <c r="I14" s="278"/>
      <c r="J14" s="278"/>
      <c r="K14" s="271"/>
      <c r="L14" s="271"/>
      <c r="M14" s="271"/>
      <c r="N14" s="279"/>
      <c r="O14" s="279"/>
    </row>
    <row r="15" spans="1:15">
      <c r="B15" s="275" t="s">
        <v>1410</v>
      </c>
      <c r="C15" s="276" t="s">
        <v>1401</v>
      </c>
      <c r="D15" s="271">
        <f t="shared" si="0"/>
        <v>1</v>
      </c>
      <c r="E15" s="277" t="s">
        <v>1402</v>
      </c>
      <c r="F15" s="277" t="s">
        <v>1403</v>
      </c>
      <c r="G15" s="278"/>
      <c r="H15" s="278" t="s">
        <v>1404</v>
      </c>
      <c r="I15" s="278"/>
      <c r="J15" s="278" t="s">
        <v>1404</v>
      </c>
      <c r="K15" s="271"/>
      <c r="L15" s="271"/>
      <c r="M15" s="271"/>
      <c r="N15" s="279"/>
      <c r="O15" s="279"/>
    </row>
    <row r="16" spans="1:15">
      <c r="B16" s="280"/>
      <c r="C16" s="280"/>
      <c r="D16" s="271" t="str">
        <f t="shared" si="0"/>
        <v/>
      </c>
      <c r="E16" s="271"/>
      <c r="F16" s="271"/>
      <c r="G16" s="271"/>
      <c r="H16" s="281"/>
      <c r="I16" s="271"/>
      <c r="J16" s="281"/>
      <c r="K16" s="271"/>
      <c r="L16" s="271"/>
      <c r="M16" s="271"/>
      <c r="N16" s="279"/>
      <c r="O16" s="279"/>
    </row>
    <row r="17" spans="1:15">
      <c r="A17" s="264" t="s">
        <v>59</v>
      </c>
      <c r="B17" s="275" t="s">
        <v>1411</v>
      </c>
      <c r="C17" s="276" t="s">
        <v>1401</v>
      </c>
      <c r="D17" s="271">
        <f t="shared" si="0"/>
        <v>1</v>
      </c>
      <c r="E17" s="277" t="s">
        <v>1412</v>
      </c>
      <c r="F17" s="277" t="s">
        <v>1403</v>
      </c>
      <c r="G17" s="278" t="s">
        <v>1404</v>
      </c>
      <c r="H17" s="278"/>
      <c r="I17" s="278"/>
      <c r="J17" s="278" t="s">
        <v>1404</v>
      </c>
      <c r="K17" s="271"/>
      <c r="L17" s="271"/>
      <c r="M17" s="271"/>
      <c r="N17" s="279"/>
      <c r="O17" s="279"/>
    </row>
    <row r="18" spans="1:15">
      <c r="B18" s="280"/>
      <c r="C18" s="280"/>
      <c r="D18" s="271" t="str">
        <f t="shared" si="0"/>
        <v/>
      </c>
      <c r="E18" s="271"/>
      <c r="F18" s="271"/>
      <c r="G18" s="271"/>
      <c r="H18" s="281"/>
      <c r="I18" s="271"/>
      <c r="J18" s="281"/>
      <c r="K18" s="271"/>
      <c r="L18" s="271"/>
      <c r="M18" s="271"/>
      <c r="N18" s="279"/>
      <c r="O18" s="279"/>
    </row>
    <row r="19" spans="1:15">
      <c r="A19" s="264" t="s">
        <v>62</v>
      </c>
      <c r="B19" s="280" t="s">
        <v>1413</v>
      </c>
      <c r="C19" s="276" t="s">
        <v>1401</v>
      </c>
      <c r="D19" s="271">
        <f t="shared" si="0"/>
        <v>1</v>
      </c>
      <c r="E19" s="281" t="s">
        <v>1406</v>
      </c>
      <c r="F19" s="281" t="s">
        <v>1381</v>
      </c>
      <c r="G19" s="281"/>
      <c r="H19" s="281" t="s">
        <v>1404</v>
      </c>
      <c r="I19" s="281"/>
      <c r="J19" s="271"/>
      <c r="K19" s="271"/>
      <c r="L19" s="271"/>
      <c r="M19" s="271"/>
      <c r="N19" s="279"/>
      <c r="O19" s="279"/>
    </row>
    <row r="20" spans="1:15">
      <c r="B20" s="280" t="s">
        <v>1414</v>
      </c>
      <c r="C20" s="276" t="s">
        <v>1401</v>
      </c>
      <c r="D20" s="271">
        <f t="shared" si="0"/>
        <v>1</v>
      </c>
      <c r="E20" s="281" t="s">
        <v>1402</v>
      </c>
      <c r="F20" s="281" t="s">
        <v>1381</v>
      </c>
      <c r="G20" s="271"/>
      <c r="H20" s="271"/>
      <c r="I20" s="281"/>
      <c r="J20" s="271"/>
      <c r="K20" s="271"/>
      <c r="L20" s="271"/>
      <c r="M20" s="271"/>
      <c r="N20" s="279"/>
      <c r="O20" s="279"/>
    </row>
    <row r="21" spans="1:15">
      <c r="B21" s="280"/>
      <c r="C21" s="280"/>
      <c r="D21" s="271" t="str">
        <f t="shared" si="0"/>
        <v/>
      </c>
      <c r="E21" s="271"/>
      <c r="F21" s="271"/>
      <c r="G21" s="271"/>
      <c r="H21" s="271"/>
      <c r="I21" s="271"/>
      <c r="J21" s="281"/>
      <c r="K21" s="271"/>
      <c r="L21" s="271"/>
      <c r="M21" s="271"/>
      <c r="N21" s="279"/>
      <c r="O21" s="279"/>
    </row>
    <row r="22" spans="1:15">
      <c r="A22" s="264" t="s">
        <v>106</v>
      </c>
      <c r="B22" s="275" t="s">
        <v>1400</v>
      </c>
      <c r="C22" s="276" t="s">
        <v>1401</v>
      </c>
      <c r="D22" s="271">
        <f t="shared" si="0"/>
        <v>1</v>
      </c>
      <c r="E22" s="277" t="s">
        <v>1402</v>
      </c>
      <c r="F22" s="277" t="s">
        <v>1403</v>
      </c>
      <c r="G22" s="278"/>
      <c r="H22" s="278" t="s">
        <v>1404</v>
      </c>
      <c r="I22" s="278"/>
      <c r="J22" s="278" t="s">
        <v>1404</v>
      </c>
      <c r="K22" s="271"/>
      <c r="L22" s="271"/>
      <c r="M22" s="271"/>
      <c r="N22" s="279"/>
      <c r="O22" s="279"/>
    </row>
    <row r="23" spans="1:15">
      <c r="B23" s="275" t="s">
        <v>1415</v>
      </c>
      <c r="C23" s="276" t="s">
        <v>1401</v>
      </c>
      <c r="D23" s="271">
        <f t="shared" si="0"/>
        <v>1</v>
      </c>
      <c r="E23" s="277" t="s">
        <v>1402</v>
      </c>
      <c r="F23" s="277" t="s">
        <v>1403</v>
      </c>
      <c r="G23" s="278"/>
      <c r="H23" s="278" t="s">
        <v>1404</v>
      </c>
      <c r="I23" s="278"/>
      <c r="J23" s="278"/>
      <c r="K23" s="271"/>
      <c r="L23" s="271"/>
      <c r="M23" s="271"/>
      <c r="N23" s="279"/>
      <c r="O23" s="279"/>
    </row>
    <row r="24" spans="1:15">
      <c r="B24" s="275" t="s">
        <v>1410</v>
      </c>
      <c r="C24" s="276" t="s">
        <v>1401</v>
      </c>
      <c r="D24" s="271">
        <f t="shared" si="0"/>
        <v>1</v>
      </c>
      <c r="E24" s="277" t="s">
        <v>1402</v>
      </c>
      <c r="F24" s="277" t="s">
        <v>1403</v>
      </c>
      <c r="G24" s="278"/>
      <c r="H24" s="278" t="s">
        <v>1404</v>
      </c>
      <c r="I24" s="278"/>
      <c r="J24" s="278" t="s">
        <v>1404</v>
      </c>
      <c r="K24" s="271"/>
      <c r="L24" s="271"/>
      <c r="M24" s="271"/>
      <c r="N24" s="279"/>
      <c r="O24" s="279"/>
    </row>
    <row r="25" spans="1:15">
      <c r="B25" s="280"/>
      <c r="C25" s="280"/>
      <c r="D25" s="271" t="str">
        <f t="shared" si="0"/>
        <v/>
      </c>
      <c r="E25" s="271"/>
      <c r="F25" s="271"/>
      <c r="G25" s="271"/>
      <c r="H25" s="271"/>
      <c r="I25" s="271"/>
      <c r="J25" s="271"/>
      <c r="K25" s="271"/>
      <c r="L25" s="271"/>
      <c r="M25" s="271"/>
      <c r="N25" s="279"/>
      <c r="O25" s="279"/>
    </row>
    <row r="26" spans="1:15">
      <c r="A26" s="264" t="s">
        <v>60</v>
      </c>
      <c r="B26" s="275" t="s">
        <v>1411</v>
      </c>
      <c r="C26" s="276" t="s">
        <v>1401</v>
      </c>
      <c r="D26" s="271">
        <f t="shared" si="0"/>
        <v>1</v>
      </c>
      <c r="E26" s="277" t="s">
        <v>1412</v>
      </c>
      <c r="F26" s="277" t="s">
        <v>1403</v>
      </c>
      <c r="G26" s="278" t="s">
        <v>1404</v>
      </c>
      <c r="H26" s="278"/>
      <c r="I26" s="278"/>
      <c r="J26" s="278" t="s">
        <v>1404</v>
      </c>
      <c r="K26" s="271"/>
      <c r="L26" s="271"/>
      <c r="M26" s="271"/>
      <c r="N26" s="279"/>
      <c r="O26" s="279"/>
    </row>
    <row r="27" spans="1:15">
      <c r="B27" s="280"/>
      <c r="C27" s="280"/>
      <c r="D27" s="271" t="str">
        <f t="shared" si="0"/>
        <v/>
      </c>
      <c r="E27" s="271"/>
      <c r="F27" s="271"/>
      <c r="G27" s="271"/>
      <c r="H27" s="271"/>
      <c r="I27" s="271"/>
      <c r="J27" s="271"/>
      <c r="K27" s="271"/>
      <c r="L27" s="271"/>
      <c r="M27" s="271"/>
      <c r="N27" s="279"/>
      <c r="O27" s="279"/>
    </row>
    <row r="28" spans="1:15">
      <c r="A28" s="264" t="s">
        <v>61</v>
      </c>
      <c r="B28" s="275" t="s">
        <v>1416</v>
      </c>
      <c r="C28" s="276" t="s">
        <v>1401</v>
      </c>
      <c r="D28" s="271">
        <f t="shared" si="0"/>
        <v>1</v>
      </c>
      <c r="E28" s="277" t="s">
        <v>1402</v>
      </c>
      <c r="F28" s="277" t="s">
        <v>1403</v>
      </c>
      <c r="G28" s="278"/>
      <c r="H28" s="278" t="s">
        <v>1404</v>
      </c>
      <c r="I28" s="278"/>
      <c r="J28" s="278" t="s">
        <v>1404</v>
      </c>
      <c r="K28" s="271"/>
      <c r="L28" s="271"/>
      <c r="M28" s="271"/>
      <c r="N28" s="279"/>
      <c r="O28" s="279"/>
    </row>
    <row r="29" spans="1:15">
      <c r="A29" s="280"/>
      <c r="B29" s="275" t="s">
        <v>1417</v>
      </c>
      <c r="C29" s="276" t="s">
        <v>1401</v>
      </c>
      <c r="D29" s="271">
        <f t="shared" si="0"/>
        <v>1</v>
      </c>
      <c r="E29" s="277" t="s">
        <v>1406</v>
      </c>
      <c r="F29" s="277" t="s">
        <v>1381</v>
      </c>
      <c r="G29" s="278" t="s">
        <v>1404</v>
      </c>
      <c r="H29" s="278"/>
      <c r="I29" s="278"/>
      <c r="J29" s="278"/>
      <c r="K29" s="271"/>
      <c r="L29" s="271"/>
      <c r="M29" s="271"/>
      <c r="N29" s="279"/>
      <c r="O29" s="279"/>
    </row>
    <row r="30" spans="1:15">
      <c r="B30" s="275" t="s">
        <v>1418</v>
      </c>
      <c r="C30" s="276" t="s">
        <v>1401</v>
      </c>
      <c r="D30" s="271">
        <f t="shared" si="0"/>
        <v>1</v>
      </c>
      <c r="E30" s="277" t="s">
        <v>1402</v>
      </c>
      <c r="F30" s="277" t="s">
        <v>1403</v>
      </c>
      <c r="G30" s="278" t="s">
        <v>1404</v>
      </c>
      <c r="H30" s="278"/>
      <c r="I30" s="278"/>
      <c r="J30" s="278" t="s">
        <v>1404</v>
      </c>
      <c r="K30" s="271"/>
      <c r="L30" s="271"/>
      <c r="M30" s="271"/>
      <c r="N30" s="279"/>
      <c r="O30" s="279"/>
    </row>
    <row r="31" spans="1:15">
      <c r="B31" s="280"/>
      <c r="C31" s="280"/>
      <c r="D31" s="271" t="str">
        <f t="shared" si="0"/>
        <v/>
      </c>
      <c r="E31" s="271"/>
      <c r="F31" s="271"/>
      <c r="G31" s="271"/>
      <c r="H31" s="271"/>
      <c r="I31" s="271"/>
      <c r="J31" s="281"/>
      <c r="K31" s="271"/>
      <c r="L31" s="271"/>
      <c r="M31" s="271"/>
      <c r="N31" s="279"/>
      <c r="O31" s="279"/>
    </row>
    <row r="32" spans="1:15" ht="14.25" customHeight="1">
      <c r="A32" s="264" t="s">
        <v>102</v>
      </c>
      <c r="B32" s="275" t="s">
        <v>1419</v>
      </c>
      <c r="C32" s="276" t="s">
        <v>1401</v>
      </c>
      <c r="D32" s="271">
        <f t="shared" si="0"/>
        <v>1</v>
      </c>
      <c r="E32" s="277" t="s">
        <v>1402</v>
      </c>
      <c r="F32" s="277" t="s">
        <v>1381</v>
      </c>
      <c r="G32" s="278"/>
      <c r="H32" s="278" t="s">
        <v>1404</v>
      </c>
      <c r="I32" s="278"/>
      <c r="J32" s="278"/>
      <c r="K32" s="271"/>
      <c r="L32" s="271"/>
      <c r="M32" s="271"/>
      <c r="N32" s="279"/>
      <c r="O32" s="279"/>
    </row>
    <row r="33" spans="1:15">
      <c r="A33" s="280"/>
      <c r="B33" s="275" t="s">
        <v>1420</v>
      </c>
      <c r="C33" s="276" t="s">
        <v>1401</v>
      </c>
      <c r="D33" s="271">
        <f t="shared" si="0"/>
        <v>1</v>
      </c>
      <c r="E33" s="271" t="s">
        <v>1402</v>
      </c>
      <c r="F33" s="271" t="s">
        <v>1403</v>
      </c>
      <c r="G33" s="278"/>
      <c r="H33" s="278"/>
      <c r="I33" s="278"/>
      <c r="J33" s="278" t="s">
        <v>1404</v>
      </c>
      <c r="K33" s="271"/>
      <c r="L33" s="271"/>
      <c r="M33" s="271"/>
      <c r="N33" s="279"/>
      <c r="O33" s="279"/>
    </row>
    <row r="34" spans="1:15">
      <c r="A34" s="280"/>
      <c r="B34" s="280"/>
      <c r="C34" s="280"/>
      <c r="D34" s="271" t="str">
        <f>IF(B34="","",1)</f>
        <v/>
      </c>
      <c r="E34" s="271"/>
      <c r="F34" s="271"/>
      <c r="G34" s="271"/>
      <c r="H34" s="271"/>
      <c r="I34" s="271"/>
      <c r="J34" s="271"/>
    </row>
    <row r="35" spans="1:15">
      <c r="A35" s="280"/>
      <c r="B35" s="280"/>
      <c r="C35" s="280"/>
      <c r="D35" s="271" t="str">
        <f>IF(B35="","",1)</f>
        <v/>
      </c>
      <c r="E35" s="271" t="str">
        <f>"Historical: "&amp;COUNTIF($E$10:$E$33,"Historical")</f>
        <v>Historical: 11</v>
      </c>
      <c r="F35" s="271" t="str">
        <f>"Average: "&amp;COUNTIF($F$10:$F$33,"Average")</f>
        <v>Average: 7</v>
      </c>
      <c r="G35" s="271"/>
      <c r="H35" s="271"/>
      <c r="I35" s="271"/>
      <c r="J35" s="271"/>
    </row>
    <row r="36" spans="1:15">
      <c r="A36" s="280" t="s">
        <v>1421</v>
      </c>
      <c r="B36" s="280"/>
      <c r="C36" s="280"/>
      <c r="E36" s="271" t="str">
        <f>"Forecast: "&amp;COUNTIF($E$10:$E$33,"*Forecast")</f>
        <v>Forecast: 7</v>
      </c>
      <c r="F36" s="271" t="str">
        <f>"Year End: "&amp;COUNTIF($F$10:$F$33,"Year End")</f>
        <v>Year End: 11</v>
      </c>
      <c r="G36" s="271">
        <f>COUNTIF(G10:G33,"x")</f>
        <v>4</v>
      </c>
      <c r="H36" s="271">
        <f>COUNTIF(H10:H33,"x")</f>
        <v>12</v>
      </c>
      <c r="I36" s="271">
        <f>COUNTIF(I10:I33,"x")</f>
        <v>0</v>
      </c>
      <c r="J36" s="271">
        <f>COUNTIF(J10:J33,"x")</f>
        <v>12</v>
      </c>
      <c r="K36" s="271"/>
      <c r="L36" s="271"/>
      <c r="M36" s="271"/>
      <c r="N36" s="271"/>
    </row>
    <row r="37" spans="1:15">
      <c r="E37" s="271"/>
      <c r="F37" s="271"/>
      <c r="G37" s="271"/>
      <c r="H37" s="271"/>
      <c r="I37" s="271"/>
      <c r="J37" s="271"/>
    </row>
    <row r="38" spans="1:15">
      <c r="A38" s="264" t="s">
        <v>1422</v>
      </c>
      <c r="B38" s="271">
        <f>SUM(D10:D33)</f>
        <v>18</v>
      </c>
      <c r="C38" s="271"/>
      <c r="G38" s="271"/>
      <c r="H38" s="271"/>
      <c r="I38" s="271"/>
      <c r="J38" s="271"/>
    </row>
    <row r="39" spans="1:15">
      <c r="B39" s="271"/>
      <c r="C39" s="271"/>
      <c r="G39" s="271"/>
      <c r="H39" s="271"/>
      <c r="I39" s="271"/>
      <c r="J39" s="271"/>
    </row>
    <row r="40" spans="1:15">
      <c r="A40" s="264" t="s">
        <v>1423</v>
      </c>
      <c r="B40" s="271"/>
      <c r="C40" s="271"/>
      <c r="E40" s="282" t="str">
        <f>"Forecast: "&amp;TEXT(COUNTIF($E$10:$E$33,"*Forecast")/$B$38,"0%")</f>
        <v>Forecast: 39%</v>
      </c>
      <c r="F40" s="282" t="str">
        <f>"Year End: "&amp;TEXT(COUNTIF($F$10:$F$33,"Year End")/$B$38,"0%")</f>
        <v>Year End: 61%</v>
      </c>
      <c r="G40" s="282">
        <f>G36/$B$38</f>
        <v>0.22222222222222221</v>
      </c>
      <c r="H40" s="282">
        <f>H36/$B$38</f>
        <v>0.66666666666666663</v>
      </c>
      <c r="I40" s="282">
        <f>I36/$B$38</f>
        <v>0</v>
      </c>
      <c r="J40" s="282">
        <f>J36/$B$38</f>
        <v>0.66666666666666663</v>
      </c>
      <c r="K40" s="282"/>
      <c r="L40" s="282"/>
      <c r="M40" s="282"/>
      <c r="N40" s="282"/>
    </row>
    <row r="41" spans="1:15" ht="13.5" thickBot="1">
      <c r="A41" s="290" t="s">
        <v>1487</v>
      </c>
      <c r="B41" s="291" t="s">
        <v>1414</v>
      </c>
      <c r="C41" s="283"/>
      <c r="D41" s="284"/>
      <c r="E41" s="292" t="s">
        <v>1402</v>
      </c>
      <c r="F41" s="285" t="s">
        <v>1381</v>
      </c>
      <c r="G41" s="286" t="s">
        <v>1404</v>
      </c>
      <c r="H41" s="284"/>
      <c r="I41" s="286"/>
      <c r="J41" s="286" t="s">
        <v>1404</v>
      </c>
      <c r="K41" s="293"/>
    </row>
    <row r="42" spans="1:15">
      <c r="I42" s="287"/>
      <c r="J42" s="271"/>
    </row>
    <row r="43" spans="1:15">
      <c r="A43" s="288" t="s">
        <v>27</v>
      </c>
      <c r="I43" s="271"/>
      <c r="J43" s="271"/>
    </row>
    <row r="44" spans="1:15">
      <c r="A44" s="289" t="s">
        <v>1424</v>
      </c>
      <c r="I44" s="271"/>
      <c r="J44" s="271"/>
    </row>
    <row r="45" spans="1:15">
      <c r="A45" s="289" t="s">
        <v>1488</v>
      </c>
    </row>
  </sheetData>
  <mergeCells count="5">
    <mergeCell ref="A2:J2"/>
    <mergeCell ref="A3:J3"/>
    <mergeCell ref="G6:H6"/>
    <mergeCell ref="I6:J6"/>
    <mergeCell ref="G7:H7"/>
  </mergeCells>
  <printOptions horizontalCentered="1"/>
  <pageMargins left="0.7" right="0.7" top="1.25" bottom="0.75" header="0.3" footer="0.3"/>
  <pageSetup scale="73" pageOrder="overThenDown" orientation="landscape" useFirstPageNumber="1" r:id="rId1"/>
  <headerFooter>
    <oddHeader>&amp;RDocket No. UG-19____
Cascade Natural Gas Corp.
Exhibit No.___(AEB-2)
Schedule 11
Page &amp;P of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58"/>
  <sheetViews>
    <sheetView zoomScaleNormal="100" workbookViewId="0">
      <selection sqref="A1:XFD1048576"/>
    </sheetView>
  </sheetViews>
  <sheetFormatPr defaultColWidth="9.140625" defaultRowHeight="12.75"/>
  <cols>
    <col min="1" max="1" width="5.5703125" style="62" customWidth="1"/>
    <col min="2" max="2" width="39.85546875" style="62" customWidth="1"/>
    <col min="3" max="6" width="10.5703125" style="61" customWidth="1"/>
    <col min="7" max="7" width="3.7109375" style="61" customWidth="1"/>
    <col min="8" max="8" width="4.28515625" style="61" customWidth="1"/>
    <col min="9" max="9" width="37.7109375" style="62" customWidth="1"/>
    <col min="10" max="13" width="10.5703125" style="61" customWidth="1"/>
    <col min="14" max="14" width="4.85546875" style="62" customWidth="1"/>
    <col min="15" max="15" width="5" style="62" customWidth="1"/>
    <col min="16" max="16" width="39.7109375" style="61" customWidth="1"/>
    <col min="17" max="20" width="10.5703125" style="61" customWidth="1"/>
    <col min="21" max="22" width="5.42578125" style="62" customWidth="1"/>
    <col min="23" max="16384" width="9.140625" style="62"/>
  </cols>
  <sheetData>
    <row r="1" spans="2:24">
      <c r="B1" s="458" t="s">
        <v>223</v>
      </c>
      <c r="C1" s="458"/>
      <c r="D1" s="458"/>
      <c r="E1" s="458"/>
      <c r="F1" s="458"/>
      <c r="I1" s="458" t="s">
        <v>223</v>
      </c>
      <c r="J1" s="458"/>
      <c r="K1" s="458"/>
      <c r="L1" s="458"/>
      <c r="M1" s="458"/>
      <c r="P1" s="458" t="s">
        <v>223</v>
      </c>
      <c r="Q1" s="458"/>
      <c r="R1" s="458"/>
      <c r="S1" s="458"/>
      <c r="T1" s="458"/>
    </row>
    <row r="2" spans="2:24">
      <c r="B2" s="61"/>
      <c r="I2" s="61"/>
    </row>
    <row r="3" spans="2:24">
      <c r="B3" s="458" t="s">
        <v>224</v>
      </c>
      <c r="C3" s="458"/>
      <c r="D3" s="458"/>
      <c r="E3" s="458"/>
      <c r="F3" s="458"/>
      <c r="I3" s="458" t="s">
        <v>225</v>
      </c>
      <c r="J3" s="458"/>
      <c r="K3" s="458"/>
      <c r="L3" s="458"/>
      <c r="M3" s="458"/>
      <c r="P3" s="458" t="s">
        <v>226</v>
      </c>
      <c r="Q3" s="458"/>
      <c r="R3" s="458"/>
      <c r="S3" s="458"/>
      <c r="T3" s="458"/>
    </row>
    <row r="4" spans="2:24">
      <c r="B4" s="63" t="s">
        <v>227</v>
      </c>
      <c r="C4" s="64" t="s">
        <v>1</v>
      </c>
      <c r="D4" s="65">
        <v>2017</v>
      </c>
      <c r="E4" s="65">
        <v>2016</v>
      </c>
      <c r="F4" s="66" t="s">
        <v>228</v>
      </c>
      <c r="I4" s="63" t="str">
        <f t="shared" ref="I4:J11" si="0">B4</f>
        <v>Proxy Group Company</v>
      </c>
      <c r="J4" s="64" t="str">
        <f t="shared" si="0"/>
        <v>Ticker</v>
      </c>
      <c r="K4" s="65">
        <v>2017</v>
      </c>
      <c r="L4" s="65">
        <v>2016</v>
      </c>
      <c r="M4" s="66" t="s">
        <v>228</v>
      </c>
      <c r="P4" s="63" t="str">
        <f t="shared" ref="P4:Q11" si="1">I4</f>
        <v>Proxy Group Company</v>
      </c>
      <c r="Q4" s="64" t="str">
        <f t="shared" si="1"/>
        <v>Ticker</v>
      </c>
      <c r="R4" s="65">
        <v>2017</v>
      </c>
      <c r="S4" s="65">
        <v>2016</v>
      </c>
      <c r="T4" s="66" t="s">
        <v>228</v>
      </c>
    </row>
    <row r="5" spans="2:24">
      <c r="B5" s="68" t="s">
        <v>58</v>
      </c>
      <c r="C5" s="69" t="s">
        <v>21</v>
      </c>
      <c r="D5" s="70">
        <v>0.59632228905036244</v>
      </c>
      <c r="E5" s="70">
        <v>0.61345514465315354</v>
      </c>
      <c r="F5" s="71">
        <f>IF(D5&lt;&gt;"", D5, E5)</f>
        <v>0.59632228905036244</v>
      </c>
      <c r="G5" s="72"/>
      <c r="H5" s="72"/>
      <c r="I5" s="68" t="str">
        <f t="shared" si="0"/>
        <v>Atmos Energy Corporation</v>
      </c>
      <c r="J5" s="69" t="str">
        <f t="shared" si="0"/>
        <v>ATO</v>
      </c>
      <c r="K5" s="70">
        <v>0.40367771094963761</v>
      </c>
      <c r="L5" s="70">
        <v>0.38654485534684652</v>
      </c>
      <c r="M5" s="71">
        <f>IF(K5&lt;&gt;"", K5, L5)</f>
        <v>0.40367771094963761</v>
      </c>
      <c r="P5" s="68" t="str">
        <f t="shared" si="1"/>
        <v>Atmos Energy Corporation</v>
      </c>
      <c r="Q5" s="69" t="str">
        <f t="shared" si="1"/>
        <v>ATO</v>
      </c>
      <c r="R5" s="70">
        <v>0</v>
      </c>
      <c r="S5" s="70">
        <v>0</v>
      </c>
      <c r="T5" s="71">
        <f>IF(R5&lt;&gt;"", R5, S5)</f>
        <v>0</v>
      </c>
      <c r="W5" s="335"/>
      <c r="X5" s="335"/>
    </row>
    <row r="6" spans="2:24">
      <c r="B6" s="73" t="s">
        <v>59</v>
      </c>
      <c r="C6" s="74" t="s">
        <v>22</v>
      </c>
      <c r="D6" s="75">
        <v>0.62352363898129881</v>
      </c>
      <c r="E6" s="75">
        <v>0.56789369353497798</v>
      </c>
      <c r="F6" s="72">
        <f t="shared" ref="F6:F11" si="2">IF(D6&lt;&gt;"", D6, E6)</f>
        <v>0.62352363898129881</v>
      </c>
      <c r="G6" s="72"/>
      <c r="H6" s="72"/>
      <c r="I6" s="73" t="str">
        <f t="shared" si="0"/>
        <v>New Jersey Resources Corporation</v>
      </c>
      <c r="J6" s="74" t="str">
        <f t="shared" si="0"/>
        <v>NJR</v>
      </c>
      <c r="K6" s="75">
        <v>0.37647636101870113</v>
      </c>
      <c r="L6" s="75">
        <v>0.43210630646502196</v>
      </c>
      <c r="M6" s="72">
        <f t="shared" ref="M6:M11" si="3">IF(K6&lt;&gt;"", K6, L6)</f>
        <v>0.37647636101870113</v>
      </c>
      <c r="P6" s="73" t="str">
        <f t="shared" si="1"/>
        <v>New Jersey Resources Corporation</v>
      </c>
      <c r="Q6" s="74" t="str">
        <f t="shared" si="1"/>
        <v>NJR</v>
      </c>
      <c r="R6" s="75">
        <v>0</v>
      </c>
      <c r="S6" s="75">
        <v>0</v>
      </c>
      <c r="T6" s="72">
        <f t="shared" ref="T6:T11" si="4">IF(R6&lt;&gt;"", R6, S6)</f>
        <v>0</v>
      </c>
      <c r="W6" s="335"/>
      <c r="X6" s="335"/>
    </row>
    <row r="7" spans="2:24">
      <c r="B7" s="73" t="s">
        <v>62</v>
      </c>
      <c r="C7" s="74" t="s">
        <v>23</v>
      </c>
      <c r="D7" s="75">
        <v>0.51950307547292063</v>
      </c>
      <c r="E7" s="75">
        <v>0.55383016048339939</v>
      </c>
      <c r="F7" s="72">
        <f t="shared" si="2"/>
        <v>0.51950307547292063</v>
      </c>
      <c r="G7" s="72"/>
      <c r="H7" s="72"/>
      <c r="I7" s="73" t="str">
        <f t="shared" si="0"/>
        <v>Northwest Natural Gas Company</v>
      </c>
      <c r="J7" s="74" t="str">
        <f t="shared" si="0"/>
        <v>NWN</v>
      </c>
      <c r="K7" s="75">
        <v>0.48049692452707943</v>
      </c>
      <c r="L7" s="75">
        <v>0.44616983951660061</v>
      </c>
      <c r="M7" s="72">
        <f t="shared" si="3"/>
        <v>0.48049692452707943</v>
      </c>
      <c r="P7" s="73" t="str">
        <f t="shared" si="1"/>
        <v>Northwest Natural Gas Company</v>
      </c>
      <c r="Q7" s="74" t="str">
        <f t="shared" si="1"/>
        <v>NWN</v>
      </c>
      <c r="R7" s="75">
        <v>0</v>
      </c>
      <c r="S7" s="75">
        <v>0</v>
      </c>
      <c r="T7" s="72">
        <f t="shared" si="4"/>
        <v>0</v>
      </c>
      <c r="W7" s="335"/>
      <c r="X7" s="335"/>
    </row>
    <row r="8" spans="2:24">
      <c r="B8" s="73" t="s">
        <v>106</v>
      </c>
      <c r="C8" s="74" t="s">
        <v>101</v>
      </c>
      <c r="D8" s="75">
        <v>0.63178713058676783</v>
      </c>
      <c r="E8" s="75">
        <v>0.62080513631317913</v>
      </c>
      <c r="F8" s="72">
        <f t="shared" si="2"/>
        <v>0.63178713058676783</v>
      </c>
      <c r="G8" s="72"/>
      <c r="H8" s="72"/>
      <c r="I8" s="73" t="str">
        <f t="shared" si="0"/>
        <v>ONE Gas, Inc.</v>
      </c>
      <c r="J8" s="74" t="str">
        <f t="shared" si="0"/>
        <v>OGS</v>
      </c>
      <c r="K8" s="75">
        <v>0.36821286941323217</v>
      </c>
      <c r="L8" s="75">
        <v>0.37919486368682087</v>
      </c>
      <c r="M8" s="72">
        <f t="shared" si="3"/>
        <v>0.36821286941323217</v>
      </c>
      <c r="P8" s="73" t="str">
        <f t="shared" si="1"/>
        <v>ONE Gas, Inc.</v>
      </c>
      <c r="Q8" s="74" t="str">
        <f t="shared" si="1"/>
        <v>OGS</v>
      </c>
      <c r="R8" s="75">
        <v>0</v>
      </c>
      <c r="S8" s="75">
        <v>0</v>
      </c>
      <c r="T8" s="72">
        <f t="shared" si="4"/>
        <v>0</v>
      </c>
      <c r="W8" s="335"/>
      <c r="X8" s="335"/>
    </row>
    <row r="9" spans="2:24">
      <c r="B9" s="73" t="s">
        <v>60</v>
      </c>
      <c r="C9" s="74" t="s">
        <v>24</v>
      </c>
      <c r="D9" s="75">
        <v>0.5462616700537587</v>
      </c>
      <c r="E9" s="75">
        <v>0.66496341869893916</v>
      </c>
      <c r="F9" s="72">
        <f>IF(D9&lt;&gt;"", D9, E9)</f>
        <v>0.5462616700537587</v>
      </c>
      <c r="G9" s="72"/>
      <c r="H9" s="72"/>
      <c r="I9" s="73" t="str">
        <f t="shared" si="0"/>
        <v>South Jersey Industries, Inc.</v>
      </c>
      <c r="J9" s="74" t="str">
        <f t="shared" si="0"/>
        <v>SJI</v>
      </c>
      <c r="K9" s="75">
        <v>0.4537383299462413</v>
      </c>
      <c r="L9" s="75">
        <v>0.33503658130106084</v>
      </c>
      <c r="M9" s="72">
        <f t="shared" si="3"/>
        <v>0.4537383299462413</v>
      </c>
      <c r="P9" s="73" t="str">
        <f t="shared" si="1"/>
        <v>South Jersey Industries, Inc.</v>
      </c>
      <c r="Q9" s="74" t="str">
        <f t="shared" si="1"/>
        <v>SJI</v>
      </c>
      <c r="R9" s="75">
        <v>0</v>
      </c>
      <c r="S9" s="75">
        <v>0</v>
      </c>
      <c r="T9" s="72">
        <f t="shared" si="4"/>
        <v>0</v>
      </c>
      <c r="W9" s="335"/>
      <c r="X9" s="335"/>
    </row>
    <row r="10" spans="2:24">
      <c r="B10" s="73" t="s">
        <v>61</v>
      </c>
      <c r="C10" s="74" t="s">
        <v>25</v>
      </c>
      <c r="D10" s="75">
        <v>0.51320728614543476</v>
      </c>
      <c r="E10" s="75">
        <v>0.54691906327141471</v>
      </c>
      <c r="F10" s="72">
        <f t="shared" si="2"/>
        <v>0.51320728614543476</v>
      </c>
      <c r="G10" s="72"/>
      <c r="H10" s="72"/>
      <c r="I10" s="73" t="str">
        <f t="shared" si="0"/>
        <v>Southwest Gas Corporation</v>
      </c>
      <c r="J10" s="74" t="str">
        <f t="shared" si="0"/>
        <v>SWX</v>
      </c>
      <c r="K10" s="75">
        <v>0.48679271385456524</v>
      </c>
      <c r="L10" s="75">
        <v>0.45308093672858535</v>
      </c>
      <c r="M10" s="72">
        <f t="shared" si="3"/>
        <v>0.48679271385456524</v>
      </c>
      <c r="P10" s="73" t="str">
        <f t="shared" si="1"/>
        <v>Southwest Gas Corporation</v>
      </c>
      <c r="Q10" s="74" t="str">
        <f t="shared" si="1"/>
        <v>SWX</v>
      </c>
      <c r="R10" s="75">
        <v>0</v>
      </c>
      <c r="S10" s="75">
        <v>0</v>
      </c>
      <c r="T10" s="72">
        <f t="shared" si="4"/>
        <v>0</v>
      </c>
      <c r="W10" s="335"/>
      <c r="X10" s="335"/>
    </row>
    <row r="11" spans="2:24">
      <c r="B11" s="76" t="s">
        <v>102</v>
      </c>
      <c r="C11" s="77" t="s">
        <v>103</v>
      </c>
      <c r="D11" s="78">
        <v>0.56450167281999131</v>
      </c>
      <c r="E11" s="78">
        <v>0.64205092004091047</v>
      </c>
      <c r="F11" s="79">
        <f t="shared" si="2"/>
        <v>0.56450167281999131</v>
      </c>
      <c r="G11" s="72"/>
      <c r="H11" s="72"/>
      <c r="I11" s="76" t="str">
        <f t="shared" si="0"/>
        <v>Spire, Inc.</v>
      </c>
      <c r="J11" s="77" t="str">
        <f t="shared" si="0"/>
        <v>SR</v>
      </c>
      <c r="K11" s="78">
        <v>0.43549832718000869</v>
      </c>
      <c r="L11" s="78">
        <v>0.35794907995908959</v>
      </c>
      <c r="M11" s="79">
        <f t="shared" si="3"/>
        <v>0.43549832718000869</v>
      </c>
      <c r="P11" s="76" t="str">
        <f t="shared" si="1"/>
        <v>Spire, Inc.</v>
      </c>
      <c r="Q11" s="77" t="str">
        <f t="shared" si="1"/>
        <v>SR</v>
      </c>
      <c r="R11" s="78">
        <v>0</v>
      </c>
      <c r="S11" s="78">
        <v>0</v>
      </c>
      <c r="T11" s="79">
        <f t="shared" si="4"/>
        <v>0</v>
      </c>
      <c r="W11" s="335"/>
      <c r="X11" s="335"/>
    </row>
    <row r="12" spans="2:24">
      <c r="B12" s="80" t="s">
        <v>2</v>
      </c>
      <c r="C12" s="81"/>
      <c r="D12" s="72">
        <f t="shared" ref="D12:F12" si="5">AVERAGE(D5:D11)</f>
        <v>0.57072953758721912</v>
      </c>
      <c r="E12" s="72">
        <f t="shared" si="5"/>
        <v>0.60141679099942491</v>
      </c>
      <c r="F12" s="72">
        <f t="shared" si="5"/>
        <v>0.57072953758721912</v>
      </c>
      <c r="G12" s="72"/>
      <c r="H12" s="72"/>
      <c r="I12" s="80" t="s">
        <v>2</v>
      </c>
      <c r="K12" s="72">
        <f t="shared" ref="K12" si="6">AVERAGE(K5:K11)</f>
        <v>0.42927046241278083</v>
      </c>
      <c r="L12" s="72">
        <f t="shared" ref="L12:M12" si="7">AVERAGE(L5:L11)</f>
        <v>0.39858320900057509</v>
      </c>
      <c r="M12" s="72">
        <f t="shared" si="7"/>
        <v>0.42927046241278083</v>
      </c>
      <c r="P12" s="80" t="s">
        <v>2</v>
      </c>
      <c r="Q12" s="81"/>
      <c r="R12" s="72">
        <f t="shared" ref="R12:T12" si="8">AVERAGE(R5:R11)</f>
        <v>0</v>
      </c>
      <c r="S12" s="72">
        <f t="shared" si="8"/>
        <v>0</v>
      </c>
      <c r="T12" s="72">
        <f t="shared" si="8"/>
        <v>0</v>
      </c>
    </row>
    <row r="13" spans="2:24">
      <c r="B13" s="80" t="s">
        <v>229</v>
      </c>
      <c r="C13" s="81"/>
      <c r="D13" s="72">
        <f t="shared" ref="D13:F13" si="9">MIN(D5:D11)</f>
        <v>0.51320728614543476</v>
      </c>
      <c r="E13" s="72">
        <f t="shared" si="9"/>
        <v>0.54691906327141471</v>
      </c>
      <c r="F13" s="72">
        <f t="shared" si="9"/>
        <v>0.51320728614543476</v>
      </c>
      <c r="G13" s="72"/>
      <c r="H13" s="72"/>
      <c r="I13" s="80" t="s">
        <v>229</v>
      </c>
      <c r="K13" s="72">
        <f t="shared" ref="K13" si="10">MIN(K5:K11)</f>
        <v>0.36821286941323217</v>
      </c>
      <c r="L13" s="72">
        <f t="shared" ref="L13:M13" si="11">MIN(L5:L11)</f>
        <v>0.33503658130106084</v>
      </c>
      <c r="M13" s="72">
        <f t="shared" si="11"/>
        <v>0.36821286941323217</v>
      </c>
      <c r="P13" s="80" t="s">
        <v>229</v>
      </c>
      <c r="Q13" s="81"/>
      <c r="R13" s="72">
        <f t="shared" ref="R13:T13" si="12">MIN(R5:R11)</f>
        <v>0</v>
      </c>
      <c r="S13" s="72">
        <f t="shared" si="12"/>
        <v>0</v>
      </c>
      <c r="T13" s="72">
        <f t="shared" si="12"/>
        <v>0</v>
      </c>
    </row>
    <row r="14" spans="2:24">
      <c r="B14" s="80" t="s">
        <v>230</v>
      </c>
      <c r="C14" s="81"/>
      <c r="D14" s="72">
        <f t="shared" ref="D14:F14" si="13">MAX(D5:D11)</f>
        <v>0.63178713058676783</v>
      </c>
      <c r="E14" s="72">
        <f t="shared" si="13"/>
        <v>0.66496341869893916</v>
      </c>
      <c r="F14" s="72">
        <f t="shared" si="13"/>
        <v>0.63178713058676783</v>
      </c>
      <c r="G14" s="72"/>
      <c r="H14" s="72"/>
      <c r="I14" s="80" t="s">
        <v>230</v>
      </c>
      <c r="K14" s="72">
        <f t="shared" ref="K14" si="14">MAX(K5:K11)</f>
        <v>0.48679271385456524</v>
      </c>
      <c r="L14" s="72">
        <f t="shared" ref="L14:M14" si="15">MAX(L5:L11)</f>
        <v>0.45308093672858535</v>
      </c>
      <c r="M14" s="72">
        <f t="shared" si="15"/>
        <v>0.48679271385456524</v>
      </c>
      <c r="P14" s="80" t="s">
        <v>230</v>
      </c>
      <c r="Q14" s="81"/>
      <c r="R14" s="72">
        <f t="shared" ref="R14:T14" si="16">MAX(R5:R11)</f>
        <v>0</v>
      </c>
      <c r="S14" s="72">
        <f t="shared" si="16"/>
        <v>0</v>
      </c>
      <c r="T14" s="72">
        <f t="shared" si="16"/>
        <v>0</v>
      </c>
    </row>
    <row r="15" spans="2:24">
      <c r="B15" s="80"/>
      <c r="C15" s="81"/>
      <c r="P15" s="80"/>
      <c r="Q15" s="81"/>
    </row>
    <row r="16" spans="2:24">
      <c r="B16" s="458" t="s">
        <v>231</v>
      </c>
      <c r="C16" s="458"/>
      <c r="D16" s="458"/>
      <c r="E16" s="458"/>
      <c r="F16" s="458"/>
      <c r="I16" s="458" t="s">
        <v>232</v>
      </c>
      <c r="J16" s="458"/>
      <c r="K16" s="458"/>
      <c r="L16" s="458"/>
      <c r="M16" s="458"/>
      <c r="P16" s="458" t="s">
        <v>233</v>
      </c>
      <c r="Q16" s="458"/>
      <c r="R16" s="458"/>
      <c r="S16" s="458"/>
      <c r="T16" s="458"/>
    </row>
    <row r="17" spans="2:24">
      <c r="B17" s="63" t="s">
        <v>234</v>
      </c>
      <c r="C17" s="64" t="s">
        <v>1</v>
      </c>
      <c r="D17" s="67">
        <v>2017</v>
      </c>
      <c r="E17" s="67">
        <v>2016</v>
      </c>
      <c r="F17" s="82" t="s">
        <v>228</v>
      </c>
      <c r="I17" s="63" t="s">
        <v>234</v>
      </c>
      <c r="J17" s="64" t="s">
        <v>1</v>
      </c>
      <c r="K17" s="67">
        <v>2017</v>
      </c>
      <c r="L17" s="67">
        <v>2016</v>
      </c>
      <c r="M17" s="82" t="s">
        <v>228</v>
      </c>
      <c r="P17" s="63" t="s">
        <v>234</v>
      </c>
      <c r="Q17" s="64" t="s">
        <v>1</v>
      </c>
      <c r="R17" s="67">
        <v>2017</v>
      </c>
      <c r="S17" s="67">
        <v>2016</v>
      </c>
      <c r="T17" s="82" t="s">
        <v>228</v>
      </c>
    </row>
    <row r="18" spans="2:24">
      <c r="B18" s="83" t="s">
        <v>58</v>
      </c>
      <c r="C18" s="81" t="s">
        <v>21</v>
      </c>
      <c r="D18" s="75">
        <v>0.59632228905036244</v>
      </c>
      <c r="E18" s="75">
        <v>0.61345514465315354</v>
      </c>
      <c r="F18" s="71">
        <f>IF(D18&lt;&gt;"", D18, E18)</f>
        <v>0.59632228905036244</v>
      </c>
      <c r="G18" s="72"/>
      <c r="H18" s="72"/>
      <c r="I18" s="84" t="str">
        <f t="shared" ref="I18:J29" si="17">B18</f>
        <v>Atmos Energy Corporation</v>
      </c>
      <c r="J18" s="81" t="str">
        <f t="shared" si="17"/>
        <v>ATO</v>
      </c>
      <c r="K18" s="85">
        <v>0.40367771094963761</v>
      </c>
      <c r="L18" s="85">
        <v>0.38654485534684652</v>
      </c>
      <c r="M18" s="71">
        <f>IF(K18&lt;&gt;"", K18, L18)</f>
        <v>0.40367771094963761</v>
      </c>
      <c r="P18" s="84" t="str">
        <f t="shared" ref="P18:Q29" si="18">I18</f>
        <v>Atmos Energy Corporation</v>
      </c>
      <c r="Q18" s="81" t="str">
        <f t="shared" si="18"/>
        <v>ATO</v>
      </c>
      <c r="R18" s="75">
        <v>0</v>
      </c>
      <c r="S18" s="75">
        <v>0</v>
      </c>
      <c r="T18" s="71">
        <f>IF(R18&lt;&gt;"", R18, S18)</f>
        <v>0</v>
      </c>
      <c r="W18" s="335"/>
      <c r="X18" s="335"/>
    </row>
    <row r="19" spans="2:24">
      <c r="B19" s="84" t="s">
        <v>235</v>
      </c>
      <c r="C19" s="81" t="s">
        <v>22</v>
      </c>
      <c r="D19" s="75">
        <v>0.62352363898129881</v>
      </c>
      <c r="E19" s="75">
        <v>0.56789369353497798</v>
      </c>
      <c r="F19" s="72">
        <f t="shared" ref="F19:F29" si="19">IF(D19&lt;&gt;"", D19, E19)</f>
        <v>0.62352363898129881</v>
      </c>
      <c r="G19" s="72"/>
      <c r="H19" s="72"/>
      <c r="I19" s="84" t="str">
        <f t="shared" si="17"/>
        <v>New Jersey Natural Gas Company</v>
      </c>
      <c r="J19" s="81" t="str">
        <f t="shared" si="17"/>
        <v>NJR</v>
      </c>
      <c r="K19" s="85">
        <v>0.37647636101870113</v>
      </c>
      <c r="L19" s="85">
        <v>0.43210630646502196</v>
      </c>
      <c r="M19" s="72">
        <f t="shared" ref="M19:M28" si="20">IF(K19&lt;&gt;"", K19, L19)</f>
        <v>0.37647636101870113</v>
      </c>
      <c r="P19" s="84" t="str">
        <f t="shared" si="18"/>
        <v>New Jersey Natural Gas Company</v>
      </c>
      <c r="Q19" s="81" t="str">
        <f t="shared" si="18"/>
        <v>NJR</v>
      </c>
      <c r="R19" s="75">
        <v>0</v>
      </c>
      <c r="S19" s="75">
        <v>0</v>
      </c>
      <c r="T19" s="72">
        <f t="shared" ref="T19:T29" si="21">IF(R19&lt;&gt;"", R19, S19)</f>
        <v>0</v>
      </c>
      <c r="W19" s="335"/>
      <c r="X19" s="335"/>
    </row>
    <row r="20" spans="2:24">
      <c r="B20" s="86" t="s">
        <v>62</v>
      </c>
      <c r="C20" s="81" t="s">
        <v>23</v>
      </c>
      <c r="D20" s="75">
        <v>0.51950307547292063</v>
      </c>
      <c r="E20" s="75">
        <v>0.55383016048339939</v>
      </c>
      <c r="F20" s="72">
        <f t="shared" si="19"/>
        <v>0.51950307547292063</v>
      </c>
      <c r="G20" s="72"/>
      <c r="H20" s="72"/>
      <c r="I20" s="84" t="str">
        <f t="shared" si="17"/>
        <v>Northwest Natural Gas Company</v>
      </c>
      <c r="J20" s="81" t="str">
        <f t="shared" si="17"/>
        <v>NWN</v>
      </c>
      <c r="K20" s="85">
        <v>0.48049692452707943</v>
      </c>
      <c r="L20" s="85">
        <v>0.44616983951660061</v>
      </c>
      <c r="M20" s="72">
        <f t="shared" si="20"/>
        <v>0.48049692452707943</v>
      </c>
      <c r="P20" s="84" t="str">
        <f t="shared" si="18"/>
        <v>Northwest Natural Gas Company</v>
      </c>
      <c r="Q20" s="81" t="str">
        <f t="shared" si="18"/>
        <v>NWN</v>
      </c>
      <c r="R20" s="75">
        <v>0</v>
      </c>
      <c r="S20" s="75">
        <v>0</v>
      </c>
      <c r="T20" s="72">
        <f t="shared" si="21"/>
        <v>0</v>
      </c>
      <c r="W20" s="335"/>
      <c r="X20" s="335"/>
    </row>
    <row r="21" spans="2:24">
      <c r="B21" s="86" t="s">
        <v>236</v>
      </c>
      <c r="C21" s="81" t="s">
        <v>101</v>
      </c>
      <c r="D21" s="75">
        <v>0.63353080240329884</v>
      </c>
      <c r="E21" s="75">
        <v>0.62009846026985771</v>
      </c>
      <c r="F21" s="72">
        <f t="shared" si="19"/>
        <v>0.63353080240329884</v>
      </c>
      <c r="G21" s="72"/>
      <c r="H21" s="72"/>
      <c r="I21" s="84" t="str">
        <f t="shared" si="17"/>
        <v>Kansas Gas Service Company</v>
      </c>
      <c r="J21" s="81" t="str">
        <f t="shared" si="17"/>
        <v>OGS</v>
      </c>
      <c r="K21" s="85">
        <v>0.36646919759670116</v>
      </c>
      <c r="L21" s="85">
        <v>0.37990153973014229</v>
      </c>
      <c r="M21" s="72">
        <f t="shared" si="20"/>
        <v>0.36646919759670116</v>
      </c>
      <c r="P21" s="84" t="str">
        <f t="shared" si="18"/>
        <v>Kansas Gas Service Company</v>
      </c>
      <c r="Q21" s="81" t="str">
        <f t="shared" si="18"/>
        <v>OGS</v>
      </c>
      <c r="R21" s="75">
        <v>0</v>
      </c>
      <c r="S21" s="75">
        <v>0</v>
      </c>
      <c r="T21" s="72">
        <f t="shared" si="21"/>
        <v>0</v>
      </c>
      <c r="W21" s="335"/>
      <c r="X21" s="335"/>
    </row>
    <row r="22" spans="2:24">
      <c r="B22" s="86" t="s">
        <v>237</v>
      </c>
      <c r="C22" s="81" t="s">
        <v>101</v>
      </c>
      <c r="D22" s="75" t="s">
        <v>113</v>
      </c>
      <c r="E22" s="75">
        <v>0.62132669674425622</v>
      </c>
      <c r="F22" s="72">
        <f t="shared" si="19"/>
        <v>0.62132669674425622</v>
      </c>
      <c r="G22" s="72"/>
      <c r="H22" s="72"/>
      <c r="I22" s="84" t="str">
        <f t="shared" si="17"/>
        <v>Oklahoma Natural Gas Company</v>
      </c>
      <c r="J22" s="81" t="str">
        <f t="shared" si="17"/>
        <v>OGS</v>
      </c>
      <c r="K22" s="85" t="s">
        <v>113</v>
      </c>
      <c r="L22" s="85">
        <v>0.37867330325574378</v>
      </c>
      <c r="M22" s="72">
        <f t="shared" si="20"/>
        <v>0.37867330325574378</v>
      </c>
      <c r="P22" s="84" t="str">
        <f t="shared" si="18"/>
        <v>Oklahoma Natural Gas Company</v>
      </c>
      <c r="Q22" s="81" t="str">
        <f t="shared" si="18"/>
        <v>OGS</v>
      </c>
      <c r="R22" s="75" t="s">
        <v>113</v>
      </c>
      <c r="S22" s="75">
        <v>0</v>
      </c>
      <c r="T22" s="72">
        <f t="shared" si="21"/>
        <v>0</v>
      </c>
      <c r="W22" s="335"/>
      <c r="X22" s="335"/>
    </row>
    <row r="23" spans="2:24">
      <c r="B23" s="87" t="s">
        <v>238</v>
      </c>
      <c r="C23" s="61" t="s">
        <v>101</v>
      </c>
      <c r="D23" s="75">
        <v>0.63007824996931572</v>
      </c>
      <c r="E23" s="75">
        <v>0.62093764991379019</v>
      </c>
      <c r="F23" s="72">
        <f t="shared" si="19"/>
        <v>0.63007824996931572</v>
      </c>
      <c r="G23" s="72"/>
      <c r="H23" s="72"/>
      <c r="I23" s="84" t="str">
        <f t="shared" si="17"/>
        <v>Texas Gas Service Company</v>
      </c>
      <c r="J23" s="81" t="str">
        <f t="shared" si="17"/>
        <v>OGS</v>
      </c>
      <c r="K23" s="85">
        <v>0.36992175003068428</v>
      </c>
      <c r="L23" s="85">
        <v>0.37906235008620986</v>
      </c>
      <c r="M23" s="72">
        <f t="shared" si="20"/>
        <v>0.36992175003068428</v>
      </c>
      <c r="P23" s="84" t="str">
        <f t="shared" si="18"/>
        <v>Texas Gas Service Company</v>
      </c>
      <c r="Q23" s="81" t="str">
        <f t="shared" si="18"/>
        <v>OGS</v>
      </c>
      <c r="R23" s="75">
        <v>0</v>
      </c>
      <c r="S23" s="75">
        <v>0</v>
      </c>
      <c r="T23" s="72">
        <f t="shared" si="21"/>
        <v>0</v>
      </c>
      <c r="W23" s="335"/>
      <c r="X23" s="335"/>
    </row>
    <row r="24" spans="2:24">
      <c r="B24" s="62" t="s">
        <v>239</v>
      </c>
      <c r="C24" s="61" t="s">
        <v>24</v>
      </c>
      <c r="D24" s="75">
        <v>0.5462616700537587</v>
      </c>
      <c r="E24" s="75">
        <v>0.66496341869893916</v>
      </c>
      <c r="F24" s="72">
        <f t="shared" si="19"/>
        <v>0.5462616700537587</v>
      </c>
      <c r="G24" s="72"/>
      <c r="H24" s="72"/>
      <c r="I24" s="84" t="str">
        <f t="shared" si="17"/>
        <v>South Jersey Gas Company</v>
      </c>
      <c r="J24" s="81" t="str">
        <f t="shared" si="17"/>
        <v>SJI</v>
      </c>
      <c r="K24" s="85">
        <v>0.4537383299462413</v>
      </c>
      <c r="L24" s="85">
        <v>0.33503658130106084</v>
      </c>
      <c r="M24" s="72">
        <f t="shared" si="20"/>
        <v>0.4537383299462413</v>
      </c>
      <c r="P24" s="84" t="str">
        <f t="shared" si="18"/>
        <v>South Jersey Gas Company</v>
      </c>
      <c r="Q24" s="81" t="str">
        <f t="shared" si="18"/>
        <v>SJI</v>
      </c>
      <c r="R24" s="75">
        <v>0</v>
      </c>
      <c r="S24" s="75">
        <v>0</v>
      </c>
      <c r="T24" s="72">
        <f t="shared" si="21"/>
        <v>0</v>
      </c>
      <c r="W24" s="335"/>
      <c r="X24" s="335"/>
    </row>
    <row r="25" spans="2:24">
      <c r="B25" s="62" t="s">
        <v>61</v>
      </c>
      <c r="C25" s="61" t="s">
        <v>25</v>
      </c>
      <c r="D25" s="75">
        <v>0.51320728614543476</v>
      </c>
      <c r="E25" s="75">
        <v>0.54691906327141471</v>
      </c>
      <c r="F25" s="72">
        <f t="shared" si="19"/>
        <v>0.51320728614543476</v>
      </c>
      <c r="G25" s="72"/>
      <c r="H25" s="72"/>
      <c r="I25" s="84" t="str">
        <f t="shared" si="17"/>
        <v>Southwest Gas Corporation</v>
      </c>
      <c r="J25" s="81" t="str">
        <f t="shared" si="17"/>
        <v>SWX</v>
      </c>
      <c r="K25" s="85">
        <v>0.48679271385456524</v>
      </c>
      <c r="L25" s="85">
        <v>0.45308093672858535</v>
      </c>
      <c r="M25" s="72">
        <f t="shared" si="20"/>
        <v>0.48679271385456524</v>
      </c>
      <c r="P25" s="84" t="str">
        <f t="shared" si="18"/>
        <v>Southwest Gas Corporation</v>
      </c>
      <c r="Q25" s="81" t="str">
        <f t="shared" si="18"/>
        <v>SWX</v>
      </c>
      <c r="R25" s="75">
        <v>0</v>
      </c>
      <c r="S25" s="75">
        <v>0</v>
      </c>
      <c r="T25" s="72">
        <f t="shared" si="21"/>
        <v>0</v>
      </c>
      <c r="W25" s="335"/>
      <c r="X25" s="335"/>
    </row>
    <row r="26" spans="2:24">
      <c r="B26" s="62" t="s">
        <v>240</v>
      </c>
      <c r="C26" s="61" t="s">
        <v>103</v>
      </c>
      <c r="D26" s="75" t="s">
        <v>113</v>
      </c>
      <c r="E26" s="75">
        <v>0.77624991273746602</v>
      </c>
      <c r="F26" s="72">
        <f t="shared" si="19"/>
        <v>0.77624991273746602</v>
      </c>
      <c r="G26" s="72"/>
      <c r="H26" s="72"/>
      <c r="I26" s="84" t="str">
        <f t="shared" si="17"/>
        <v>Spire Alabama Inc.</v>
      </c>
      <c r="J26" s="81" t="str">
        <f t="shared" si="17"/>
        <v>SR</v>
      </c>
      <c r="K26" s="85" t="s">
        <v>113</v>
      </c>
      <c r="L26" s="85">
        <v>0.22375008726253404</v>
      </c>
      <c r="M26" s="72">
        <f t="shared" si="20"/>
        <v>0.22375008726253404</v>
      </c>
      <c r="P26" s="84" t="str">
        <f t="shared" si="18"/>
        <v>Spire Alabama Inc.</v>
      </c>
      <c r="Q26" s="81" t="str">
        <f t="shared" si="18"/>
        <v>SR</v>
      </c>
      <c r="R26" s="75" t="s">
        <v>113</v>
      </c>
      <c r="S26" s="75">
        <v>0</v>
      </c>
      <c r="T26" s="72">
        <f t="shared" si="21"/>
        <v>0</v>
      </c>
      <c r="W26" s="335"/>
      <c r="X26" s="335"/>
    </row>
    <row r="27" spans="2:24">
      <c r="B27" s="62" t="s">
        <v>241</v>
      </c>
      <c r="C27" s="61" t="s">
        <v>103</v>
      </c>
      <c r="D27" s="75">
        <v>0.41524328708725133</v>
      </c>
      <c r="E27" s="75">
        <v>0.56304487247253177</v>
      </c>
      <c r="F27" s="72">
        <f t="shared" si="19"/>
        <v>0.41524328708725133</v>
      </c>
      <c r="G27" s="72"/>
      <c r="H27" s="72"/>
      <c r="I27" s="84" t="str">
        <f t="shared" si="17"/>
        <v>Spire Gulf Inc.</v>
      </c>
      <c r="J27" s="81" t="str">
        <f t="shared" si="17"/>
        <v>SR</v>
      </c>
      <c r="K27" s="85">
        <v>0.58475671291274867</v>
      </c>
      <c r="L27" s="85">
        <v>0.43695512752746829</v>
      </c>
      <c r="M27" s="72">
        <f t="shared" si="20"/>
        <v>0.58475671291274867</v>
      </c>
      <c r="P27" s="84" t="str">
        <f t="shared" si="18"/>
        <v>Spire Gulf Inc.</v>
      </c>
      <c r="Q27" s="81" t="str">
        <f t="shared" si="18"/>
        <v>SR</v>
      </c>
      <c r="R27" s="75">
        <v>0</v>
      </c>
      <c r="S27" s="75">
        <v>0</v>
      </c>
      <c r="T27" s="72">
        <f t="shared" si="21"/>
        <v>0</v>
      </c>
      <c r="W27" s="335"/>
      <c r="X27" s="335"/>
    </row>
    <row r="28" spans="2:24">
      <c r="B28" s="62" t="s">
        <v>242</v>
      </c>
      <c r="C28" s="61" t="s">
        <v>103</v>
      </c>
      <c r="D28" s="75">
        <v>0.68018421389279771</v>
      </c>
      <c r="E28" s="75">
        <v>0.53263785394932939</v>
      </c>
      <c r="F28" s="72">
        <f t="shared" si="19"/>
        <v>0.68018421389279771</v>
      </c>
      <c r="G28" s="72"/>
      <c r="H28" s="72"/>
      <c r="I28" s="84" t="str">
        <f t="shared" si="17"/>
        <v>Spire Mississippi Inc.</v>
      </c>
      <c r="J28" s="81" t="str">
        <f t="shared" si="17"/>
        <v>SR</v>
      </c>
      <c r="K28" s="85">
        <v>0.31981578610720224</v>
      </c>
      <c r="L28" s="85">
        <v>0.46736214605067067</v>
      </c>
      <c r="M28" s="72">
        <f t="shared" si="20"/>
        <v>0.31981578610720224</v>
      </c>
      <c r="P28" s="84" t="str">
        <f t="shared" si="18"/>
        <v>Spire Mississippi Inc.</v>
      </c>
      <c r="Q28" s="81" t="str">
        <f t="shared" si="18"/>
        <v>SR</v>
      </c>
      <c r="R28" s="75">
        <v>0</v>
      </c>
      <c r="S28" s="75">
        <v>0</v>
      </c>
      <c r="T28" s="72">
        <f t="shared" si="21"/>
        <v>0</v>
      </c>
      <c r="W28" s="335"/>
      <c r="X28" s="335"/>
    </row>
    <row r="29" spans="2:24">
      <c r="B29" s="62" t="s">
        <v>243</v>
      </c>
      <c r="C29" s="61" t="s">
        <v>103</v>
      </c>
      <c r="D29" s="75">
        <v>0.57134074611507168</v>
      </c>
      <c r="E29" s="75">
        <v>0.56930560920703843</v>
      </c>
      <c r="F29" s="72">
        <f t="shared" si="19"/>
        <v>0.57134074611507168</v>
      </c>
      <c r="G29" s="72"/>
      <c r="H29" s="72"/>
      <c r="I29" s="84" t="str">
        <f t="shared" si="17"/>
        <v>Spire Missouri Inc.</v>
      </c>
      <c r="J29" s="81" t="str">
        <f t="shared" si="17"/>
        <v>SR</v>
      </c>
      <c r="K29" s="85">
        <v>0.42865925388492837</v>
      </c>
      <c r="L29" s="85">
        <v>0.43069439079296151</v>
      </c>
      <c r="M29" s="72">
        <f>IF(K29&lt;&gt;"", K29, L29)</f>
        <v>0.42865925388492837</v>
      </c>
      <c r="P29" s="84" t="str">
        <f t="shared" si="18"/>
        <v>Spire Missouri Inc.</v>
      </c>
      <c r="Q29" s="81" t="str">
        <f t="shared" si="18"/>
        <v>SR</v>
      </c>
      <c r="R29" s="75">
        <v>0</v>
      </c>
      <c r="S29" s="75">
        <v>0</v>
      </c>
      <c r="T29" s="72">
        <f t="shared" si="21"/>
        <v>0</v>
      </c>
      <c r="W29" s="335"/>
      <c r="X29" s="335"/>
    </row>
    <row r="31" spans="2:24">
      <c r="B31" s="88" t="s">
        <v>27</v>
      </c>
      <c r="I31" s="88" t="s">
        <v>27</v>
      </c>
      <c r="P31" s="88" t="s">
        <v>27</v>
      </c>
    </row>
    <row r="32" spans="2:24">
      <c r="B32" s="62" t="s">
        <v>244</v>
      </c>
      <c r="I32" s="62" t="s">
        <v>244</v>
      </c>
      <c r="P32" s="62" t="s">
        <v>244</v>
      </c>
    </row>
    <row r="33" spans="2:20" ht="12.6" customHeight="1">
      <c r="B33" s="459" t="s">
        <v>1351</v>
      </c>
      <c r="C33" s="459"/>
      <c r="D33" s="459"/>
      <c r="E33" s="459"/>
      <c r="F33" s="459"/>
      <c r="I33" s="459" t="s">
        <v>1351</v>
      </c>
      <c r="J33" s="459"/>
      <c r="K33" s="459"/>
      <c r="L33" s="459"/>
      <c r="M33" s="459"/>
      <c r="P33" s="459" t="s">
        <v>1351</v>
      </c>
      <c r="Q33" s="459"/>
      <c r="R33" s="459"/>
      <c r="S33" s="459"/>
      <c r="T33" s="459"/>
    </row>
    <row r="34" spans="2:20">
      <c r="B34" s="459"/>
      <c r="C34" s="459"/>
      <c r="D34" s="459"/>
      <c r="E34" s="459"/>
      <c r="F34" s="459"/>
      <c r="I34" s="459"/>
      <c r="J34" s="459"/>
      <c r="K34" s="459"/>
      <c r="L34" s="459"/>
      <c r="M34" s="459"/>
      <c r="P34" s="459"/>
      <c r="Q34" s="459"/>
      <c r="R34" s="459"/>
      <c r="S34" s="459"/>
      <c r="T34" s="459"/>
    </row>
    <row r="37" spans="2:20">
      <c r="F37" s="72"/>
    </row>
    <row r="38" spans="2:20">
      <c r="B38" s="73"/>
      <c r="C38" s="74"/>
      <c r="F38" s="72"/>
      <c r="I38" s="61"/>
    </row>
    <row r="39" spans="2:20">
      <c r="B39" s="73"/>
      <c r="C39" s="74"/>
      <c r="I39" s="61"/>
    </row>
    <row r="40" spans="2:20">
      <c r="B40" s="73"/>
      <c r="C40" s="74"/>
      <c r="I40" s="61"/>
    </row>
    <row r="41" spans="2:20">
      <c r="B41" s="73"/>
      <c r="C41" s="74"/>
      <c r="I41" s="61"/>
    </row>
    <row r="42" spans="2:20">
      <c r="B42" s="73"/>
      <c r="C42" s="74"/>
      <c r="I42" s="61"/>
    </row>
    <row r="43" spans="2:20">
      <c r="B43" s="73"/>
      <c r="C43" s="74"/>
      <c r="I43" s="61"/>
    </row>
    <row r="44" spans="2:20">
      <c r="B44" s="73"/>
      <c r="C44" s="74"/>
      <c r="I44" s="61"/>
    </row>
    <row r="45" spans="2:20">
      <c r="B45" s="73"/>
      <c r="C45" s="74"/>
      <c r="I45" s="61"/>
    </row>
    <row r="46" spans="2:20">
      <c r="B46" s="73"/>
      <c r="C46" s="74"/>
    </row>
    <row r="47" spans="2:20">
      <c r="B47" s="73"/>
      <c r="C47" s="74"/>
    </row>
    <row r="48" spans="2:20">
      <c r="B48" s="73"/>
      <c r="C48" s="74"/>
    </row>
    <row r="49" spans="2:3">
      <c r="B49" s="73"/>
      <c r="C49" s="74"/>
    </row>
    <row r="50" spans="2:3">
      <c r="B50" s="73"/>
      <c r="C50" s="74"/>
    </row>
    <row r="51" spans="2:3">
      <c r="B51" s="73"/>
      <c r="C51" s="74"/>
    </row>
    <row r="52" spans="2:3">
      <c r="B52" s="73"/>
      <c r="C52" s="74"/>
    </row>
    <row r="53" spans="2:3">
      <c r="B53" s="73"/>
      <c r="C53" s="74"/>
    </row>
    <row r="54" spans="2:3">
      <c r="B54" s="73"/>
      <c r="C54" s="74"/>
    </row>
    <row r="55" spans="2:3">
      <c r="B55" s="73"/>
      <c r="C55" s="74"/>
    </row>
    <row r="56" spans="2:3">
      <c r="B56" s="73"/>
      <c r="C56" s="74"/>
    </row>
    <row r="57" spans="2:3">
      <c r="B57" s="73"/>
      <c r="C57" s="74"/>
    </row>
    <row r="58" spans="2:3">
      <c r="B58" s="73"/>
      <c r="C58" s="74"/>
    </row>
  </sheetData>
  <mergeCells count="12">
    <mergeCell ref="B16:F16"/>
    <mergeCell ref="I16:M16"/>
    <mergeCell ref="P16:T16"/>
    <mergeCell ref="B33:F34"/>
    <mergeCell ref="I33:M34"/>
    <mergeCell ref="P33:T34"/>
    <mergeCell ref="B1:F1"/>
    <mergeCell ref="I1:M1"/>
    <mergeCell ref="P1:T1"/>
    <mergeCell ref="B3:F3"/>
    <mergeCell ref="I3:M3"/>
    <mergeCell ref="P3:T3"/>
  </mergeCells>
  <printOptions horizontalCentered="1"/>
  <pageMargins left="0.7" right="0.7" top="0.75" bottom="0.75" header="0.3" footer="0.3"/>
  <pageSetup scale="80" orientation="portrait" useFirstPageNumber="1" r:id="rId1"/>
  <headerFooter>
    <oddHeader>&amp;RDocket No. UG-19____
Cascade Natural Gas Corp.
Exhibit No.___(AEB-2)
Schedule 12
Page &amp;P of 3</oddHeader>
  </headerFooter>
  <colBreaks count="3" manualBreakCount="3">
    <brk id="7" max="1048575" man="1"/>
    <brk id="14" max="33" man="1"/>
    <brk id="2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workbookViewId="0">
      <selection sqref="A1:XFD1048576"/>
    </sheetView>
  </sheetViews>
  <sheetFormatPr defaultRowHeight="15.75"/>
  <cols>
    <col min="1" max="1" width="13" style="399" bestFit="1" customWidth="1"/>
    <col min="2" max="2" width="69.140625" style="399" bestFit="1" customWidth="1"/>
    <col min="3" max="3" width="2.7109375" style="399" customWidth="1"/>
    <col min="4" max="4" width="18.85546875" style="399" bestFit="1" customWidth="1"/>
    <col min="5" max="5" width="4" style="399" customWidth="1"/>
    <col min="6" max="6" width="9.140625" style="399"/>
    <col min="7" max="7" width="8.140625" style="399" bestFit="1" customWidth="1"/>
    <col min="8" max="16384" width="9.140625" style="399"/>
  </cols>
  <sheetData>
    <row r="1" spans="1:9">
      <c r="A1" s="407"/>
      <c r="B1" s="407"/>
      <c r="C1" s="407"/>
      <c r="D1" s="407"/>
      <c r="E1" s="407"/>
    </row>
    <row r="2" spans="1:9">
      <c r="A2" s="416" t="s">
        <v>1501</v>
      </c>
      <c r="B2" s="416"/>
      <c r="C2" s="416"/>
      <c r="D2" s="416"/>
      <c r="E2" s="416"/>
      <c r="F2" s="408"/>
      <c r="G2" s="408"/>
    </row>
    <row r="3" spans="1:9">
      <c r="A3" s="416" t="s">
        <v>1502</v>
      </c>
      <c r="B3" s="416"/>
      <c r="C3" s="416"/>
      <c r="D3" s="416"/>
      <c r="E3" s="416"/>
      <c r="F3" s="408"/>
      <c r="G3" s="408"/>
    </row>
    <row r="4" spans="1:9">
      <c r="A4" s="416" t="s">
        <v>1503</v>
      </c>
      <c r="B4" s="416"/>
      <c r="C4" s="416"/>
      <c r="D4" s="416"/>
      <c r="E4" s="416"/>
      <c r="F4" s="408"/>
      <c r="G4" s="408"/>
    </row>
    <row r="5" spans="1:9">
      <c r="A5" s="416" t="s">
        <v>278</v>
      </c>
      <c r="B5" s="416"/>
      <c r="C5" s="416"/>
      <c r="D5" s="416"/>
      <c r="E5" s="416"/>
      <c r="F5" s="408"/>
      <c r="G5" s="408"/>
    </row>
    <row r="6" spans="1:9">
      <c r="A6" s="416" t="s">
        <v>1504</v>
      </c>
      <c r="B6" s="416"/>
      <c r="C6" s="416"/>
      <c r="D6" s="416"/>
      <c r="E6" s="416"/>
      <c r="F6" s="408"/>
      <c r="G6" s="408"/>
    </row>
    <row r="7" spans="1:9">
      <c r="B7" s="409"/>
      <c r="C7" s="409"/>
      <c r="D7" s="409"/>
      <c r="E7" s="409"/>
      <c r="F7" s="408"/>
      <c r="G7" s="408"/>
    </row>
    <row r="8" spans="1:9">
      <c r="B8" s="410" t="s">
        <v>1505</v>
      </c>
      <c r="C8" s="410"/>
      <c r="D8" s="410" t="s">
        <v>1506</v>
      </c>
      <c r="E8" s="410"/>
    </row>
    <row r="9" spans="1:9">
      <c r="B9" s="411"/>
      <c r="C9" s="411"/>
      <c r="D9" s="411"/>
      <c r="E9" s="411"/>
    </row>
    <row r="10" spans="1:9">
      <c r="A10" s="412" t="s">
        <v>1507</v>
      </c>
      <c r="B10" s="413" t="s">
        <v>1508</v>
      </c>
      <c r="D10" s="413" t="s">
        <v>1509</v>
      </c>
      <c r="E10" s="413"/>
      <c r="F10" s="413"/>
    </row>
    <row r="11" spans="1:9">
      <c r="A11" s="412"/>
      <c r="B11" s="410"/>
      <c r="D11" s="413"/>
      <c r="E11" s="413"/>
      <c r="F11" s="413"/>
    </row>
    <row r="12" spans="1:9">
      <c r="A12" s="410">
        <v>1</v>
      </c>
      <c r="B12" s="399" t="s">
        <v>278</v>
      </c>
    </row>
    <row r="13" spans="1:9">
      <c r="A13" s="410">
        <f>A12+1</f>
        <v>2</v>
      </c>
      <c r="B13" s="399" t="s">
        <v>1510</v>
      </c>
      <c r="D13" s="399" t="s">
        <v>1511</v>
      </c>
    </row>
    <row r="14" spans="1:9">
      <c r="A14" s="410">
        <f t="shared" ref="A14:A26" si="0">A13+1</f>
        <v>3</v>
      </c>
      <c r="B14" s="399" t="s">
        <v>1512</v>
      </c>
      <c r="D14" s="399" t="s">
        <v>1513</v>
      </c>
    </row>
    <row r="15" spans="1:9">
      <c r="A15" s="410">
        <f t="shared" si="0"/>
        <v>4</v>
      </c>
      <c r="B15" s="399" t="s">
        <v>1514</v>
      </c>
      <c r="D15" s="399" t="s">
        <v>1515</v>
      </c>
    </row>
    <row r="16" spans="1:9">
      <c r="A16" s="410">
        <f t="shared" si="0"/>
        <v>5</v>
      </c>
      <c r="B16" s="399" t="s">
        <v>111</v>
      </c>
      <c r="C16" s="414"/>
      <c r="D16" s="399" t="s">
        <v>1516</v>
      </c>
      <c r="E16" s="414"/>
      <c r="F16" s="414"/>
      <c r="G16" s="414"/>
      <c r="H16" s="414"/>
      <c r="I16" s="414"/>
    </row>
    <row r="17" spans="1:45">
      <c r="A17" s="410">
        <f t="shared" si="0"/>
        <v>6</v>
      </c>
      <c r="B17" s="399" t="s">
        <v>1517</v>
      </c>
      <c r="D17" s="399" t="s">
        <v>1518</v>
      </c>
      <c r="J17" s="417"/>
      <c r="K17" s="417"/>
      <c r="L17" s="417"/>
      <c r="M17" s="417"/>
      <c r="N17" s="417"/>
      <c r="O17" s="417"/>
      <c r="P17" s="417"/>
    </row>
    <row r="18" spans="1:45">
      <c r="A18" s="410">
        <f t="shared" si="0"/>
        <v>7</v>
      </c>
      <c r="B18" s="399" t="s">
        <v>1519</v>
      </c>
      <c r="D18" s="399" t="s">
        <v>1518</v>
      </c>
    </row>
    <row r="19" spans="1:45">
      <c r="A19" s="410">
        <v>8</v>
      </c>
      <c r="B19" s="399" t="s">
        <v>32</v>
      </c>
      <c r="D19" s="399" t="s">
        <v>1520</v>
      </c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  <c r="AM19" s="415"/>
      <c r="AN19" s="415"/>
      <c r="AO19" s="415"/>
      <c r="AP19" s="415"/>
      <c r="AQ19" s="415"/>
      <c r="AR19" s="415"/>
      <c r="AS19" s="415"/>
    </row>
    <row r="20" spans="1:45">
      <c r="A20" s="410">
        <f t="shared" si="0"/>
        <v>9</v>
      </c>
      <c r="B20" s="399" t="s">
        <v>1430</v>
      </c>
      <c r="D20" s="399" t="s">
        <v>1521</v>
      </c>
    </row>
    <row r="21" spans="1:45">
      <c r="A21" s="410">
        <f t="shared" si="0"/>
        <v>10</v>
      </c>
      <c r="B21" s="399" t="s">
        <v>1522</v>
      </c>
      <c r="D21" s="399" t="s">
        <v>1523</v>
      </c>
    </row>
    <row r="22" spans="1:45">
      <c r="A22" s="410">
        <f t="shared" si="0"/>
        <v>11</v>
      </c>
      <c r="B22" s="399" t="s">
        <v>1524</v>
      </c>
      <c r="D22" s="399" t="s">
        <v>1525</v>
      </c>
    </row>
    <row r="23" spans="1:45">
      <c r="A23" s="410">
        <f t="shared" si="0"/>
        <v>12</v>
      </c>
      <c r="B23" s="399" t="s">
        <v>1526</v>
      </c>
      <c r="D23" s="399" t="s">
        <v>1527</v>
      </c>
    </row>
    <row r="24" spans="1:45">
      <c r="A24" s="410">
        <f t="shared" si="0"/>
        <v>13</v>
      </c>
      <c r="B24" s="399" t="s">
        <v>1528</v>
      </c>
      <c r="D24" s="399" t="s">
        <v>1527</v>
      </c>
    </row>
    <row r="25" spans="1:45">
      <c r="A25" s="410">
        <f t="shared" si="0"/>
        <v>14</v>
      </c>
      <c r="B25" s="399" t="s">
        <v>1529</v>
      </c>
      <c r="D25" s="399" t="s">
        <v>1530</v>
      </c>
    </row>
    <row r="26" spans="1:45">
      <c r="A26" s="410">
        <f t="shared" si="0"/>
        <v>15</v>
      </c>
      <c r="B26" s="399" t="s">
        <v>1531</v>
      </c>
      <c r="D26" s="399" t="s">
        <v>1532</v>
      </c>
    </row>
    <row r="27" spans="1:45">
      <c r="A27" s="410"/>
    </row>
    <row r="28" spans="1:45">
      <c r="A28" s="410"/>
    </row>
    <row r="29" spans="1:45">
      <c r="A29" s="410"/>
    </row>
    <row r="30" spans="1:45">
      <c r="A30" s="410"/>
    </row>
    <row r="31" spans="1:45">
      <c r="A31" s="410"/>
    </row>
    <row r="32" spans="1:45">
      <c r="A32" s="410"/>
    </row>
    <row r="33" spans="1:2">
      <c r="A33" s="410"/>
    </row>
    <row r="40" spans="1:2">
      <c r="B40" s="399" t="s">
        <v>1533</v>
      </c>
    </row>
  </sheetData>
  <mergeCells count="7">
    <mergeCell ref="L19:AS19"/>
    <mergeCell ref="A2:E2"/>
    <mergeCell ref="A3:E3"/>
    <mergeCell ref="A4:E4"/>
    <mergeCell ref="A5:E5"/>
    <mergeCell ref="A6:E6"/>
    <mergeCell ref="J17:P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1"/>
  <sheetViews>
    <sheetView tabSelected="1" zoomScale="90" zoomScaleNormal="90" zoomScaleSheetLayoutView="90" workbookViewId="0">
      <selection activeCell="D35" sqref="D35"/>
    </sheetView>
  </sheetViews>
  <sheetFormatPr defaultColWidth="9" defaultRowHeight="14.25"/>
  <cols>
    <col min="1" max="1" width="9.140625" style="163" customWidth="1"/>
    <col min="2" max="2" width="28.85546875" style="163" customWidth="1"/>
    <col min="3" max="3" width="17.42578125" style="163" customWidth="1"/>
    <col min="4" max="4" width="16.5703125" style="163" customWidth="1"/>
    <col min="5" max="5" width="17.7109375" style="163" customWidth="1"/>
    <col min="6" max="6" width="13" style="163" customWidth="1"/>
    <col min="7" max="7" width="16.42578125" style="163" customWidth="1"/>
    <col min="8" max="8" width="9.85546875" style="163" customWidth="1"/>
    <col min="9" max="11" width="10.5703125" style="163" customWidth="1"/>
    <col min="12" max="16384" width="9" style="163"/>
  </cols>
  <sheetData>
    <row r="1" spans="2:11" s="143" customFormat="1">
      <c r="B1" s="142"/>
      <c r="C1" s="142"/>
      <c r="D1" s="142"/>
      <c r="E1" s="142"/>
    </row>
    <row r="2" spans="2:11" s="143" customFormat="1">
      <c r="B2" s="425" t="s">
        <v>1302</v>
      </c>
      <c r="C2" s="425"/>
      <c r="D2" s="425"/>
      <c r="E2" s="425"/>
      <c r="I2" s="144"/>
      <c r="J2" s="144" t="s">
        <v>114</v>
      </c>
      <c r="K2" s="144" t="s">
        <v>1303</v>
      </c>
    </row>
    <row r="3" spans="2:11" s="143" customFormat="1" ht="15" thickBot="1">
      <c r="B3" s="142"/>
      <c r="C3" s="142"/>
      <c r="D3" s="142"/>
      <c r="E3" s="142"/>
      <c r="I3" s="145" t="s">
        <v>1453</v>
      </c>
      <c r="J3" s="263">
        <f>C9</f>
        <v>8.3593693099553446E-2</v>
      </c>
      <c r="K3" s="147">
        <v>4</v>
      </c>
    </row>
    <row r="4" spans="2:11" s="144" customFormat="1" ht="16.5" customHeight="1">
      <c r="B4" s="426" t="s">
        <v>1453</v>
      </c>
      <c r="C4" s="427"/>
      <c r="D4" s="427"/>
      <c r="E4" s="428"/>
      <c r="F4" s="146"/>
      <c r="I4" s="145"/>
      <c r="J4" s="146">
        <f>E9</f>
        <v>0.12149002904099426</v>
      </c>
      <c r="K4" s="147">
        <v>4</v>
      </c>
    </row>
    <row r="5" spans="2:11" s="144" customFormat="1" ht="15">
      <c r="B5" s="148"/>
      <c r="C5" s="149" t="s">
        <v>1314</v>
      </c>
      <c r="D5" s="149" t="s">
        <v>1315</v>
      </c>
      <c r="E5" s="150" t="s">
        <v>1316</v>
      </c>
      <c r="I5" s="154" t="s">
        <v>20</v>
      </c>
      <c r="J5" s="146">
        <f>C12</f>
        <v>0.10966954752347373</v>
      </c>
      <c r="K5" s="147">
        <v>3</v>
      </c>
    </row>
    <row r="6" spans="2:11" s="144" customFormat="1">
      <c r="B6" s="151" t="s">
        <v>30</v>
      </c>
      <c r="C6" s="152">
        <f>'Schedule-3 Constant DCF'!O15</f>
        <v>8.2421637671107675E-2</v>
      </c>
      <c r="D6" s="152">
        <f>'Schedule-3 Constant DCF'!P15</f>
        <v>9.690683759255235E-2</v>
      </c>
      <c r="E6" s="153">
        <f>'Schedule-3 Constant DCF'!Q15</f>
        <v>0.12158821700269011</v>
      </c>
      <c r="I6" s="154"/>
      <c r="J6" s="146">
        <f>E12</f>
        <v>0.11251388085680705</v>
      </c>
      <c r="K6" s="147">
        <v>3</v>
      </c>
    </row>
    <row r="7" spans="2:11" s="144" customFormat="1">
      <c r="B7" s="151" t="s">
        <v>31</v>
      </c>
      <c r="C7" s="152">
        <f>'Schedule-3 Constant DCF'!O47</f>
        <v>8.5752934807385453E-2</v>
      </c>
      <c r="D7" s="152">
        <f>'Schedule-3 Constant DCF'!P47</f>
        <v>9.6332218678889803E-2</v>
      </c>
      <c r="E7" s="153">
        <f>'Schedule-3 Constant DCF'!Q47</f>
        <v>0.12119048467061773</v>
      </c>
      <c r="G7" s="145"/>
      <c r="H7" s="145"/>
      <c r="I7" s="154" t="s">
        <v>32</v>
      </c>
      <c r="J7" s="146">
        <f>C16</f>
        <v>9.7443079593652587E-2</v>
      </c>
      <c r="K7" s="147">
        <v>2</v>
      </c>
    </row>
    <row r="8" spans="2:11" s="144" customFormat="1">
      <c r="B8" s="151" t="s">
        <v>109</v>
      </c>
      <c r="C8" s="152">
        <f>'Schedule-3 Constant DCF'!O79</f>
        <v>8.260650682016718E-2</v>
      </c>
      <c r="D8" s="152">
        <f>'Schedule-3 Constant DCF'!P79</f>
        <v>9.7177481036996347E-2</v>
      </c>
      <c r="E8" s="153">
        <f>'Schedule-3 Constant DCF'!Q79</f>
        <v>0.12169138544967495</v>
      </c>
      <c r="G8" s="145"/>
      <c r="H8" s="145"/>
      <c r="I8" s="154"/>
      <c r="J8" s="146">
        <f>E16</f>
        <v>0.10130150595340928</v>
      </c>
      <c r="K8" s="147">
        <v>2</v>
      </c>
    </row>
    <row r="9" spans="2:11" s="144" customFormat="1">
      <c r="B9" s="151" t="s">
        <v>1304</v>
      </c>
      <c r="C9" s="152">
        <f>AVERAGE(C6:C8)</f>
        <v>8.3593693099553446E-2</v>
      </c>
      <c r="D9" s="152">
        <f>AVERAGE(D6:D8)</f>
        <v>9.6805512436146171E-2</v>
      </c>
      <c r="E9" s="153">
        <f>AVERAGE(E6:E8)</f>
        <v>0.12149002904099426</v>
      </c>
      <c r="I9" s="145" t="s">
        <v>1430</v>
      </c>
      <c r="J9" s="146">
        <f>E20</f>
        <v>0.11482456808072344</v>
      </c>
      <c r="K9" s="147">
        <v>1</v>
      </c>
    </row>
    <row r="10" spans="2:11" s="144" customFormat="1">
      <c r="B10" s="429" t="s">
        <v>20</v>
      </c>
      <c r="C10" s="430"/>
      <c r="D10" s="430"/>
      <c r="E10" s="431"/>
      <c r="J10" s="146">
        <f>C20</f>
        <v>0.11556742725521925</v>
      </c>
      <c r="K10" s="147">
        <v>1</v>
      </c>
    </row>
    <row r="11" spans="2:11" s="144" customFormat="1" ht="47.25" customHeight="1">
      <c r="B11" s="148"/>
      <c r="C11" s="149" t="s">
        <v>1307</v>
      </c>
      <c r="D11" s="149" t="s">
        <v>1308</v>
      </c>
      <c r="E11" s="150" t="s">
        <v>1309</v>
      </c>
      <c r="I11" s="154" t="s">
        <v>1305</v>
      </c>
      <c r="J11" s="146">
        <v>0.1</v>
      </c>
      <c r="K11" s="147">
        <v>0</v>
      </c>
    </row>
    <row r="12" spans="2:11" s="144" customFormat="1">
      <c r="B12" s="151" t="s">
        <v>20</v>
      </c>
      <c r="C12" s="152">
        <f>'Schedule-5 CAPM'!G11</f>
        <v>0.10966954752347373</v>
      </c>
      <c r="D12" s="152">
        <f>'Schedule-5 CAPM'!G12</f>
        <v>0.11080530942823563</v>
      </c>
      <c r="E12" s="153">
        <f>'Schedule-5 CAPM'!G13</f>
        <v>0.11251388085680705</v>
      </c>
      <c r="F12" s="146"/>
      <c r="I12" s="154"/>
      <c r="J12" s="146">
        <v>0.1</v>
      </c>
      <c r="K12" s="147">
        <v>7</v>
      </c>
    </row>
    <row r="13" spans="2:11" s="144" customFormat="1">
      <c r="B13" s="155" t="s">
        <v>1310</v>
      </c>
      <c r="C13" s="432">
        <f>AVERAGE(C12:E12)</f>
        <v>0.11099624593617215</v>
      </c>
      <c r="D13" s="433"/>
      <c r="E13" s="434"/>
      <c r="F13" s="146"/>
      <c r="I13" s="154" t="s">
        <v>1306</v>
      </c>
      <c r="J13" s="146">
        <v>0.1075</v>
      </c>
      <c r="K13" s="147">
        <v>0</v>
      </c>
    </row>
    <row r="14" spans="2:11" s="144" customFormat="1">
      <c r="B14" s="418" t="s">
        <v>112</v>
      </c>
      <c r="C14" s="419"/>
      <c r="D14" s="419"/>
      <c r="E14" s="420"/>
      <c r="J14" s="146">
        <v>0.1075</v>
      </c>
      <c r="K14" s="147">
        <v>7</v>
      </c>
    </row>
    <row r="15" spans="2:11" s="144" customFormat="1" ht="57">
      <c r="B15" s="156"/>
      <c r="C15" s="149" t="s">
        <v>1307</v>
      </c>
      <c r="D15" s="149" t="s">
        <v>1308</v>
      </c>
      <c r="E15" s="157" t="s">
        <v>1309</v>
      </c>
    </row>
    <row r="16" spans="2:11" s="144" customFormat="1">
      <c r="B16" s="156" t="s">
        <v>65</v>
      </c>
      <c r="C16" s="158">
        <f>'Schedule-6 Risk Premium'!L51</f>
        <v>9.7443079593652587E-2</v>
      </c>
      <c r="D16" s="158">
        <f>'Schedule-6 Risk Premium'!L52</f>
        <v>9.8983775833570847E-2</v>
      </c>
      <c r="E16" s="159">
        <f>'Schedule-6 Risk Premium'!L53</f>
        <v>0.10130150595340928</v>
      </c>
    </row>
    <row r="17" spans="2:11" s="144" customFormat="1">
      <c r="B17" s="336" t="s">
        <v>1311</v>
      </c>
      <c r="C17" s="421">
        <f>AVERAGE(C16:E16)</f>
        <v>9.9242787126877577E-2</v>
      </c>
      <c r="D17" s="422"/>
      <c r="E17" s="423"/>
      <c r="G17" s="145"/>
      <c r="J17" s="146"/>
      <c r="K17" s="147"/>
    </row>
    <row r="18" spans="2:11" s="144" customFormat="1">
      <c r="B18" s="435" t="s">
        <v>1427</v>
      </c>
      <c r="C18" s="436"/>
      <c r="D18" s="436"/>
      <c r="E18" s="437"/>
      <c r="G18" s="145"/>
      <c r="J18" s="146"/>
      <c r="K18" s="147"/>
    </row>
    <row r="19" spans="2:11" s="144" customFormat="1">
      <c r="B19" s="151"/>
      <c r="C19" s="438" t="s">
        <v>1454</v>
      </c>
      <c r="D19" s="439"/>
      <c r="E19" s="150" t="s">
        <v>1315</v>
      </c>
      <c r="G19" s="145"/>
      <c r="J19" s="146"/>
      <c r="K19" s="147"/>
    </row>
    <row r="20" spans="2:11" s="144" customFormat="1">
      <c r="B20" s="151" t="s">
        <v>1429</v>
      </c>
      <c r="C20" s="432">
        <f>'Schedule-7 Expected Earnings'!M15</f>
        <v>0.11556742725521925</v>
      </c>
      <c r="D20" s="440"/>
      <c r="E20" s="153">
        <f>'Schedule-7 Expected Earnings'!M16</f>
        <v>0.11482456808072344</v>
      </c>
      <c r="G20" s="145"/>
      <c r="J20" s="146"/>
      <c r="K20" s="147"/>
    </row>
    <row r="21" spans="2:11" s="144" customFormat="1">
      <c r="B21" s="160"/>
      <c r="C21" s="146"/>
      <c r="D21" s="146"/>
      <c r="E21" s="146"/>
      <c r="G21" s="145"/>
      <c r="J21" s="146"/>
      <c r="K21" s="147"/>
    </row>
    <row r="22" spans="2:11" s="144" customFormat="1">
      <c r="B22" s="160"/>
      <c r="C22" s="146"/>
      <c r="D22" s="146"/>
      <c r="E22" s="146"/>
      <c r="G22" s="145"/>
      <c r="J22" s="146"/>
      <c r="K22" s="147"/>
    </row>
    <row r="23" spans="2:11" s="144" customFormat="1" ht="15">
      <c r="B23" s="161" t="s">
        <v>27</v>
      </c>
      <c r="C23" s="142"/>
      <c r="D23" s="142"/>
      <c r="E23" s="142"/>
      <c r="G23" s="145"/>
      <c r="J23" s="146"/>
      <c r="K23" s="147"/>
    </row>
    <row r="24" spans="2:11" s="144" customFormat="1">
      <c r="B24" s="424" t="s">
        <v>1455</v>
      </c>
      <c r="C24" s="424"/>
      <c r="D24" s="424"/>
      <c r="E24" s="424"/>
      <c r="G24" s="145"/>
      <c r="H24" s="384"/>
      <c r="J24" s="146"/>
      <c r="K24" s="147"/>
    </row>
    <row r="25" spans="2:11" s="144" customFormat="1">
      <c r="B25" s="424"/>
      <c r="C25" s="424"/>
      <c r="D25" s="424"/>
      <c r="E25" s="424"/>
      <c r="H25" s="146"/>
    </row>
    <row r="26" spans="2:11" s="144" customFormat="1">
      <c r="B26" s="424"/>
      <c r="C26" s="424"/>
      <c r="D26" s="424"/>
      <c r="E26" s="424"/>
      <c r="H26" s="385"/>
    </row>
    <row r="27" spans="2:11" s="144" customFormat="1">
      <c r="B27" s="424"/>
      <c r="C27" s="424"/>
      <c r="D27" s="424"/>
      <c r="E27" s="424"/>
    </row>
    <row r="28" spans="2:11" s="144" customFormat="1">
      <c r="B28" s="424"/>
      <c r="C28" s="424"/>
      <c r="D28" s="424"/>
      <c r="E28" s="424"/>
    </row>
    <row r="29" spans="2:11" s="144" customFormat="1">
      <c r="B29" s="162"/>
      <c r="C29" s="162"/>
      <c r="D29" s="162"/>
      <c r="E29" s="162"/>
    </row>
    <row r="30" spans="2:11" s="144" customFormat="1">
      <c r="B30" s="163"/>
      <c r="C30" s="163"/>
      <c r="D30" s="163"/>
      <c r="E30" s="163"/>
      <c r="F30" s="163"/>
      <c r="G30" s="145"/>
      <c r="H30" s="145"/>
    </row>
    <row r="31" spans="2:11">
      <c r="G31" s="145"/>
      <c r="H31" s="144"/>
      <c r="I31" s="144"/>
      <c r="J31" s="144"/>
      <c r="K31" s="144"/>
    </row>
  </sheetData>
  <mergeCells count="10">
    <mergeCell ref="B14:E14"/>
    <mergeCell ref="C17:E17"/>
    <mergeCell ref="B24:E28"/>
    <mergeCell ref="B2:E2"/>
    <mergeCell ref="B4:E4"/>
    <mergeCell ref="B10:E10"/>
    <mergeCell ref="C13:E13"/>
    <mergeCell ref="B18:E18"/>
    <mergeCell ref="C19:D19"/>
    <mergeCell ref="C20:D20"/>
  </mergeCells>
  <pageMargins left="0.7" right="0.7" top="1" bottom="0.75" header="0.3" footer="0.3"/>
  <pageSetup orientation="portrait" useFirstPageNumber="1" r:id="rId1"/>
  <headerFooter>
    <oddHeader>&amp;RDocket No. UG-19____
Cascade Natural Gas Corp.
Exhibit No.___(AEB-2)
Schedule 1
Page &amp;P of 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L20"/>
  <sheetViews>
    <sheetView zoomScale="90" zoomScaleNormal="90" zoomScaleSheetLayoutView="100" zoomScalePageLayoutView="70" workbookViewId="0">
      <selection sqref="A1:XFD1048576"/>
    </sheetView>
  </sheetViews>
  <sheetFormatPr defaultColWidth="9.140625" defaultRowHeight="12.75"/>
  <cols>
    <col min="1" max="1" width="3.28515625" style="20" customWidth="1"/>
    <col min="2" max="2" width="44" style="20" customWidth="1"/>
    <col min="3" max="3" width="9.85546875" style="20" customWidth="1"/>
    <col min="4" max="10" width="13.28515625" style="20" customWidth="1"/>
    <col min="11" max="11" width="5.7109375" style="20" customWidth="1"/>
    <col min="12" max="12" width="13.28515625" style="20" customWidth="1"/>
    <col min="13" max="16384" width="9.140625" style="20"/>
  </cols>
  <sheetData>
    <row r="2" spans="2:12">
      <c r="B2" s="441" t="s">
        <v>75</v>
      </c>
      <c r="C2" s="441"/>
      <c r="D2" s="441"/>
      <c r="E2" s="441"/>
      <c r="F2" s="441"/>
      <c r="G2" s="441"/>
      <c r="H2" s="441"/>
      <c r="I2" s="441"/>
      <c r="J2" s="441"/>
      <c r="K2" s="19"/>
      <c r="L2" s="19"/>
    </row>
    <row r="4" spans="2:12" ht="13.5" thickBot="1"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</row>
    <row r="5" spans="2:12" ht="102">
      <c r="B5" s="22" t="s">
        <v>0</v>
      </c>
      <c r="C5" s="22"/>
      <c r="D5" s="23" t="s">
        <v>76</v>
      </c>
      <c r="E5" s="24" t="s">
        <v>96</v>
      </c>
      <c r="F5" s="24" t="s">
        <v>77</v>
      </c>
      <c r="G5" s="24" t="s">
        <v>78</v>
      </c>
      <c r="H5" s="24" t="s">
        <v>97</v>
      </c>
      <c r="I5" s="24" t="s">
        <v>1285</v>
      </c>
      <c r="J5" s="24" t="s">
        <v>79</v>
      </c>
    </row>
    <row r="6" spans="2:12">
      <c r="B6" s="14" t="s">
        <v>58</v>
      </c>
      <c r="C6" s="8" t="s">
        <v>21</v>
      </c>
      <c r="D6" s="21" t="s">
        <v>80</v>
      </c>
      <c r="E6" s="21" t="s">
        <v>83</v>
      </c>
      <c r="F6" s="21" t="s">
        <v>1352</v>
      </c>
      <c r="G6" s="21" t="s">
        <v>1352</v>
      </c>
      <c r="H6" s="195">
        <v>1</v>
      </c>
      <c r="I6" s="195">
        <v>0.68591703280340255</v>
      </c>
      <c r="J6" s="21" t="s">
        <v>94</v>
      </c>
    </row>
    <row r="7" spans="2:12">
      <c r="B7" s="14" t="s">
        <v>59</v>
      </c>
      <c r="C7" s="8" t="s">
        <v>22</v>
      </c>
      <c r="D7" s="21" t="s">
        <v>80</v>
      </c>
      <c r="E7" s="21" t="s">
        <v>81</v>
      </c>
      <c r="F7" s="21" t="s">
        <v>1352</v>
      </c>
      <c r="G7" s="21" t="s">
        <v>1352</v>
      </c>
      <c r="H7" s="195">
        <v>0.96449920509246745</v>
      </c>
      <c r="I7" s="195">
        <v>0.88912712304015284</v>
      </c>
      <c r="J7" s="21" t="s">
        <v>94</v>
      </c>
    </row>
    <row r="8" spans="2:12">
      <c r="B8" s="14" t="s">
        <v>62</v>
      </c>
      <c r="C8" s="8" t="s">
        <v>23</v>
      </c>
      <c r="D8" s="21" t="s">
        <v>80</v>
      </c>
      <c r="E8" s="21" t="s">
        <v>95</v>
      </c>
      <c r="F8" s="21" t="s">
        <v>1352</v>
      </c>
      <c r="G8" s="21" t="s">
        <v>1352</v>
      </c>
      <c r="H8" s="195">
        <v>0.99500485980200726</v>
      </c>
      <c r="I8" s="195">
        <v>0.96470185230764438</v>
      </c>
      <c r="J8" s="21" t="s">
        <v>94</v>
      </c>
    </row>
    <row r="9" spans="2:12">
      <c r="B9" s="14" t="s">
        <v>100</v>
      </c>
      <c r="C9" s="29" t="s">
        <v>101</v>
      </c>
      <c r="D9" s="21" t="s">
        <v>80</v>
      </c>
      <c r="E9" s="21" t="s">
        <v>83</v>
      </c>
      <c r="F9" s="21" t="s">
        <v>1352</v>
      </c>
      <c r="G9" s="21" t="s">
        <v>1352</v>
      </c>
      <c r="H9" s="195">
        <v>1</v>
      </c>
      <c r="I9" s="195">
        <v>1</v>
      </c>
      <c r="J9" s="21" t="s">
        <v>94</v>
      </c>
    </row>
    <row r="10" spans="2:12">
      <c r="B10" s="14" t="s">
        <v>60</v>
      </c>
      <c r="C10" s="8" t="s">
        <v>24</v>
      </c>
      <c r="D10" s="21" t="s">
        <v>80</v>
      </c>
      <c r="E10" s="21" t="s">
        <v>117</v>
      </c>
      <c r="F10" s="21" t="s">
        <v>1352</v>
      </c>
      <c r="G10" s="21" t="s">
        <v>1352</v>
      </c>
      <c r="H10" s="195">
        <v>0.8030559281229005</v>
      </c>
      <c r="I10" s="195">
        <v>1</v>
      </c>
      <c r="J10" s="21" t="s">
        <v>94</v>
      </c>
    </row>
    <row r="11" spans="2:12">
      <c r="B11" s="14" t="s">
        <v>61</v>
      </c>
      <c r="C11" s="8" t="s">
        <v>25</v>
      </c>
      <c r="D11" s="21" t="s">
        <v>80</v>
      </c>
      <c r="E11" s="21" t="s">
        <v>81</v>
      </c>
      <c r="F11" s="21" t="s">
        <v>1352</v>
      </c>
      <c r="G11" s="21" t="s">
        <v>1352</v>
      </c>
      <c r="H11" s="195">
        <v>0.82188977246253092</v>
      </c>
      <c r="I11" s="195">
        <v>1</v>
      </c>
      <c r="J11" s="21" t="s">
        <v>94</v>
      </c>
    </row>
    <row r="12" spans="2:12" ht="13.5" thickBot="1">
      <c r="B12" s="27" t="s">
        <v>108</v>
      </c>
      <c r="C12" s="34" t="s">
        <v>103</v>
      </c>
      <c r="D12" s="25" t="s">
        <v>80</v>
      </c>
      <c r="E12" s="25" t="s">
        <v>82</v>
      </c>
      <c r="F12" s="25" t="s">
        <v>1352</v>
      </c>
      <c r="G12" s="25" t="s">
        <v>1352</v>
      </c>
      <c r="H12" s="196">
        <v>0.99774208332893932</v>
      </c>
      <c r="I12" s="196">
        <v>1</v>
      </c>
      <c r="J12" s="25" t="s">
        <v>94</v>
      </c>
    </row>
    <row r="13" spans="2:12" ht="13.5" thickTop="1"/>
    <row r="14" spans="2:12">
      <c r="B14" s="26" t="s">
        <v>27</v>
      </c>
    </row>
    <row r="15" spans="2:12">
      <c r="B15" s="20" t="s">
        <v>84</v>
      </c>
    </row>
    <row r="16" spans="2:12">
      <c r="B16" s="20" t="s">
        <v>85</v>
      </c>
    </row>
    <row r="17" spans="2:2">
      <c r="B17" s="20" t="s">
        <v>86</v>
      </c>
    </row>
    <row r="18" spans="2:2">
      <c r="B18" s="20" t="s">
        <v>87</v>
      </c>
    </row>
    <row r="19" spans="2:2">
      <c r="B19" s="20" t="s">
        <v>118</v>
      </c>
    </row>
    <row r="20" spans="2:2">
      <c r="B20" s="20" t="s">
        <v>98</v>
      </c>
    </row>
  </sheetData>
  <mergeCells count="1">
    <mergeCell ref="B2:J2"/>
  </mergeCells>
  <conditionalFormatting sqref="B6:C12">
    <cfRule type="expression" dxfId="24" priority="1">
      <formula>"(blank)"</formula>
    </cfRule>
  </conditionalFormatting>
  <conditionalFormatting sqref="B6:C12">
    <cfRule type="expression" dxfId="23" priority="2">
      <formula>#REF!</formula>
    </cfRule>
  </conditionalFormatting>
  <printOptions horizontalCentered="1"/>
  <pageMargins left="0.7" right="0.7" top="0.75" bottom="0.75" header="0.3" footer="0.3"/>
  <pageSetup scale="80" orientation="landscape" useFirstPageNumber="1" r:id="rId1"/>
  <headerFooter>
    <oddHeader>&amp;RDocket No. UG-19____
Cascade Natural Gas Corp.
Exhibit No.___(AEB-2)
Schedule 2
Page &amp;P of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95"/>
  <sheetViews>
    <sheetView zoomScale="80" zoomScaleNormal="80" zoomScaleSheetLayoutView="85" workbookViewId="0">
      <selection sqref="A1:XFD1048576"/>
    </sheetView>
  </sheetViews>
  <sheetFormatPr defaultRowHeight="12.75"/>
  <cols>
    <col min="1" max="1" width="34.42578125" customWidth="1"/>
    <col min="2" max="2" width="5.42578125" bestFit="1" customWidth="1"/>
    <col min="3" max="3" width="11.85546875" customWidth="1"/>
    <col min="4" max="4" width="11.7109375" customWidth="1"/>
    <col min="5" max="5" width="10.42578125" customWidth="1"/>
    <col min="6" max="6" width="10" customWidth="1"/>
    <col min="7" max="7" width="12" customWidth="1"/>
    <col min="8" max="9" width="9.140625" customWidth="1"/>
    <col min="10" max="10" width="9" customWidth="1"/>
    <col min="11" max="11" width="11.85546875" customWidth="1"/>
    <col min="12" max="12" width="10.5703125" customWidth="1"/>
    <col min="13" max="13" width="10.85546875" customWidth="1"/>
    <col min="14" max="14" width="2.85546875" customWidth="1"/>
    <col min="16" max="16" width="12" customWidth="1"/>
  </cols>
  <sheetData>
    <row r="1" spans="1:17">
      <c r="M1" s="7"/>
    </row>
    <row r="2" spans="1:17">
      <c r="A2" s="1" t="s">
        <v>1489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K3" s="442" t="s">
        <v>1286</v>
      </c>
      <c r="L3" s="442"/>
      <c r="M3" s="442"/>
      <c r="O3" s="443" t="s">
        <v>1287</v>
      </c>
      <c r="P3" s="443"/>
      <c r="Q3" s="443"/>
    </row>
    <row r="4" spans="1:17" ht="13.5" thickBot="1">
      <c r="C4" s="16" t="s">
        <v>4</v>
      </c>
      <c r="D4" s="28" t="s">
        <v>5</v>
      </c>
      <c r="E4" s="28" t="s">
        <v>6</v>
      </c>
      <c r="F4" s="28" t="s">
        <v>7</v>
      </c>
      <c r="G4" s="16" t="s">
        <v>8</v>
      </c>
      <c r="H4" s="28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19</v>
      </c>
      <c r="O4" s="126" t="s">
        <v>1288</v>
      </c>
      <c r="P4" s="126" t="s">
        <v>1289</v>
      </c>
      <c r="Q4" s="126" t="s">
        <v>267</v>
      </c>
    </row>
    <row r="5" spans="1:17" ht="51">
      <c r="A5" s="4" t="s">
        <v>0</v>
      </c>
      <c r="B5" s="2"/>
      <c r="C5" s="3" t="s">
        <v>14</v>
      </c>
      <c r="D5" s="4" t="s">
        <v>15</v>
      </c>
      <c r="E5" s="3" t="s">
        <v>16</v>
      </c>
      <c r="F5" s="3" t="s">
        <v>17</v>
      </c>
      <c r="G5" s="11" t="s">
        <v>115</v>
      </c>
      <c r="H5" s="11" t="s">
        <v>66</v>
      </c>
      <c r="I5" s="11" t="s">
        <v>67</v>
      </c>
      <c r="J5" s="11" t="s">
        <v>26</v>
      </c>
      <c r="K5" s="127" t="s">
        <v>1290</v>
      </c>
      <c r="L5" s="128" t="s">
        <v>1291</v>
      </c>
      <c r="M5" s="127" t="s">
        <v>1292</v>
      </c>
      <c r="N5" s="135">
        <v>7.0000000000000007E-2</v>
      </c>
      <c r="O5" s="127" t="s">
        <v>1290</v>
      </c>
      <c r="P5" s="128" t="s">
        <v>1291</v>
      </c>
      <c r="Q5" s="127" t="s">
        <v>1292</v>
      </c>
    </row>
    <row r="6" spans="1:17">
      <c r="O6" s="16"/>
      <c r="P6" s="129"/>
      <c r="Q6" s="16"/>
    </row>
    <row r="7" spans="1:17">
      <c r="A7" s="14" t="s">
        <v>58</v>
      </c>
      <c r="B7" s="8" t="s">
        <v>21</v>
      </c>
      <c r="C7" s="5">
        <v>2.1</v>
      </c>
      <c r="D7" s="9">
        <v>93.272666666666638</v>
      </c>
      <c r="E7" s="6">
        <f t="shared" ref="E7:E13" si="0">C7/D7</f>
        <v>2.2514634512433091E-2</v>
      </c>
      <c r="F7" s="6">
        <f t="shared" ref="F7:F13" si="1">E7*(1+(0.5*J7))</f>
        <v>2.3282008305398515E-2</v>
      </c>
      <c r="G7" s="6">
        <v>7.4999999999999997E-2</v>
      </c>
      <c r="H7" s="6">
        <v>6.4500000000000002E-2</v>
      </c>
      <c r="I7" s="6">
        <v>6.5000000000000002E-2</v>
      </c>
      <c r="J7" s="6">
        <f t="shared" ref="J7:J13" si="2">AVERAGE(G7:I7)</f>
        <v>6.8166666666666667E-2</v>
      </c>
      <c r="K7" s="6">
        <f t="shared" ref="K7:K13" si="3">E7*(1+(0.5*MIN(G7:I7)))+MIN(G7:I7)</f>
        <v>8.7740731475459049E-2</v>
      </c>
      <c r="L7" s="6">
        <f t="shared" ref="L7:L13" si="4">J7+F7</f>
        <v>9.1448674972065186E-2</v>
      </c>
      <c r="M7" s="6">
        <f t="shared" ref="M7:M13" si="5">E7*(1+(0.5*MAX(G7:I7)))+MAX(G7:I7)</f>
        <v>9.8358933306649327E-2</v>
      </c>
      <c r="O7" s="130">
        <f>IF((K7&gt;$N$5),K7,"")</f>
        <v>8.7740731475459049E-2</v>
      </c>
      <c r="P7" s="130">
        <f t="shared" ref="P7:Q7" si="6">IF((L7&gt;$N$5),L7,"")</f>
        <v>9.1448674972065186E-2</v>
      </c>
      <c r="Q7" s="130">
        <f t="shared" si="6"/>
        <v>9.8358933306649327E-2</v>
      </c>
    </row>
    <row r="8" spans="1:17">
      <c r="A8" s="14" t="s">
        <v>59</v>
      </c>
      <c r="B8" s="8" t="s">
        <v>22</v>
      </c>
      <c r="C8" s="5">
        <v>1.17</v>
      </c>
      <c r="D8" s="9">
        <v>46.094666666666676</v>
      </c>
      <c r="E8" s="6">
        <f t="shared" si="0"/>
        <v>2.5382546064620631E-2</v>
      </c>
      <c r="F8" s="6">
        <f t="shared" si="1"/>
        <v>2.6334391542043905E-2</v>
      </c>
      <c r="G8" s="6">
        <v>9.5000000000000001E-2</v>
      </c>
      <c r="H8" s="6">
        <v>0.06</v>
      </c>
      <c r="I8" s="6">
        <v>7.0000000000000007E-2</v>
      </c>
      <c r="J8" s="6">
        <f t="shared" si="2"/>
        <v>7.4999999999999997E-2</v>
      </c>
      <c r="K8" s="6">
        <f t="shared" si="3"/>
        <v>8.6144022446559249E-2</v>
      </c>
      <c r="L8" s="6">
        <f t="shared" si="4"/>
        <v>0.10133439154204391</v>
      </c>
      <c r="M8" s="6">
        <f t="shared" si="5"/>
        <v>0.12158821700269011</v>
      </c>
      <c r="O8" s="130">
        <f t="shared" ref="O8:O13" si="7">IF((K8&gt;$N$5),K8,"")</f>
        <v>8.6144022446559249E-2</v>
      </c>
      <c r="P8" s="130">
        <f t="shared" ref="P8:P13" si="8">IF((L8&gt;$N$5),L8,"")</f>
        <v>0.10133439154204391</v>
      </c>
      <c r="Q8" s="130">
        <f t="shared" ref="Q8:Q13" si="9">IF((M8&gt;$N$5),M8,"")</f>
        <v>0.12158821700269011</v>
      </c>
    </row>
    <row r="9" spans="1:17">
      <c r="A9" s="14" t="s">
        <v>62</v>
      </c>
      <c r="B9" s="8" t="s">
        <v>23</v>
      </c>
      <c r="C9" s="5">
        <v>1.9</v>
      </c>
      <c r="D9" s="9">
        <v>60.486000000000004</v>
      </c>
      <c r="E9" s="6">
        <f t="shared" si="0"/>
        <v>3.1412227622921E-2</v>
      </c>
      <c r="F9" s="6">
        <f t="shared" si="1"/>
        <v>3.344355167586989E-2</v>
      </c>
      <c r="G9" s="130">
        <v>0.30499999999999999</v>
      </c>
      <c r="H9" s="6">
        <v>0.04</v>
      </c>
      <c r="I9" s="6">
        <v>4.2999999999999997E-2</v>
      </c>
      <c r="J9" s="6">
        <f t="shared" si="2"/>
        <v>0.12933333333333333</v>
      </c>
      <c r="K9" s="6">
        <f t="shared" si="3"/>
        <v>7.2040472175379427E-2</v>
      </c>
      <c r="L9" s="6">
        <f t="shared" si="4"/>
        <v>0.16277688500920323</v>
      </c>
      <c r="M9" s="6">
        <f t="shared" si="5"/>
        <v>0.34120259233541644</v>
      </c>
      <c r="O9" s="130">
        <f t="shared" si="7"/>
        <v>7.2040472175379427E-2</v>
      </c>
      <c r="P9" s="130">
        <f t="shared" si="8"/>
        <v>0.16277688500920323</v>
      </c>
      <c r="Q9" s="130">
        <f t="shared" si="9"/>
        <v>0.34120259233541644</v>
      </c>
    </row>
    <row r="10" spans="1:17">
      <c r="A10" s="14" t="s">
        <v>100</v>
      </c>
      <c r="B10" s="29" t="s">
        <v>101</v>
      </c>
      <c r="C10" s="5">
        <v>1.84</v>
      </c>
      <c r="D10" s="9">
        <v>79.774666666666661</v>
      </c>
      <c r="E10" s="6">
        <f t="shared" ref="E10" si="10">C10/D10</f>
        <v>2.3064966321806425E-2</v>
      </c>
      <c r="F10" s="6">
        <f t="shared" ref="F10" si="11">E10*(1+(0.5*J10))</f>
        <v>2.3906837592552358E-2</v>
      </c>
      <c r="G10" s="6">
        <v>0.105</v>
      </c>
      <c r="H10" s="6">
        <v>5.5E-2</v>
      </c>
      <c r="I10" s="6">
        <v>5.8999999999999997E-2</v>
      </c>
      <c r="J10" s="6">
        <f t="shared" ref="J10" si="12">AVERAGE(G10:I10)</f>
        <v>7.2999999999999995E-2</v>
      </c>
      <c r="K10" s="6">
        <f t="shared" ref="K10" si="13">E10*(1+(0.5*MIN(G10:I10)))+MIN(G10:I10)</f>
        <v>7.8699252895656102E-2</v>
      </c>
      <c r="L10" s="6">
        <f t="shared" ref="L10" si="14">J10+F10</f>
        <v>9.690683759255235E-2</v>
      </c>
      <c r="M10" s="6">
        <f t="shared" ref="M10" si="15">E10*(1+(0.5*MAX(G10:I10)))+MAX(G10:I10)</f>
        <v>0.12927587705370125</v>
      </c>
      <c r="O10" s="130">
        <f t="shared" si="7"/>
        <v>7.8699252895656102E-2</v>
      </c>
      <c r="P10" s="130">
        <f t="shared" si="8"/>
        <v>9.690683759255235E-2</v>
      </c>
      <c r="Q10" s="130">
        <f t="shared" si="9"/>
        <v>0.12927587705370125</v>
      </c>
    </row>
    <row r="11" spans="1:17">
      <c r="A11" s="14" t="s">
        <v>60</v>
      </c>
      <c r="B11" s="8" t="s">
        <v>24</v>
      </c>
      <c r="C11" s="5">
        <v>1.1499999999999999</v>
      </c>
      <c r="D11" s="9">
        <v>28.872666666666667</v>
      </c>
      <c r="E11" s="6">
        <f t="shared" si="0"/>
        <v>3.9830058417419011E-2</v>
      </c>
      <c r="F11" s="6">
        <f t="shared" si="1"/>
        <v>4.2133563462559746E-2</v>
      </c>
      <c r="G11" s="6">
        <v>9.5000000000000001E-2</v>
      </c>
      <c r="H11" s="6">
        <v>0.127</v>
      </c>
      <c r="I11" s="6">
        <v>0.125</v>
      </c>
      <c r="J11" s="6">
        <f t="shared" si="2"/>
        <v>0.11566666666666665</v>
      </c>
      <c r="K11" s="6">
        <f t="shared" si="3"/>
        <v>0.1367219861922464</v>
      </c>
      <c r="L11" s="6">
        <f t="shared" si="4"/>
        <v>0.15780023012922639</v>
      </c>
      <c r="M11" s="6">
        <f t="shared" si="5"/>
        <v>0.16935926712692512</v>
      </c>
      <c r="O11" s="130">
        <f t="shared" si="7"/>
        <v>0.1367219861922464</v>
      </c>
      <c r="P11" s="130">
        <f t="shared" si="8"/>
        <v>0.15780023012922639</v>
      </c>
      <c r="Q11" s="130">
        <f t="shared" si="9"/>
        <v>0.16935926712692512</v>
      </c>
    </row>
    <row r="12" spans="1:17">
      <c r="A12" s="14" t="s">
        <v>61</v>
      </c>
      <c r="B12" s="8" t="s">
        <v>25</v>
      </c>
      <c r="C12" s="5">
        <v>2.08</v>
      </c>
      <c r="D12" s="9">
        <v>77.000999999999991</v>
      </c>
      <c r="E12" s="6">
        <f t="shared" si="0"/>
        <v>2.7012636199529882E-2</v>
      </c>
      <c r="F12" s="6">
        <f t="shared" si="1"/>
        <v>2.7922061618247389E-2</v>
      </c>
      <c r="G12" s="6">
        <v>0.09</v>
      </c>
      <c r="H12" s="6">
        <v>6.2E-2</v>
      </c>
      <c r="I12" s="6">
        <v>0.05</v>
      </c>
      <c r="J12" s="6">
        <f t="shared" si="2"/>
        <v>6.7333333333333342E-2</v>
      </c>
      <c r="K12" s="6">
        <f t="shared" si="3"/>
        <v>7.7687952104518121E-2</v>
      </c>
      <c r="L12" s="6">
        <f t="shared" si="4"/>
        <v>9.5255394951580724E-2</v>
      </c>
      <c r="M12" s="6">
        <f t="shared" si="5"/>
        <v>0.11822820482850872</v>
      </c>
      <c r="O12" s="130">
        <f t="shared" si="7"/>
        <v>7.7687952104518121E-2</v>
      </c>
      <c r="P12" s="130">
        <f t="shared" si="8"/>
        <v>9.5255394951580724E-2</v>
      </c>
      <c r="Q12" s="130">
        <f t="shared" si="9"/>
        <v>0.11822820482850872</v>
      </c>
    </row>
    <row r="13" spans="1:17">
      <c r="A13" s="14" t="s">
        <v>102</v>
      </c>
      <c r="B13" s="29" t="s">
        <v>103</v>
      </c>
      <c r="C13" s="30">
        <v>2.37</v>
      </c>
      <c r="D13" s="9">
        <v>75.124000000000009</v>
      </c>
      <c r="E13" s="6">
        <f t="shared" si="0"/>
        <v>3.1547840903040303E-2</v>
      </c>
      <c r="F13" s="6">
        <f t="shared" si="1"/>
        <v>3.2241893402907187E-2</v>
      </c>
      <c r="G13" s="6">
        <v>6.5000000000000002E-2</v>
      </c>
      <c r="H13" s="6">
        <v>2.7E-2</v>
      </c>
      <c r="I13" s="6">
        <v>0.04</v>
      </c>
      <c r="J13" s="6">
        <f t="shared" si="2"/>
        <v>4.4000000000000004E-2</v>
      </c>
      <c r="K13" s="6">
        <f t="shared" si="3"/>
        <v>5.8973736755231349E-2</v>
      </c>
      <c r="L13" s="6">
        <f t="shared" si="4"/>
        <v>7.6241893402907185E-2</v>
      </c>
      <c r="M13" s="6">
        <f t="shared" si="5"/>
        <v>9.7573145732389122E-2</v>
      </c>
      <c r="O13" s="130" t="str">
        <f t="shared" si="7"/>
        <v/>
      </c>
      <c r="P13" s="130">
        <f t="shared" si="8"/>
        <v>7.6241893402907185E-2</v>
      </c>
      <c r="Q13" s="130">
        <f t="shared" si="9"/>
        <v>9.7573145732389122E-2</v>
      </c>
    </row>
    <row r="14" spans="1:17">
      <c r="B14" s="28"/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O14" s="130" t="str">
        <f t="shared" ref="O14:Q14" si="16">IF((K14&gt;7%),K14,"")</f>
        <v/>
      </c>
      <c r="P14" s="130" t="str">
        <f t="shared" si="16"/>
        <v/>
      </c>
      <c r="Q14" s="130" t="str">
        <f t="shared" si="16"/>
        <v/>
      </c>
    </row>
    <row r="15" spans="1:17" ht="13.5" thickBot="1">
      <c r="A15" s="132" t="s">
        <v>63</v>
      </c>
      <c r="B15" s="15"/>
      <c r="C15" s="15" t="s">
        <v>99</v>
      </c>
      <c r="D15" s="133" t="s">
        <v>99</v>
      </c>
      <c r="E15" s="134">
        <f>MEDIAN(E7:E13)</f>
        <v>2.7012636199529882E-2</v>
      </c>
      <c r="F15" s="134">
        <f>MEDIAN(F7:F13)</f>
        <v>2.7922061618247389E-2</v>
      </c>
      <c r="G15" s="134">
        <f t="shared" ref="G15:J15" si="17">MEDIAN(G7:G13)</f>
        <v>9.5000000000000001E-2</v>
      </c>
      <c r="H15" s="134">
        <f t="shared" si="17"/>
        <v>0.06</v>
      </c>
      <c r="I15" s="134">
        <f t="shared" si="17"/>
        <v>5.8999999999999997E-2</v>
      </c>
      <c r="J15" s="134">
        <f t="shared" si="17"/>
        <v>7.2999999999999995E-2</v>
      </c>
      <c r="K15" s="134">
        <f>MEDIAN(K7:K13)</f>
        <v>7.8699252895656102E-2</v>
      </c>
      <c r="L15" s="134">
        <f>MEDIAN(L7:L13)</f>
        <v>9.690683759255235E-2</v>
      </c>
      <c r="M15" s="134">
        <f>MEDIAN(M7:M13)</f>
        <v>0.12158821700269011</v>
      </c>
      <c r="N15" s="15"/>
      <c r="O15" s="131">
        <f>IFERROR(MEDIAN(O7:O14),"")</f>
        <v>8.2421637671107675E-2</v>
      </c>
      <c r="P15" s="131">
        <f>IFERROR(MEDIAN(P7:P14),"")</f>
        <v>9.690683759255235E-2</v>
      </c>
      <c r="Q15" s="131">
        <f>IFERROR(MEDIAN(Q7:Q14),"")</f>
        <v>0.12158821700269011</v>
      </c>
    </row>
    <row r="17" spans="1:1">
      <c r="A17" s="12" t="s">
        <v>18</v>
      </c>
    </row>
    <row r="18" spans="1:1">
      <c r="A18" s="14" t="s">
        <v>57</v>
      </c>
    </row>
    <row r="19" spans="1:1">
      <c r="A19" s="14" t="s">
        <v>1353</v>
      </c>
    </row>
    <row r="20" spans="1:1">
      <c r="A20" s="14" t="s">
        <v>64</v>
      </c>
    </row>
    <row r="21" spans="1:1">
      <c r="A21" s="14" t="s">
        <v>68</v>
      </c>
    </row>
    <row r="22" spans="1:1">
      <c r="A22" s="14" t="s">
        <v>116</v>
      </c>
    </row>
    <row r="23" spans="1:1">
      <c r="A23" s="14" t="s">
        <v>69</v>
      </c>
    </row>
    <row r="24" spans="1:1">
      <c r="A24" s="14" t="s">
        <v>70</v>
      </c>
    </row>
    <row r="25" spans="1:1">
      <c r="A25" s="18" t="s">
        <v>71</v>
      </c>
    </row>
    <row r="26" spans="1:1">
      <c r="A26" s="14" t="s">
        <v>72</v>
      </c>
    </row>
    <row r="27" spans="1:1">
      <c r="A27" s="14" t="s">
        <v>73</v>
      </c>
    </row>
    <row r="28" spans="1:1">
      <c r="A28" s="14" t="s">
        <v>74</v>
      </c>
    </row>
    <row r="29" spans="1:1">
      <c r="A29" s="136" t="s">
        <v>1293</v>
      </c>
    </row>
    <row r="30" spans="1:1">
      <c r="A30" s="136" t="s">
        <v>1294</v>
      </c>
    </row>
    <row r="31" spans="1:1">
      <c r="A31" s="136" t="s">
        <v>1295</v>
      </c>
    </row>
    <row r="34" spans="1:17">
      <c r="A34" s="10" t="s">
        <v>1490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K35" s="442" t="s">
        <v>1286</v>
      </c>
      <c r="L35" s="442"/>
      <c r="M35" s="442"/>
      <c r="O35" s="443" t="s">
        <v>1287</v>
      </c>
      <c r="P35" s="443"/>
      <c r="Q35" s="443"/>
    </row>
    <row r="36" spans="1:17" ht="13.5" thickBot="1">
      <c r="C36" s="16" t="s">
        <v>4</v>
      </c>
      <c r="D36" s="28" t="s">
        <v>5</v>
      </c>
      <c r="E36" s="28" t="s">
        <v>6</v>
      </c>
      <c r="F36" s="28" t="s">
        <v>7</v>
      </c>
      <c r="G36" s="16" t="s">
        <v>8</v>
      </c>
      <c r="H36" s="28" t="s">
        <v>9</v>
      </c>
      <c r="I36" s="16" t="s">
        <v>10</v>
      </c>
      <c r="J36" s="16" t="s">
        <v>11</v>
      </c>
      <c r="K36" s="16" t="s">
        <v>12</v>
      </c>
      <c r="L36" s="16" t="s">
        <v>13</v>
      </c>
      <c r="M36" s="16" t="s">
        <v>19</v>
      </c>
      <c r="O36" s="126" t="s">
        <v>1288</v>
      </c>
      <c r="P36" s="126" t="s">
        <v>1289</v>
      </c>
      <c r="Q36" s="126" t="s">
        <v>267</v>
      </c>
    </row>
    <row r="37" spans="1:17" ht="51">
      <c r="A37" s="4" t="s">
        <v>0</v>
      </c>
      <c r="B37" s="2"/>
      <c r="C37" s="3" t="s">
        <v>14</v>
      </c>
      <c r="D37" s="4" t="s">
        <v>15</v>
      </c>
      <c r="E37" s="3" t="s">
        <v>16</v>
      </c>
      <c r="F37" s="3" t="s">
        <v>17</v>
      </c>
      <c r="G37" s="11" t="s">
        <v>115</v>
      </c>
      <c r="H37" s="11" t="s">
        <v>66</v>
      </c>
      <c r="I37" s="11" t="s">
        <v>67</v>
      </c>
      <c r="J37" s="11" t="s">
        <v>26</v>
      </c>
      <c r="K37" s="127" t="s">
        <v>1290</v>
      </c>
      <c r="L37" s="128" t="s">
        <v>1291</v>
      </c>
      <c r="M37" s="127" t="s">
        <v>1292</v>
      </c>
      <c r="N37" s="135">
        <v>7.0000000000000007E-2</v>
      </c>
      <c r="O37" s="127" t="s">
        <v>1290</v>
      </c>
      <c r="P37" s="128" t="s">
        <v>1291</v>
      </c>
      <c r="Q37" s="127" t="s">
        <v>1292</v>
      </c>
    </row>
    <row r="38" spans="1:17">
      <c r="O38" s="16"/>
      <c r="P38" s="129"/>
      <c r="Q38" s="16"/>
    </row>
    <row r="39" spans="1:17">
      <c r="A39" s="14" t="s">
        <v>58</v>
      </c>
      <c r="B39" s="8" t="str">
        <f t="shared" ref="B39:C41" si="18">B7</f>
        <v>ATO</v>
      </c>
      <c r="C39" s="5">
        <f t="shared" si="18"/>
        <v>2.1</v>
      </c>
      <c r="D39" s="9">
        <v>94.962333333333319</v>
      </c>
      <c r="E39" s="6">
        <f>C39/D39</f>
        <v>2.2114031177273799E-2</v>
      </c>
      <c r="F39" s="6">
        <f>E39*(1+(0.5*J39))</f>
        <v>2.2867751073232547E-2</v>
      </c>
      <c r="G39" s="6">
        <f t="shared" ref="G39:G45" si="19">G7</f>
        <v>7.4999999999999997E-2</v>
      </c>
      <c r="H39" s="6">
        <f t="shared" ref="H39:I45" si="20">H7</f>
        <v>6.4500000000000002E-2</v>
      </c>
      <c r="I39" s="6">
        <f t="shared" si="20"/>
        <v>6.5000000000000002E-2</v>
      </c>
      <c r="J39" s="6">
        <f>AVERAGE(G39:I39)</f>
        <v>6.8166666666666667E-2</v>
      </c>
      <c r="K39" s="6">
        <f t="shared" ref="K39:K45" si="21">E39*(1+(0.5*MIN(G39:I39)))+MIN(G39:I39)</f>
        <v>8.7327208682740881E-2</v>
      </c>
      <c r="L39" s="6">
        <f t="shared" ref="L39:L45" si="22">J39+F39</f>
        <v>9.1034417739899218E-2</v>
      </c>
      <c r="M39" s="6">
        <f t="shared" ref="M39:M45" si="23">E39*(1+(0.5*MAX(G39:I39)))+MAX(G39:I39)</f>
        <v>9.7943307346421565E-2</v>
      </c>
      <c r="O39" s="130">
        <f>IF((K39&gt;$N$5),K39,"")</f>
        <v>8.7327208682740881E-2</v>
      </c>
      <c r="P39" s="130">
        <f t="shared" ref="P39:P45" si="24">IF((L39&gt;$N$5),L39,"")</f>
        <v>9.1034417739899218E-2</v>
      </c>
      <c r="Q39" s="130">
        <f t="shared" ref="Q39:Q45" si="25">IF((M39&gt;$N$5),M39,"")</f>
        <v>9.7943307346421565E-2</v>
      </c>
    </row>
    <row r="40" spans="1:17">
      <c r="A40" s="14" t="s">
        <v>59</v>
      </c>
      <c r="B40" s="8" t="str">
        <f t="shared" si="18"/>
        <v>NJR</v>
      </c>
      <c r="C40" s="5">
        <f t="shared" si="18"/>
        <v>1.17</v>
      </c>
      <c r="D40" s="9">
        <v>46.794666666666672</v>
      </c>
      <c r="E40" s="6">
        <f t="shared" ref="E40:E45" si="26">C40/D40</f>
        <v>2.5002849327558693E-2</v>
      </c>
      <c r="F40" s="6">
        <f t="shared" ref="F40:F45" si="27">E40*(1+(0.5*J40))</f>
        <v>2.5940456177342145E-2</v>
      </c>
      <c r="G40" s="6">
        <f t="shared" si="19"/>
        <v>9.5000000000000001E-2</v>
      </c>
      <c r="H40" s="6">
        <f t="shared" si="20"/>
        <v>0.06</v>
      </c>
      <c r="I40" s="6">
        <f t="shared" si="20"/>
        <v>7.0000000000000007E-2</v>
      </c>
      <c r="J40" s="6">
        <f t="shared" ref="J40:J44" si="28">AVERAGE(G40:I40)</f>
        <v>7.4999999999999997E-2</v>
      </c>
      <c r="K40" s="6">
        <f t="shared" si="21"/>
        <v>8.5752934807385453E-2</v>
      </c>
      <c r="L40" s="6">
        <f t="shared" si="22"/>
        <v>0.10094045617734214</v>
      </c>
      <c r="M40" s="6">
        <f t="shared" si="23"/>
        <v>0.12119048467061773</v>
      </c>
      <c r="O40" s="130">
        <f t="shared" ref="O40:O45" si="29">IF((K40&gt;$N$5),K40,"")</f>
        <v>8.5752934807385453E-2</v>
      </c>
      <c r="P40" s="130">
        <f t="shared" si="24"/>
        <v>0.10094045617734214</v>
      </c>
      <c r="Q40" s="130">
        <f t="shared" si="25"/>
        <v>0.12119048467061773</v>
      </c>
    </row>
    <row r="41" spans="1:17">
      <c r="A41" s="14" t="s">
        <v>62</v>
      </c>
      <c r="B41" s="8" t="str">
        <f t="shared" si="18"/>
        <v>NWN</v>
      </c>
      <c r="C41" s="5">
        <f t="shared" si="18"/>
        <v>1.9</v>
      </c>
      <c r="D41" s="9">
        <v>65.327222222222218</v>
      </c>
      <c r="E41" s="6">
        <f t="shared" si="26"/>
        <v>2.9084353128268802E-2</v>
      </c>
      <c r="F41" s="6">
        <f t="shared" si="27"/>
        <v>3.0965141297230183E-2</v>
      </c>
      <c r="G41" s="6">
        <f t="shared" si="19"/>
        <v>0.30499999999999999</v>
      </c>
      <c r="H41" s="6">
        <f t="shared" si="20"/>
        <v>0.04</v>
      </c>
      <c r="I41" s="6">
        <f t="shared" si="20"/>
        <v>4.2999999999999997E-2</v>
      </c>
      <c r="J41" s="6">
        <f t="shared" si="28"/>
        <v>0.12933333333333333</v>
      </c>
      <c r="K41" s="6">
        <f t="shared" si="21"/>
        <v>6.966604019083418E-2</v>
      </c>
      <c r="L41" s="6">
        <f t="shared" si="22"/>
        <v>0.16029847463056351</v>
      </c>
      <c r="M41" s="6">
        <f t="shared" si="23"/>
        <v>0.33851971698032979</v>
      </c>
      <c r="O41" s="130" t="str">
        <f t="shared" si="29"/>
        <v/>
      </c>
      <c r="P41" s="130">
        <f t="shared" si="24"/>
        <v>0.16029847463056351</v>
      </c>
      <c r="Q41" s="130">
        <f t="shared" si="25"/>
        <v>0.33851971698032979</v>
      </c>
    </row>
    <row r="42" spans="1:17">
      <c r="A42" s="14" t="s">
        <v>104</v>
      </c>
      <c r="B42" s="29" t="s">
        <v>101</v>
      </c>
      <c r="C42" s="5">
        <f>C10</f>
        <v>1.84</v>
      </c>
      <c r="D42" s="9">
        <v>81.739333333333306</v>
      </c>
      <c r="E42" s="6">
        <f t="shared" ref="E42" si="30">C42/D42</f>
        <v>2.25105824205401E-2</v>
      </c>
      <c r="F42" s="6">
        <f t="shared" ref="F42" si="31">E42*(1+(0.5*J42))</f>
        <v>2.3332218678889814E-2</v>
      </c>
      <c r="G42" s="6">
        <f t="shared" si="19"/>
        <v>0.105</v>
      </c>
      <c r="H42" s="6">
        <f t="shared" si="20"/>
        <v>5.5E-2</v>
      </c>
      <c r="I42" s="6">
        <f t="shared" si="20"/>
        <v>5.8999999999999997E-2</v>
      </c>
      <c r="J42" s="6">
        <f t="shared" ref="J42" si="32">AVERAGE(G42:I42)</f>
        <v>7.2999999999999995E-2</v>
      </c>
      <c r="K42" s="6">
        <f t="shared" ref="K42" si="33">E42*(1+(0.5*MIN(G42:I42)))+MIN(G42:I42)</f>
        <v>7.8129623437104959E-2</v>
      </c>
      <c r="L42" s="6">
        <f t="shared" ref="L42" si="34">J42+F42</f>
        <v>9.6332218678889803E-2</v>
      </c>
      <c r="M42" s="6">
        <f t="shared" ref="M42" si="35">E42*(1+(0.5*MAX(G42:I42)))+MAX(G42:I42)</f>
        <v>0.12869238799761845</v>
      </c>
      <c r="O42" s="130">
        <f t="shared" si="29"/>
        <v>7.8129623437104959E-2</v>
      </c>
      <c r="P42" s="130">
        <f t="shared" si="24"/>
        <v>9.6332218678889803E-2</v>
      </c>
      <c r="Q42" s="130">
        <f t="shared" si="25"/>
        <v>0.12869238799761845</v>
      </c>
    </row>
    <row r="43" spans="1:17">
      <c r="A43" s="14" t="s">
        <v>60</v>
      </c>
      <c r="B43" s="8" t="str">
        <f>B11</f>
        <v>SJI</v>
      </c>
      <c r="C43" s="5">
        <f>C11</f>
        <v>1.1499999999999999</v>
      </c>
      <c r="D43" s="9">
        <v>31.321222222222225</v>
      </c>
      <c r="E43" s="6">
        <f t="shared" si="26"/>
        <v>3.6716319428431551E-2</v>
      </c>
      <c r="F43" s="6">
        <f t="shared" si="27"/>
        <v>3.8839746568709178E-2</v>
      </c>
      <c r="G43" s="6">
        <f t="shared" si="19"/>
        <v>9.5000000000000001E-2</v>
      </c>
      <c r="H43" s="6">
        <f t="shared" si="20"/>
        <v>0.127</v>
      </c>
      <c r="I43" s="6">
        <f t="shared" si="20"/>
        <v>0.125</v>
      </c>
      <c r="J43" s="6">
        <f t="shared" si="28"/>
        <v>0.11566666666666665</v>
      </c>
      <c r="K43" s="6">
        <f t="shared" si="21"/>
        <v>0.13346034460128206</v>
      </c>
      <c r="L43" s="6">
        <f t="shared" si="22"/>
        <v>0.15450641323537584</v>
      </c>
      <c r="M43" s="6">
        <f t="shared" si="23"/>
        <v>0.16604780571213695</v>
      </c>
      <c r="O43" s="130">
        <f t="shared" si="29"/>
        <v>0.13346034460128206</v>
      </c>
      <c r="P43" s="130">
        <f t="shared" si="24"/>
        <v>0.15450641323537584</v>
      </c>
      <c r="Q43" s="130">
        <f t="shared" si="25"/>
        <v>0.16604780571213695</v>
      </c>
    </row>
    <row r="44" spans="1:17">
      <c r="A44" s="14" t="s">
        <v>61</v>
      </c>
      <c r="B44" s="8" t="str">
        <f>B12</f>
        <v>SWX</v>
      </c>
      <c r="C44" s="5">
        <f>C12</f>
        <v>2.08</v>
      </c>
      <c r="D44" s="9">
        <v>79.338222222222214</v>
      </c>
      <c r="E44" s="6">
        <f t="shared" si="26"/>
        <v>2.6216871789413541E-2</v>
      </c>
      <c r="F44" s="6">
        <f t="shared" si="27"/>
        <v>2.7099506472990465E-2</v>
      </c>
      <c r="G44" s="6">
        <f t="shared" si="19"/>
        <v>0.09</v>
      </c>
      <c r="H44" s="6">
        <f t="shared" si="20"/>
        <v>6.2E-2</v>
      </c>
      <c r="I44" s="6">
        <f t="shared" si="20"/>
        <v>0.05</v>
      </c>
      <c r="J44" s="6">
        <f t="shared" si="28"/>
        <v>6.7333333333333342E-2</v>
      </c>
      <c r="K44" s="6">
        <f t="shared" si="21"/>
        <v>7.6872293584148876E-2</v>
      </c>
      <c r="L44" s="6">
        <f t="shared" si="22"/>
        <v>9.4432839806323804E-2</v>
      </c>
      <c r="M44" s="6">
        <f t="shared" si="23"/>
        <v>0.11739663101993714</v>
      </c>
      <c r="O44" s="130">
        <f t="shared" si="29"/>
        <v>7.6872293584148876E-2</v>
      </c>
      <c r="P44" s="130">
        <f t="shared" si="24"/>
        <v>9.4432839806323804E-2</v>
      </c>
      <c r="Q44" s="130">
        <f t="shared" si="25"/>
        <v>0.11739663101993714</v>
      </c>
    </row>
    <row r="45" spans="1:17">
      <c r="A45" s="14" t="s">
        <v>102</v>
      </c>
      <c r="B45" s="8" t="str">
        <f>B13</f>
        <v>SR</v>
      </c>
      <c r="C45" s="5">
        <f>C13</f>
        <v>2.37</v>
      </c>
      <c r="D45" s="9">
        <v>75.429333333333346</v>
      </c>
      <c r="E45" s="6">
        <f t="shared" si="26"/>
        <v>3.1420137170331611E-2</v>
      </c>
      <c r="F45" s="6">
        <f t="shared" si="27"/>
        <v>3.2111380188078908E-2</v>
      </c>
      <c r="G45" s="6">
        <f t="shared" si="19"/>
        <v>6.5000000000000002E-2</v>
      </c>
      <c r="H45" s="6">
        <f t="shared" si="20"/>
        <v>2.7E-2</v>
      </c>
      <c r="I45" s="6">
        <f t="shared" si="20"/>
        <v>0.04</v>
      </c>
      <c r="J45" s="6">
        <f>AVERAGE(G45:I45)</f>
        <v>4.4000000000000004E-2</v>
      </c>
      <c r="K45" s="6">
        <f t="shared" si="21"/>
        <v>5.8844309022131086E-2</v>
      </c>
      <c r="L45" s="6">
        <f t="shared" si="22"/>
        <v>7.611138018807892E-2</v>
      </c>
      <c r="M45" s="6">
        <f t="shared" si="23"/>
        <v>9.7441291628367399E-2</v>
      </c>
      <c r="O45" s="130" t="str">
        <f t="shared" si="29"/>
        <v/>
      </c>
      <c r="P45" s="130">
        <f t="shared" si="24"/>
        <v>7.611138018807892E-2</v>
      </c>
      <c r="Q45" s="130">
        <f t="shared" si="25"/>
        <v>9.7441291628367399E-2</v>
      </c>
    </row>
    <row r="46" spans="1:17">
      <c r="B46" s="28"/>
      <c r="C46" s="5"/>
      <c r="D46" s="5"/>
      <c r="E46" s="6"/>
      <c r="F46" s="6"/>
      <c r="G46" s="6"/>
      <c r="H46" s="6"/>
      <c r="I46" s="6"/>
      <c r="J46" s="6"/>
      <c r="K46" s="6"/>
      <c r="L46" s="6"/>
      <c r="M46" s="6"/>
      <c r="O46" s="130" t="str">
        <f t="shared" ref="O46" si="36">IF((K46&gt;7%),K46,"")</f>
        <v/>
      </c>
      <c r="P46" s="130" t="str">
        <f t="shared" ref="P46" si="37">IF((L46&gt;7%),L46,"")</f>
        <v/>
      </c>
      <c r="Q46" s="130" t="str">
        <f t="shared" ref="Q46" si="38">IF((M46&gt;7%),M46,"")</f>
        <v/>
      </c>
    </row>
    <row r="47" spans="1:17" ht="13.5" thickBot="1">
      <c r="A47" s="132" t="s">
        <v>63</v>
      </c>
      <c r="B47" s="15"/>
      <c r="C47" s="15" t="s">
        <v>99</v>
      </c>
      <c r="D47" s="133" t="s">
        <v>99</v>
      </c>
      <c r="E47" s="134">
        <f>MEDIAN(E39:E45)</f>
        <v>2.6216871789413541E-2</v>
      </c>
      <c r="F47" s="134">
        <f>MEDIAN(F39:F45)</f>
        <v>2.7099506472990465E-2</v>
      </c>
      <c r="G47" s="134">
        <f t="shared" ref="G47:I47" si="39">MEDIAN(G39:G45)</f>
        <v>9.5000000000000001E-2</v>
      </c>
      <c r="H47" s="134">
        <f t="shared" si="39"/>
        <v>0.06</v>
      </c>
      <c r="I47" s="134">
        <f t="shared" si="39"/>
        <v>5.8999999999999997E-2</v>
      </c>
      <c r="J47" s="134">
        <f>MEDIAN(J39:J45)</f>
        <v>7.2999999999999995E-2</v>
      </c>
      <c r="K47" s="134">
        <f>MEDIAN(K39:K45)</f>
        <v>7.8129623437104959E-2</v>
      </c>
      <c r="L47" s="134">
        <f>MEDIAN(L39:L45)</f>
        <v>9.6332218678889803E-2</v>
      </c>
      <c r="M47" s="134">
        <f>MEDIAN(M39:M45)</f>
        <v>0.12119048467061773</v>
      </c>
      <c r="N47" s="15"/>
      <c r="O47" s="131">
        <f>IFERROR(MEDIAN(O39:O46),"")</f>
        <v>8.5752934807385453E-2</v>
      </c>
      <c r="P47" s="131">
        <f>IFERROR(MEDIAN(P39:P46),"")</f>
        <v>9.6332218678889803E-2</v>
      </c>
      <c r="Q47" s="131">
        <f>IFERROR(MEDIAN(Q39:Q46),"")</f>
        <v>0.12119048467061773</v>
      </c>
    </row>
    <row r="49" spans="1:1">
      <c r="A49" s="12" t="s">
        <v>18</v>
      </c>
    </row>
    <row r="50" spans="1:1">
      <c r="A50" s="14" t="s">
        <v>57</v>
      </c>
    </row>
    <row r="51" spans="1:1">
      <c r="A51" s="14" t="s">
        <v>1354</v>
      </c>
    </row>
    <row r="52" spans="1:1">
      <c r="A52" s="14" t="s">
        <v>64</v>
      </c>
    </row>
    <row r="53" spans="1:1">
      <c r="A53" s="14" t="s">
        <v>68</v>
      </c>
    </row>
    <row r="54" spans="1:1">
      <c r="A54" s="14" t="s">
        <v>116</v>
      </c>
    </row>
    <row r="55" spans="1:1">
      <c r="A55" s="14" t="s">
        <v>69</v>
      </c>
    </row>
    <row r="56" spans="1:1">
      <c r="A56" s="14" t="s">
        <v>70</v>
      </c>
    </row>
    <row r="57" spans="1:1">
      <c r="A57" s="18" t="s">
        <v>71</v>
      </c>
    </row>
    <row r="58" spans="1:1">
      <c r="A58" s="14" t="s">
        <v>72</v>
      </c>
    </row>
    <row r="59" spans="1:1">
      <c r="A59" s="14" t="s">
        <v>73</v>
      </c>
    </row>
    <row r="60" spans="1:1">
      <c r="A60" s="14" t="s">
        <v>74</v>
      </c>
    </row>
    <row r="61" spans="1:1">
      <c r="A61" s="136" t="s">
        <v>1293</v>
      </c>
    </row>
    <row r="62" spans="1:1">
      <c r="A62" s="136" t="s">
        <v>1294</v>
      </c>
    </row>
    <row r="63" spans="1:1">
      <c r="A63" s="136" t="s">
        <v>1295</v>
      </c>
    </row>
    <row r="64" spans="1:1">
      <c r="A64" s="17"/>
    </row>
    <row r="66" spans="1:17">
      <c r="A66" s="10" t="s">
        <v>1491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K67" s="442" t="s">
        <v>1286</v>
      </c>
      <c r="L67" s="442"/>
      <c r="M67" s="442"/>
      <c r="O67" s="443" t="s">
        <v>1287</v>
      </c>
      <c r="P67" s="443"/>
      <c r="Q67" s="443"/>
    </row>
    <row r="68" spans="1:17" ht="13.5" thickBot="1">
      <c r="C68" s="16" t="s">
        <v>4</v>
      </c>
      <c r="D68" s="28" t="s">
        <v>5</v>
      </c>
      <c r="E68" s="28" t="s">
        <v>6</v>
      </c>
      <c r="F68" s="28" t="s">
        <v>7</v>
      </c>
      <c r="G68" s="16" t="s">
        <v>8</v>
      </c>
      <c r="H68" s="28" t="s">
        <v>9</v>
      </c>
      <c r="I68" s="16" t="s">
        <v>10</v>
      </c>
      <c r="J68" s="16" t="s">
        <v>11</v>
      </c>
      <c r="K68" s="16" t="s">
        <v>12</v>
      </c>
      <c r="L68" s="16" t="s">
        <v>13</v>
      </c>
      <c r="M68" s="16" t="s">
        <v>19</v>
      </c>
      <c r="O68" s="126" t="s">
        <v>1288</v>
      </c>
      <c r="P68" s="126" t="s">
        <v>1289</v>
      </c>
      <c r="Q68" s="126" t="s">
        <v>267</v>
      </c>
    </row>
    <row r="69" spans="1:17" ht="51">
      <c r="A69" s="4" t="s">
        <v>0</v>
      </c>
      <c r="B69" s="2"/>
      <c r="C69" s="3" t="s">
        <v>14</v>
      </c>
      <c r="D69" s="4" t="s">
        <v>15</v>
      </c>
      <c r="E69" s="3" t="s">
        <v>16</v>
      </c>
      <c r="F69" s="3" t="s">
        <v>17</v>
      </c>
      <c r="G69" s="11" t="s">
        <v>115</v>
      </c>
      <c r="H69" s="11" t="s">
        <v>66</v>
      </c>
      <c r="I69" s="11" t="s">
        <v>67</v>
      </c>
      <c r="J69" s="11" t="s">
        <v>26</v>
      </c>
      <c r="K69" s="127" t="s">
        <v>1290</v>
      </c>
      <c r="L69" s="128" t="s">
        <v>1291</v>
      </c>
      <c r="M69" s="127" t="s">
        <v>1292</v>
      </c>
      <c r="N69" s="135">
        <v>7.0000000000000007E-2</v>
      </c>
      <c r="O69" s="127" t="s">
        <v>1290</v>
      </c>
      <c r="P69" s="128" t="s">
        <v>1291</v>
      </c>
      <c r="Q69" s="127" t="s">
        <v>1292</v>
      </c>
    </row>
    <row r="70" spans="1:17">
      <c r="O70" s="16"/>
      <c r="P70" s="129"/>
      <c r="Q70" s="16"/>
    </row>
    <row r="71" spans="1:17">
      <c r="A71" s="14" t="s">
        <v>58</v>
      </c>
      <c r="B71" s="8" t="str">
        <f t="shared" ref="B71:C73" si="40">B39</f>
        <v>ATO</v>
      </c>
      <c r="C71" s="5">
        <f t="shared" si="40"/>
        <v>2.1</v>
      </c>
      <c r="D71" s="9">
        <v>92.683611111111063</v>
      </c>
      <c r="E71" s="6">
        <f t="shared" ref="E71:E77" si="41">C71/D71</f>
        <v>2.2657727453912816E-2</v>
      </c>
      <c r="F71" s="6">
        <f t="shared" ref="F71:F77" si="42">E71*(1+(0.5*J71))</f>
        <v>2.3429978331300342E-2</v>
      </c>
      <c r="G71" s="6">
        <f t="shared" ref="G71:I77" si="43">G39</f>
        <v>7.4999999999999997E-2</v>
      </c>
      <c r="H71" s="6">
        <f t="shared" si="43"/>
        <v>6.4500000000000002E-2</v>
      </c>
      <c r="I71" s="6">
        <f t="shared" si="43"/>
        <v>6.5000000000000002E-2</v>
      </c>
      <c r="J71" s="6">
        <f t="shared" ref="J71:J77" si="44">AVERAGE(G71:I71)</f>
        <v>6.8166666666666667E-2</v>
      </c>
      <c r="K71" s="6">
        <f t="shared" ref="K71:K77" si="45">E71*(1+(0.5*MIN(G71:I71)))+MIN(G71:I71)</f>
        <v>8.7888439164301502E-2</v>
      </c>
      <c r="L71" s="6">
        <f t="shared" ref="L71:L77" si="46">J71+F71</f>
        <v>9.1596644997967006E-2</v>
      </c>
      <c r="M71" s="6">
        <f t="shared" ref="M71:M77" si="47">E71*(1+(0.5*MAX(G71:I71)))+MAX(G71:I71)</f>
        <v>9.8507392233434549E-2</v>
      </c>
      <c r="O71" s="130">
        <f>IF((K71&gt;$N$5),K71,"")</f>
        <v>8.7888439164301502E-2</v>
      </c>
      <c r="P71" s="130">
        <f t="shared" ref="P71:P77" si="48">IF((L71&gt;$N$5),L71,"")</f>
        <v>9.1596644997967006E-2</v>
      </c>
      <c r="Q71" s="130">
        <f t="shared" ref="Q71:Q77" si="49">IF((M71&gt;$N$5),M71,"")</f>
        <v>9.8507392233434549E-2</v>
      </c>
    </row>
    <row r="72" spans="1:17">
      <c r="A72" s="14" t="s">
        <v>59</v>
      </c>
      <c r="B72" s="8" t="str">
        <f t="shared" si="40"/>
        <v>NJR</v>
      </c>
      <c r="C72" s="5">
        <f t="shared" si="40"/>
        <v>1.17</v>
      </c>
      <c r="D72" s="9">
        <v>45.916499999999999</v>
      </c>
      <c r="E72" s="6">
        <f t="shared" si="41"/>
        <v>2.5481036228806635E-2</v>
      </c>
      <c r="F72" s="6">
        <f t="shared" si="42"/>
        <v>2.6436575087386886E-2</v>
      </c>
      <c r="G72" s="6">
        <f t="shared" si="43"/>
        <v>9.5000000000000001E-2</v>
      </c>
      <c r="H72" s="6">
        <f t="shared" si="43"/>
        <v>0.06</v>
      </c>
      <c r="I72" s="6">
        <f t="shared" si="43"/>
        <v>7.0000000000000007E-2</v>
      </c>
      <c r="J72" s="6">
        <f t="shared" si="44"/>
        <v>7.4999999999999997E-2</v>
      </c>
      <c r="K72" s="6">
        <f t="shared" si="45"/>
        <v>8.6245467315670829E-2</v>
      </c>
      <c r="L72" s="6">
        <f t="shared" si="46"/>
        <v>0.10143657508738688</v>
      </c>
      <c r="M72" s="6">
        <f t="shared" si="47"/>
        <v>0.12169138544967495</v>
      </c>
      <c r="O72" s="130">
        <f t="shared" ref="O72:O77" si="50">IF((K72&gt;$N$5),K72,"")</f>
        <v>8.6245467315670829E-2</v>
      </c>
      <c r="P72" s="130">
        <f t="shared" si="48"/>
        <v>0.10143657508738688</v>
      </c>
      <c r="Q72" s="130">
        <f t="shared" si="49"/>
        <v>0.12169138544967495</v>
      </c>
    </row>
    <row r="73" spans="1:17">
      <c r="A73" s="14" t="s">
        <v>62</v>
      </c>
      <c r="B73" s="8" t="str">
        <f t="shared" si="40"/>
        <v>NWN</v>
      </c>
      <c r="C73" s="5">
        <f t="shared" si="40"/>
        <v>1.9</v>
      </c>
      <c r="D73" s="9">
        <v>64.275555555555542</v>
      </c>
      <c r="E73" s="6">
        <f t="shared" si="41"/>
        <v>2.9560226801272304E-2</v>
      </c>
      <c r="F73" s="6">
        <f t="shared" si="42"/>
        <v>3.1471788134421246E-2</v>
      </c>
      <c r="G73" s="6">
        <f t="shared" si="43"/>
        <v>0.30499999999999999</v>
      </c>
      <c r="H73" s="6">
        <f t="shared" si="43"/>
        <v>0.04</v>
      </c>
      <c r="I73" s="6">
        <f t="shared" si="43"/>
        <v>4.2999999999999997E-2</v>
      </c>
      <c r="J73" s="6">
        <f t="shared" si="44"/>
        <v>0.12933333333333333</v>
      </c>
      <c r="K73" s="6">
        <f t="shared" si="45"/>
        <v>7.0151431337297759E-2</v>
      </c>
      <c r="L73" s="6">
        <f t="shared" si="46"/>
        <v>0.16080512146775458</v>
      </c>
      <c r="M73" s="6">
        <f t="shared" si="47"/>
        <v>0.33906816138846635</v>
      </c>
      <c r="O73" s="130">
        <f t="shared" si="50"/>
        <v>7.0151431337297759E-2</v>
      </c>
      <c r="P73" s="130">
        <f t="shared" si="48"/>
        <v>0.16080512146775458</v>
      </c>
      <c r="Q73" s="130">
        <f t="shared" si="49"/>
        <v>0.33906816138846635</v>
      </c>
    </row>
    <row r="74" spans="1:17">
      <c r="A74" s="14" t="s">
        <v>104</v>
      </c>
      <c r="B74" s="29" t="s">
        <v>101</v>
      </c>
      <c r="C74" s="5">
        <f>C42</f>
        <v>1.84</v>
      </c>
      <c r="D74" s="9">
        <v>78.881666666666646</v>
      </c>
      <c r="E74" s="6">
        <f t="shared" si="41"/>
        <v>2.3326079148091029E-2</v>
      </c>
      <c r="F74" s="6">
        <f t="shared" si="42"/>
        <v>2.4177481036996351E-2</v>
      </c>
      <c r="G74" s="6">
        <f t="shared" si="43"/>
        <v>0.105</v>
      </c>
      <c r="H74" s="6">
        <f t="shared" si="43"/>
        <v>5.5E-2</v>
      </c>
      <c r="I74" s="6">
        <f t="shared" si="43"/>
        <v>5.8999999999999997E-2</v>
      </c>
      <c r="J74" s="6">
        <f t="shared" si="44"/>
        <v>7.2999999999999995E-2</v>
      </c>
      <c r="K74" s="6">
        <f t="shared" si="45"/>
        <v>7.8967546324663532E-2</v>
      </c>
      <c r="L74" s="6">
        <f t="shared" si="46"/>
        <v>9.7177481036996347E-2</v>
      </c>
      <c r="M74" s="6">
        <f t="shared" si="47"/>
        <v>0.1295506983033658</v>
      </c>
      <c r="O74" s="130">
        <f t="shared" si="50"/>
        <v>7.8967546324663532E-2</v>
      </c>
      <c r="P74" s="130">
        <f t="shared" si="48"/>
        <v>9.7177481036996347E-2</v>
      </c>
      <c r="Q74" s="130">
        <f t="shared" si="49"/>
        <v>0.1295506983033658</v>
      </c>
    </row>
    <row r="75" spans="1:17">
      <c r="A75" s="14" t="s">
        <v>60</v>
      </c>
      <c r="B75" s="8" t="str">
        <f>B43</f>
        <v>SJI</v>
      </c>
      <c r="C75" s="5">
        <f>C43</f>
        <v>1.1499999999999999</v>
      </c>
      <c r="D75" s="9">
        <v>32.276333333333341</v>
      </c>
      <c r="E75" s="6">
        <f t="shared" si="41"/>
        <v>3.5629821644342079E-2</v>
      </c>
      <c r="F75" s="6">
        <f t="shared" si="42"/>
        <v>3.769041299610653E-2</v>
      </c>
      <c r="G75" s="6">
        <f t="shared" si="43"/>
        <v>9.5000000000000001E-2</v>
      </c>
      <c r="H75" s="6">
        <f t="shared" si="43"/>
        <v>0.127</v>
      </c>
      <c r="I75" s="6">
        <f t="shared" si="43"/>
        <v>0.125</v>
      </c>
      <c r="J75" s="6">
        <f t="shared" si="44"/>
        <v>0.11566666666666665</v>
      </c>
      <c r="K75" s="6">
        <f t="shared" si="45"/>
        <v>0.13232223817244834</v>
      </c>
      <c r="L75" s="6">
        <f t="shared" si="46"/>
        <v>0.15335707966277318</v>
      </c>
      <c r="M75" s="6">
        <f t="shared" si="47"/>
        <v>0.16489231531875781</v>
      </c>
      <c r="O75" s="130">
        <f t="shared" si="50"/>
        <v>0.13232223817244834</v>
      </c>
      <c r="P75" s="130">
        <f t="shared" si="48"/>
        <v>0.15335707966277318</v>
      </c>
      <c r="Q75" s="130">
        <f t="shared" si="49"/>
        <v>0.16489231531875781</v>
      </c>
    </row>
    <row r="76" spans="1:17">
      <c r="A76" s="14" t="s">
        <v>61</v>
      </c>
      <c r="B76" s="8" t="str">
        <f>B44</f>
        <v>SWX</v>
      </c>
      <c r="C76" s="5">
        <f>C44</f>
        <v>2.08</v>
      </c>
      <c r="D76" s="9">
        <v>78.3918888888889</v>
      </c>
      <c r="E76" s="6">
        <f t="shared" si="41"/>
        <v>2.6533357334304709E-2</v>
      </c>
      <c r="F76" s="6">
        <f t="shared" si="42"/>
        <v>2.7426647031226305E-2</v>
      </c>
      <c r="G76" s="6">
        <f t="shared" si="43"/>
        <v>0.09</v>
      </c>
      <c r="H76" s="6">
        <f t="shared" si="43"/>
        <v>6.2E-2</v>
      </c>
      <c r="I76" s="6">
        <f t="shared" si="43"/>
        <v>0.05</v>
      </c>
      <c r="J76" s="6">
        <f t="shared" si="44"/>
        <v>6.7333333333333342E-2</v>
      </c>
      <c r="K76" s="6">
        <f t="shared" si="45"/>
        <v>7.7196691267662321E-2</v>
      </c>
      <c r="L76" s="6">
        <f t="shared" si="46"/>
        <v>9.4759980364559654E-2</v>
      </c>
      <c r="M76" s="6">
        <f t="shared" si="47"/>
        <v>0.11772735841434842</v>
      </c>
      <c r="O76" s="130">
        <f t="shared" si="50"/>
        <v>7.7196691267662321E-2</v>
      </c>
      <c r="P76" s="130">
        <f t="shared" si="48"/>
        <v>9.4759980364559654E-2</v>
      </c>
      <c r="Q76" s="130">
        <f t="shared" si="49"/>
        <v>0.11772735841434842</v>
      </c>
    </row>
    <row r="77" spans="1:17">
      <c r="A77" s="14" t="s">
        <v>102</v>
      </c>
      <c r="B77" s="8" t="str">
        <f>B45</f>
        <v>SR</v>
      </c>
      <c r="C77" s="5">
        <f>C45</f>
        <v>2.37</v>
      </c>
      <c r="D77" s="9">
        <v>73.894944444444448</v>
      </c>
      <c r="E77" s="6">
        <f t="shared" si="41"/>
        <v>3.2072559466930904E-2</v>
      </c>
      <c r="F77" s="6">
        <f t="shared" si="42"/>
        <v>3.2778155775203384E-2</v>
      </c>
      <c r="G77" s="6">
        <f t="shared" si="43"/>
        <v>6.5000000000000002E-2</v>
      </c>
      <c r="H77" s="6">
        <f t="shared" si="43"/>
        <v>2.7E-2</v>
      </c>
      <c r="I77" s="6">
        <f t="shared" si="43"/>
        <v>0.04</v>
      </c>
      <c r="J77" s="6">
        <f t="shared" si="44"/>
        <v>4.4000000000000004E-2</v>
      </c>
      <c r="K77" s="6">
        <f t="shared" si="45"/>
        <v>5.9505539019734474E-2</v>
      </c>
      <c r="L77" s="6">
        <f t="shared" si="46"/>
        <v>7.6778155775203388E-2</v>
      </c>
      <c r="M77" s="6">
        <f t="shared" si="47"/>
        <v>9.8114917649606156E-2</v>
      </c>
      <c r="O77" s="130" t="str">
        <f t="shared" si="50"/>
        <v/>
      </c>
      <c r="P77" s="130">
        <f t="shared" si="48"/>
        <v>7.6778155775203388E-2</v>
      </c>
      <c r="Q77" s="130">
        <f t="shared" si="49"/>
        <v>9.8114917649606156E-2</v>
      </c>
    </row>
    <row r="78" spans="1:17">
      <c r="B78" s="28"/>
      <c r="C78" s="5"/>
      <c r="D78" s="5"/>
      <c r="E78" s="6"/>
      <c r="F78" s="6"/>
      <c r="G78" s="6"/>
      <c r="H78" s="6"/>
      <c r="I78" s="6"/>
      <c r="J78" s="6"/>
      <c r="K78" s="6"/>
      <c r="L78" s="6"/>
      <c r="M78" s="6"/>
      <c r="O78" s="130" t="str">
        <f t="shared" ref="O78" si="51">IF((K78&gt;7%),K78,"")</f>
        <v/>
      </c>
      <c r="P78" s="130" t="str">
        <f t="shared" ref="P78" si="52">IF((L78&gt;7%),L78,"")</f>
        <v/>
      </c>
      <c r="Q78" s="130" t="str">
        <f t="shared" ref="Q78" si="53">IF((M78&gt;7%),M78,"")</f>
        <v/>
      </c>
    </row>
    <row r="79" spans="1:17" ht="13.5" thickBot="1">
      <c r="A79" s="132" t="s">
        <v>63</v>
      </c>
      <c r="B79" s="15"/>
      <c r="C79" s="15" t="s">
        <v>99</v>
      </c>
      <c r="D79" s="133" t="s">
        <v>99</v>
      </c>
      <c r="E79" s="134">
        <f>MEDIAN(E71:E77)</f>
        <v>2.6533357334304709E-2</v>
      </c>
      <c r="F79" s="134">
        <f>MEDIAN(F71:F77)</f>
        <v>2.7426647031226305E-2</v>
      </c>
      <c r="G79" s="134">
        <f t="shared" ref="G79:I79" si="54">MEDIAN(G71:G77)</f>
        <v>9.5000000000000001E-2</v>
      </c>
      <c r="H79" s="134">
        <f t="shared" si="54"/>
        <v>0.06</v>
      </c>
      <c r="I79" s="134">
        <f t="shared" si="54"/>
        <v>5.8999999999999997E-2</v>
      </c>
      <c r="J79" s="134">
        <f>MEDIAN(J71:J77)</f>
        <v>7.2999999999999995E-2</v>
      </c>
      <c r="K79" s="134">
        <f>MEDIAN(K71:K77)</f>
        <v>7.8967546324663532E-2</v>
      </c>
      <c r="L79" s="134">
        <f>MEDIAN(L71:L77)</f>
        <v>9.7177481036996347E-2</v>
      </c>
      <c r="M79" s="134">
        <f>MEDIAN(M71:M77)</f>
        <v>0.12169138544967495</v>
      </c>
      <c r="N79" s="15"/>
      <c r="O79" s="131">
        <f>IFERROR(MEDIAN(O71:O78),"")</f>
        <v>8.260650682016718E-2</v>
      </c>
      <c r="P79" s="131">
        <f>IFERROR(MEDIAN(P71:P78),"")</f>
        <v>9.7177481036996347E-2</v>
      </c>
      <c r="Q79" s="131">
        <f>IFERROR(MEDIAN(Q71:Q78),"")</f>
        <v>0.12169138544967495</v>
      </c>
    </row>
    <row r="81" spans="1:1">
      <c r="A81" s="12" t="s">
        <v>18</v>
      </c>
    </row>
    <row r="82" spans="1:1">
      <c r="A82" s="14" t="s">
        <v>57</v>
      </c>
    </row>
    <row r="83" spans="1:1">
      <c r="A83" s="14" t="s">
        <v>1355</v>
      </c>
    </row>
    <row r="84" spans="1:1">
      <c r="A84" s="14" t="s">
        <v>64</v>
      </c>
    </row>
    <row r="85" spans="1:1">
      <c r="A85" s="14" t="s">
        <v>68</v>
      </c>
    </row>
    <row r="86" spans="1:1">
      <c r="A86" s="14" t="s">
        <v>116</v>
      </c>
    </row>
    <row r="87" spans="1:1">
      <c r="A87" s="14" t="s">
        <v>69</v>
      </c>
    </row>
    <row r="88" spans="1:1">
      <c r="A88" s="14" t="s">
        <v>70</v>
      </c>
    </row>
    <row r="89" spans="1:1">
      <c r="A89" s="18" t="s">
        <v>71</v>
      </c>
    </row>
    <row r="90" spans="1:1">
      <c r="A90" s="14" t="s">
        <v>72</v>
      </c>
    </row>
    <row r="91" spans="1:1">
      <c r="A91" s="14" t="s">
        <v>73</v>
      </c>
    </row>
    <row r="92" spans="1:1">
      <c r="A92" s="14" t="s">
        <v>74</v>
      </c>
    </row>
    <row r="93" spans="1:1">
      <c r="A93" s="136" t="s">
        <v>1293</v>
      </c>
    </row>
    <row r="94" spans="1:1">
      <c r="A94" s="136" t="s">
        <v>1294</v>
      </c>
    </row>
    <row r="95" spans="1:1">
      <c r="A95" s="136" t="s">
        <v>1295</v>
      </c>
    </row>
  </sheetData>
  <mergeCells count="6">
    <mergeCell ref="K3:M3"/>
    <mergeCell ref="O3:Q3"/>
    <mergeCell ref="O35:Q35"/>
    <mergeCell ref="K35:M35"/>
    <mergeCell ref="K67:M67"/>
    <mergeCell ref="O67:Q67"/>
  </mergeCells>
  <conditionalFormatting sqref="A15 A7:B13 D7:D13 D38:D45 A38:B45">
    <cfRule type="expression" dxfId="22" priority="20">
      <formula>"(blank)"</formula>
    </cfRule>
  </conditionalFormatting>
  <conditionalFormatting sqref="A15 A7:B13 D7:D13 A38:B45 D38:D45">
    <cfRule type="expression" dxfId="21" priority="26">
      <formula>#REF!</formula>
    </cfRule>
  </conditionalFormatting>
  <conditionalFormatting sqref="D70:D77 A70:B70 A71:A77">
    <cfRule type="expression" dxfId="20" priority="7">
      <formula>"(blank)"</formula>
    </cfRule>
  </conditionalFormatting>
  <conditionalFormatting sqref="A70:B70 D70:D77 A71:A77">
    <cfRule type="expression" dxfId="19" priority="8">
      <formula>#REF!</formula>
    </cfRule>
  </conditionalFormatting>
  <conditionalFormatting sqref="B71:B77">
    <cfRule type="expression" dxfId="18" priority="5">
      <formula>"(blank)"</formula>
    </cfRule>
  </conditionalFormatting>
  <conditionalFormatting sqref="B71:B77">
    <cfRule type="expression" dxfId="17" priority="6">
      <formula>#REF!</formula>
    </cfRule>
  </conditionalFormatting>
  <conditionalFormatting sqref="A47">
    <cfRule type="expression" dxfId="16" priority="3">
      <formula>"(blank)"</formula>
    </cfRule>
  </conditionalFormatting>
  <conditionalFormatting sqref="A47">
    <cfRule type="expression" dxfId="15" priority="4">
      <formula>#REF!</formula>
    </cfRule>
  </conditionalFormatting>
  <conditionalFormatting sqref="A79">
    <cfRule type="expression" dxfId="14" priority="1">
      <formula>"(blank)"</formula>
    </cfRule>
  </conditionalFormatting>
  <conditionalFormatting sqref="A79">
    <cfRule type="expression" dxfId="13" priority="2">
      <formula>#REF!</formula>
    </cfRule>
  </conditionalFormatting>
  <printOptions horizontalCentered="1"/>
  <pageMargins left="0.7" right="0.7" top="0.75" bottom="0.75" header="0.3" footer="0.3"/>
  <pageSetup scale="65" fitToHeight="3" orientation="landscape" useFirstPageNumber="1" r:id="rId1"/>
  <headerFooter>
    <oddHeader>&amp;RDocket No. UG-19____
Cascade Natural Gas Corp.
Exhibit No.___(AEB-2)
Schedule 3
Page &amp;P of 3</oddHeader>
  </headerFooter>
  <rowBreaks count="2" manualBreakCount="2">
    <brk id="32" max="16383" man="1"/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G20"/>
  <sheetViews>
    <sheetView zoomScaleNormal="100" zoomScaleSheetLayoutView="100" zoomScalePageLayoutView="70" workbookViewId="0">
      <selection sqref="A1:XFD1048576"/>
    </sheetView>
  </sheetViews>
  <sheetFormatPr defaultColWidth="10.28515625" defaultRowHeight="12.75"/>
  <cols>
    <col min="1" max="1" width="4.5703125" style="56" customWidth="1"/>
    <col min="2" max="2" width="29.140625" style="56" customWidth="1"/>
    <col min="3" max="3" width="13.140625" style="42" customWidth="1"/>
    <col min="4" max="4" width="16.5703125" style="42" customWidth="1"/>
    <col min="5" max="7" width="10.85546875" style="56" bestFit="1" customWidth="1"/>
    <col min="8" max="16384" width="10.28515625" style="56"/>
  </cols>
  <sheetData>
    <row r="2" spans="2:7">
      <c r="B2" s="443" t="s">
        <v>1312</v>
      </c>
      <c r="C2" s="443"/>
      <c r="D2" s="443"/>
      <c r="E2" s="55"/>
      <c r="F2" s="55"/>
      <c r="G2" s="55"/>
    </row>
    <row r="3" spans="2:7">
      <c r="B3" s="443" t="s">
        <v>1356</v>
      </c>
      <c r="C3" s="443"/>
      <c r="D3" s="443"/>
      <c r="E3" s="55"/>
      <c r="F3" s="55"/>
      <c r="G3" s="55"/>
    </row>
    <row r="4" spans="2:7">
      <c r="B4" s="28"/>
      <c r="C4" s="28"/>
      <c r="D4" s="28"/>
      <c r="E4" s="55"/>
      <c r="F4" s="55"/>
      <c r="G4" s="55"/>
    </row>
    <row r="5" spans="2:7" ht="13.5" thickBot="1">
      <c r="D5" s="42" t="s">
        <v>4</v>
      </c>
    </row>
    <row r="6" spans="2:7">
      <c r="B6" s="167" t="s">
        <v>1313</v>
      </c>
      <c r="C6" s="36" t="s">
        <v>1</v>
      </c>
      <c r="D6" s="37" t="s">
        <v>105</v>
      </c>
    </row>
    <row r="7" spans="2:7">
      <c r="B7" s="164"/>
      <c r="C7" s="165"/>
      <c r="D7" s="166"/>
    </row>
    <row r="8" spans="2:7">
      <c r="B8" s="31" t="s">
        <v>58</v>
      </c>
      <c r="C8" s="32" t="s">
        <v>21</v>
      </c>
      <c r="D8" s="197">
        <v>0.6</v>
      </c>
      <c r="F8" s="57"/>
    </row>
    <row r="9" spans="2:7">
      <c r="B9" s="31" t="s">
        <v>59</v>
      </c>
      <c r="C9" s="32" t="s">
        <v>22</v>
      </c>
      <c r="D9" s="197">
        <v>0.7</v>
      </c>
      <c r="F9" s="57"/>
    </row>
    <row r="10" spans="2:7">
      <c r="B10" s="31" t="s">
        <v>62</v>
      </c>
      <c r="C10" s="32" t="s">
        <v>23</v>
      </c>
      <c r="D10" s="197">
        <v>0.6</v>
      </c>
      <c r="F10" s="57"/>
    </row>
    <row r="11" spans="2:7">
      <c r="B11" s="31" t="s">
        <v>106</v>
      </c>
      <c r="C11" s="32" t="s">
        <v>101</v>
      </c>
      <c r="D11" s="197">
        <v>0.65</v>
      </c>
      <c r="F11" s="58"/>
    </row>
    <row r="12" spans="2:7">
      <c r="B12" s="31" t="s">
        <v>60</v>
      </c>
      <c r="C12" s="32" t="s">
        <v>24</v>
      </c>
      <c r="D12" s="197">
        <v>0.8</v>
      </c>
      <c r="F12" s="58"/>
    </row>
    <row r="13" spans="2:7">
      <c r="B13" s="31" t="s">
        <v>61</v>
      </c>
      <c r="C13" s="33" t="s">
        <v>25</v>
      </c>
      <c r="D13" s="197">
        <v>0.7</v>
      </c>
    </row>
    <row r="14" spans="2:7">
      <c r="B14" s="31" t="s">
        <v>102</v>
      </c>
      <c r="C14" s="32" t="s">
        <v>103</v>
      </c>
      <c r="D14" s="197">
        <v>0.65</v>
      </c>
    </row>
    <row r="15" spans="2:7">
      <c r="B15" s="31"/>
      <c r="C15" s="32"/>
      <c r="D15" s="35"/>
    </row>
    <row r="16" spans="2:7" ht="13.5" thickBot="1">
      <c r="B16" s="38" t="s">
        <v>2</v>
      </c>
      <c r="C16" s="39"/>
      <c r="D16" s="233">
        <f>AVERAGE(D8:D14)</f>
        <v>0.67142857142857149</v>
      </c>
    </row>
    <row r="17" spans="2:7">
      <c r="B17" s="59"/>
      <c r="C17" s="43"/>
    </row>
    <row r="18" spans="2:7">
      <c r="B18" s="59"/>
      <c r="C18" s="43"/>
      <c r="G18" s="60"/>
    </row>
    <row r="19" spans="2:7">
      <c r="B19" s="40" t="s">
        <v>27</v>
      </c>
      <c r="C19" s="41"/>
      <c r="E19" s="43"/>
    </row>
    <row r="20" spans="2:7">
      <c r="B20" t="s">
        <v>1317</v>
      </c>
    </row>
  </sheetData>
  <mergeCells count="2">
    <mergeCell ref="B2:D2"/>
    <mergeCell ref="B3:D3"/>
  </mergeCells>
  <printOptions horizontalCentered="1"/>
  <pageMargins left="0.27" right="0.27" top="0.86755952380952395" bottom="0.75" header="0.3" footer="0.3"/>
  <pageSetup orientation="landscape" useFirstPageNumber="1" r:id="rId1"/>
  <headerFooter>
    <oddHeader>&amp;RDocket No. UG-19____
Cascade Natural Gas Corp.
Exhibit No.___(AEB-2)
Schedule 4
Page &amp;P of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4"/>
  <sheetViews>
    <sheetView zoomScaleNormal="100" zoomScaleSheetLayoutView="100" zoomScalePageLayoutView="80" workbookViewId="0">
      <selection sqref="A1:XFD1048576"/>
    </sheetView>
  </sheetViews>
  <sheetFormatPr defaultColWidth="9" defaultRowHeight="12.75"/>
  <cols>
    <col min="1" max="1" width="3.28515625" style="44" customWidth="1"/>
    <col min="2" max="2" width="67.140625" style="44" bestFit="1" customWidth="1"/>
    <col min="3" max="6" width="10.5703125" style="44" customWidth="1"/>
    <col min="7" max="16384" width="9" style="44"/>
  </cols>
  <sheetData>
    <row r="1" spans="1:7" ht="13.5" customHeight="1">
      <c r="B1" s="45"/>
      <c r="C1" s="45"/>
      <c r="D1" s="45"/>
      <c r="E1" s="45"/>
      <c r="F1" s="104"/>
      <c r="G1" s="96"/>
    </row>
    <row r="2" spans="1:7" ht="13.5" customHeight="1">
      <c r="A2" s="417" t="s">
        <v>1318</v>
      </c>
      <c r="B2" s="417"/>
      <c r="C2" s="417"/>
      <c r="D2" s="417"/>
      <c r="E2" s="417"/>
      <c r="F2" s="417"/>
      <c r="G2" s="417"/>
    </row>
    <row r="3" spans="1:7" ht="13.5" customHeight="1">
      <c r="A3" s="105"/>
      <c r="B3" s="105"/>
      <c r="C3" s="105"/>
      <c r="D3" s="105"/>
      <c r="E3" s="105"/>
      <c r="F3" s="105"/>
      <c r="G3" s="105"/>
    </row>
    <row r="4" spans="1:7" ht="13.5" thickBot="1">
      <c r="B4" s="45"/>
      <c r="C4" s="46" t="s">
        <v>7</v>
      </c>
      <c r="D4" s="46" t="s">
        <v>8</v>
      </c>
      <c r="E4" s="46" t="s">
        <v>9</v>
      </c>
      <c r="F4" s="46" t="s">
        <v>10</v>
      </c>
      <c r="G4" s="46" t="s">
        <v>11</v>
      </c>
    </row>
    <row r="5" spans="1:7">
      <c r="A5" s="89"/>
      <c r="B5" s="90"/>
      <c r="C5" s="90"/>
      <c r="D5" s="90"/>
      <c r="E5" s="90"/>
      <c r="F5" s="91" t="s">
        <v>245</v>
      </c>
      <c r="G5" s="90"/>
    </row>
    <row r="6" spans="1:7">
      <c r="B6" s="45"/>
      <c r="C6" s="46" t="s">
        <v>246</v>
      </c>
      <c r="D6" s="45"/>
      <c r="E6" s="46" t="s">
        <v>245</v>
      </c>
      <c r="F6" s="46" t="s">
        <v>54</v>
      </c>
      <c r="G6" s="45"/>
    </row>
    <row r="7" spans="1:7">
      <c r="B7" s="45"/>
      <c r="C7" s="46" t="s">
        <v>247</v>
      </c>
      <c r="D7" s="46" t="s">
        <v>111</v>
      </c>
      <c r="E7" s="46" t="s">
        <v>248</v>
      </c>
      <c r="F7" s="46" t="s">
        <v>55</v>
      </c>
      <c r="G7" s="46" t="s">
        <v>56</v>
      </c>
    </row>
    <row r="8" spans="1:7">
      <c r="A8" s="92"/>
      <c r="B8" s="93"/>
      <c r="C8" s="94" t="s">
        <v>249</v>
      </c>
      <c r="D8" s="94" t="s">
        <v>250</v>
      </c>
      <c r="E8" s="94" t="s">
        <v>251</v>
      </c>
      <c r="F8" s="94" t="s">
        <v>252</v>
      </c>
      <c r="G8" s="94" t="s">
        <v>253</v>
      </c>
    </row>
    <row r="9" spans="1:7">
      <c r="B9" s="45"/>
      <c r="C9" s="45"/>
      <c r="D9" s="45"/>
      <c r="E9" s="45"/>
      <c r="F9" s="45"/>
      <c r="G9" s="45"/>
    </row>
    <row r="10" spans="1:7">
      <c r="A10" s="93" t="s">
        <v>110</v>
      </c>
      <c r="B10" s="93"/>
      <c r="C10" s="45"/>
      <c r="D10" s="45"/>
      <c r="E10" s="45"/>
      <c r="F10" s="45"/>
      <c r="G10" s="45"/>
    </row>
    <row r="11" spans="1:7">
      <c r="A11" s="45"/>
      <c r="B11" s="45" t="s">
        <v>254</v>
      </c>
      <c r="C11" s="198">
        <v>3.0343333333333337E-2</v>
      </c>
      <c r="D11" s="95">
        <f>'Schedule-4 Beta'!D16</f>
        <v>0.67142857142857149</v>
      </c>
      <c r="E11" s="96">
        <f>'Schedule-5 CAPM 2'!B8</f>
        <v>0.14848875872290412</v>
      </c>
      <c r="F11" s="96">
        <f>E11-C11</f>
        <v>0.11814542538957079</v>
      </c>
      <c r="G11" s="96">
        <f>C11+D11*F11</f>
        <v>0.10966954752347373</v>
      </c>
    </row>
    <row r="12" spans="1:7">
      <c r="B12" s="45" t="s">
        <v>1280</v>
      </c>
      <c r="C12" s="198">
        <f>AVERAGE(3.2%,3.3%,3.4%,3.5%, 3.5%)</f>
        <v>3.3800000000000004E-2</v>
      </c>
      <c r="D12" s="95">
        <f>D11</f>
        <v>0.67142857142857149</v>
      </c>
      <c r="E12" s="96">
        <f>E11</f>
        <v>0.14848875872290412</v>
      </c>
      <c r="F12" s="96">
        <f>E12-C12</f>
        <v>0.11468875872290413</v>
      </c>
      <c r="G12" s="96">
        <f>C12+D12*F12</f>
        <v>0.11080530942823563</v>
      </c>
    </row>
    <row r="13" spans="1:7">
      <c r="A13" s="92"/>
      <c r="B13" s="93" t="s">
        <v>255</v>
      </c>
      <c r="C13" s="97">
        <v>3.9E-2</v>
      </c>
      <c r="D13" s="98">
        <f>D12</f>
        <v>0.67142857142857149</v>
      </c>
      <c r="E13" s="99">
        <f>E12</f>
        <v>0.14848875872290412</v>
      </c>
      <c r="F13" s="99">
        <f>E13-C13</f>
        <v>0.10948875872290412</v>
      </c>
      <c r="G13" s="99">
        <f>C13+D13*F13</f>
        <v>0.11251388085680705</v>
      </c>
    </row>
    <row r="14" spans="1:7" ht="13.5" thickBot="1">
      <c r="A14" s="100"/>
      <c r="B14" s="101"/>
      <c r="C14" s="101"/>
      <c r="D14" s="101"/>
      <c r="E14" s="101"/>
      <c r="F14" s="102" t="s">
        <v>2</v>
      </c>
      <c r="G14" s="103">
        <f>AVERAGE(G11:G13)</f>
        <v>0.11099624593617215</v>
      </c>
    </row>
    <row r="15" spans="1:7">
      <c r="A15" s="45"/>
      <c r="B15" s="45"/>
      <c r="C15" s="45"/>
      <c r="D15" s="45"/>
      <c r="E15" s="104"/>
      <c r="F15" s="96"/>
    </row>
    <row r="16" spans="1:7">
      <c r="A16" s="92" t="s">
        <v>27</v>
      </c>
      <c r="B16" s="92"/>
    </row>
    <row r="17" spans="1:5">
      <c r="A17" t="s">
        <v>1357</v>
      </c>
    </row>
    <row r="18" spans="1:5">
      <c r="A18" s="14" t="s">
        <v>1358</v>
      </c>
      <c r="E18" s="107"/>
    </row>
    <row r="19" spans="1:5">
      <c r="A19" s="106" t="s">
        <v>256</v>
      </c>
      <c r="E19" s="108"/>
    </row>
    <row r="20" spans="1:5">
      <c r="A20" s="106" t="s">
        <v>257</v>
      </c>
    </row>
    <row r="21" spans="1:5">
      <c r="A21" s="44" t="s">
        <v>1456</v>
      </c>
    </row>
    <row r="22" spans="1:5">
      <c r="A22" s="44" t="s">
        <v>1457</v>
      </c>
    </row>
    <row r="23" spans="1:5">
      <c r="A23" s="44" t="s">
        <v>258</v>
      </c>
    </row>
    <row r="24" spans="1:5">
      <c r="A24" s="44" t="s">
        <v>259</v>
      </c>
    </row>
  </sheetData>
  <mergeCells count="1">
    <mergeCell ref="A2:G2"/>
  </mergeCells>
  <printOptions horizontalCentered="1"/>
  <pageMargins left="0.7" right="0.7" top="1.25" bottom="0.75" header="0.3" footer="0.3"/>
  <pageSetup scale="73" orientation="landscape" useFirstPageNumber="1" r:id="rId1"/>
  <headerFooter>
    <oddHeader>&amp;RDocket No. UG-19____
Cascade Natural Gas Corp.
Exhibit No.___(AEB-2)
Schedule 5
Page &amp;P of 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39"/>
  <sheetViews>
    <sheetView zoomScaleNormal="100" zoomScaleSheetLayoutView="85" zoomScalePageLayoutView="85" workbookViewId="0">
      <selection sqref="A1:XFD1048576"/>
    </sheetView>
  </sheetViews>
  <sheetFormatPr defaultColWidth="9.140625" defaultRowHeight="12.75"/>
  <cols>
    <col min="1" max="1" width="49.28515625" style="109" customWidth="1"/>
    <col min="2" max="2" width="15.5703125" style="109" customWidth="1"/>
    <col min="3" max="3" width="10.42578125" style="109" customWidth="1"/>
    <col min="4" max="4" width="12.5703125" style="109" bestFit="1" customWidth="1"/>
    <col min="5" max="5" width="12.7109375" style="109" bestFit="1" customWidth="1"/>
    <col min="6" max="6" width="10.85546875" style="109" bestFit="1" customWidth="1"/>
    <col min="7" max="7" width="18.28515625" style="109" customWidth="1"/>
    <col min="8" max="11" width="9.140625" style="109"/>
    <col min="12" max="12" width="9.140625" style="109" customWidth="1"/>
    <col min="13" max="16384" width="9.140625" style="109"/>
  </cols>
  <sheetData>
    <row r="1" spans="1:7">
      <c r="A1" s="417" t="s">
        <v>260</v>
      </c>
      <c r="B1" s="417"/>
      <c r="C1" s="417"/>
      <c r="D1" s="417"/>
      <c r="E1" s="417"/>
      <c r="F1" s="417"/>
      <c r="G1" s="417"/>
    </row>
    <row r="2" spans="1:7" s="44" customFormat="1"/>
    <row r="3" spans="1:7" s="44" customFormat="1"/>
    <row r="4" spans="1:7" s="44" customFormat="1">
      <c r="A4" s="44" t="s">
        <v>261</v>
      </c>
      <c r="B4" s="444">
        <f>SUM(E22:E526)</f>
        <v>2.0753634235169748E-2</v>
      </c>
      <c r="C4" s="445"/>
      <c r="D4" s="446"/>
    </row>
    <row r="5" spans="1:7" s="44" customFormat="1"/>
    <row r="6" spans="1:7" s="44" customFormat="1">
      <c r="A6" s="44" t="s">
        <v>262</v>
      </c>
      <c r="B6" s="444">
        <f>SUM(G22:G526)</f>
        <v>0.12642325350668543</v>
      </c>
      <c r="C6" s="445"/>
      <c r="D6" s="446"/>
    </row>
    <row r="7" spans="1:7" s="44" customFormat="1"/>
    <row r="8" spans="1:7" s="44" customFormat="1">
      <c r="A8" s="44" t="s">
        <v>263</v>
      </c>
      <c r="B8" s="447">
        <f>B4*(1+0.5*B6)+B6</f>
        <v>0.14848875872290412</v>
      </c>
      <c r="C8" s="448"/>
      <c r="D8" s="449"/>
    </row>
    <row r="9" spans="1:7" s="44" customFormat="1"/>
    <row r="10" spans="1:7" s="44" customFormat="1">
      <c r="A10" s="44" t="s">
        <v>264</v>
      </c>
      <c r="B10" s="110">
        <f>'Schedule-5 CAPM'!C11</f>
        <v>3.0343333333333337E-2</v>
      </c>
      <c r="C10" s="111">
        <f>'Schedule-5 CAPM'!C12</f>
        <v>3.3800000000000004E-2</v>
      </c>
      <c r="D10" s="112">
        <f>'Schedule-5 CAPM'!C13</f>
        <v>3.9E-2</v>
      </c>
    </row>
    <row r="11" spans="1:7" s="44" customFormat="1"/>
    <row r="12" spans="1:7" s="44" customFormat="1">
      <c r="A12" s="44" t="s">
        <v>265</v>
      </c>
      <c r="B12" s="113">
        <f>$B8-B10</f>
        <v>0.11814542538957079</v>
      </c>
      <c r="C12" s="114">
        <f>$B8-C10</f>
        <v>0.11468875872290413</v>
      </c>
      <c r="D12" s="112">
        <f>$B8-D10</f>
        <v>0.10948875872290412</v>
      </c>
    </row>
    <row r="13" spans="1:7" s="44" customFormat="1"/>
    <row r="14" spans="1:7" s="44" customFormat="1"/>
    <row r="15" spans="1:7">
      <c r="A15" s="115" t="s">
        <v>266</v>
      </c>
      <c r="B15" s="115"/>
      <c r="C15" s="115"/>
      <c r="D15" s="115"/>
      <c r="E15" s="115"/>
      <c r="F15" s="115"/>
      <c r="G15" s="115"/>
    </row>
    <row r="17" spans="1:10" ht="13.5" thickBot="1">
      <c r="C17" s="116" t="s">
        <v>267</v>
      </c>
      <c r="D17" s="116" t="s">
        <v>268</v>
      </c>
      <c r="E17" s="116" t="s">
        <v>269</v>
      </c>
      <c r="F17" s="116" t="s">
        <v>270</v>
      </c>
      <c r="G17" s="116" t="s">
        <v>271</v>
      </c>
    </row>
    <row r="18" spans="1:10">
      <c r="A18" s="117"/>
      <c r="B18" s="117"/>
      <c r="C18" s="90"/>
      <c r="D18" s="118"/>
      <c r="E18" s="117"/>
      <c r="F18" s="117"/>
      <c r="G18" s="119" t="s">
        <v>272</v>
      </c>
    </row>
    <row r="19" spans="1:10">
      <c r="C19" s="46" t="s">
        <v>273</v>
      </c>
      <c r="D19" s="46" t="s">
        <v>274</v>
      </c>
      <c r="E19" s="116" t="s">
        <v>275</v>
      </c>
      <c r="F19" s="46" t="s">
        <v>276</v>
      </c>
      <c r="G19" s="116" t="s">
        <v>276</v>
      </c>
    </row>
    <row r="20" spans="1:10">
      <c r="A20" s="120" t="s">
        <v>277</v>
      </c>
      <c r="B20" s="120" t="s">
        <v>1</v>
      </c>
      <c r="C20" s="121" t="s">
        <v>278</v>
      </c>
      <c r="D20" s="121" t="s">
        <v>16</v>
      </c>
      <c r="E20" s="120" t="s">
        <v>16</v>
      </c>
      <c r="F20" s="121" t="s">
        <v>279</v>
      </c>
      <c r="G20" s="120" t="s">
        <v>279</v>
      </c>
    </row>
    <row r="21" spans="1:10" s="44" customFormat="1"/>
    <row r="22" spans="1:10">
      <c r="A22" t="s">
        <v>280</v>
      </c>
      <c r="B22" s="28" t="s">
        <v>281</v>
      </c>
      <c r="C22" s="199">
        <v>1.416342559798719E-3</v>
      </c>
      <c r="D22" s="200">
        <v>4.5993000000000006E-2</v>
      </c>
      <c r="E22" s="123">
        <f>IFERROR($D22*$C22,"n/a")</f>
        <v>6.5141843352822492E-5</v>
      </c>
      <c r="F22" s="200">
        <v>8.199999999999999E-2</v>
      </c>
      <c r="G22" s="123">
        <f>IFERROR($F22*$C22,"n/a")</f>
        <v>1.1614008990349495E-4</v>
      </c>
      <c r="I22" s="124"/>
      <c r="J22" s="124"/>
    </row>
    <row r="23" spans="1:10">
      <c r="A23" t="s">
        <v>282</v>
      </c>
      <c r="B23" s="28" t="s">
        <v>283</v>
      </c>
      <c r="C23" s="199">
        <v>3.6923973521093556E-3</v>
      </c>
      <c r="D23" s="200">
        <v>1.5190000000000002E-2</v>
      </c>
      <c r="E23" s="123">
        <f t="shared" ref="E23:E86" si="0">IFERROR($D23*$C23,"n/a")</f>
        <v>5.608751577854112E-5</v>
      </c>
      <c r="F23" s="200">
        <v>0.14987</v>
      </c>
      <c r="G23" s="123">
        <f>IFERROR($F23*$C23,"n/a")</f>
        <v>5.5337959116062913E-4</v>
      </c>
      <c r="I23" s="124"/>
      <c r="J23" s="124"/>
    </row>
    <row r="24" spans="1:10">
      <c r="A24" t="s">
        <v>284</v>
      </c>
      <c r="B24" s="28" t="s">
        <v>285</v>
      </c>
      <c r="C24" s="199">
        <v>9.6571971341881026E-3</v>
      </c>
      <c r="D24" s="200">
        <v>4.3769999999999996E-2</v>
      </c>
      <c r="E24" s="123">
        <f t="shared" si="0"/>
        <v>4.2269551856341324E-4</v>
      </c>
      <c r="F24" s="200">
        <v>2.3E-2</v>
      </c>
      <c r="G24" s="123">
        <f t="shared" ref="G24:G87" si="1">IFERROR($F24*$C24,"n/a")</f>
        <v>2.2211553408632635E-4</v>
      </c>
      <c r="I24" s="124"/>
      <c r="J24" s="124"/>
    </row>
    <row r="25" spans="1:10">
      <c r="A25" t="s">
        <v>286</v>
      </c>
      <c r="B25" s="28" t="s">
        <v>287</v>
      </c>
      <c r="C25" s="199">
        <v>4.63743456318212E-3</v>
      </c>
      <c r="D25" s="200">
        <v>3.9515000000000002E-2</v>
      </c>
      <c r="E25" s="123">
        <f t="shared" si="0"/>
        <v>1.8324822676414149E-4</v>
      </c>
      <c r="F25" s="200">
        <v>0.14321999999999999</v>
      </c>
      <c r="G25" s="123">
        <f t="shared" si="1"/>
        <v>6.6417337813894312E-4</v>
      </c>
      <c r="I25" s="124"/>
      <c r="J25" s="124"/>
    </row>
    <row r="26" spans="1:10">
      <c r="A26" t="s">
        <v>288</v>
      </c>
      <c r="B26" s="28" t="s">
        <v>289</v>
      </c>
      <c r="C26" s="199">
        <v>9.2955378735199989E-3</v>
      </c>
      <c r="D26" s="200">
        <v>2.1316000000000002E-2</v>
      </c>
      <c r="E26" s="123">
        <f t="shared" si="0"/>
        <v>1.981436853119523E-4</v>
      </c>
      <c r="F26" s="200">
        <v>0.16699999999999998</v>
      </c>
      <c r="G26" s="123">
        <f t="shared" si="1"/>
        <v>1.5523548248778396E-3</v>
      </c>
      <c r="I26" s="124"/>
      <c r="J26" s="124"/>
    </row>
    <row r="27" spans="1:10">
      <c r="A27" t="s">
        <v>290</v>
      </c>
      <c r="B27" s="28" t="s">
        <v>291</v>
      </c>
      <c r="C27" s="199">
        <v>3.3354860588274871E-3</v>
      </c>
      <c r="D27" s="200">
        <v>2.5834000000000003E-2</v>
      </c>
      <c r="E27" s="123">
        <f t="shared" si="0"/>
        <v>8.6168946843749312E-5</v>
      </c>
      <c r="F27" s="200">
        <v>0.13350000000000001</v>
      </c>
      <c r="G27" s="123">
        <f t="shared" si="1"/>
        <v>4.4528738885346955E-4</v>
      </c>
      <c r="I27" s="124"/>
      <c r="J27" s="124"/>
    </row>
    <row r="28" spans="1:10">
      <c r="A28" t="s">
        <v>292</v>
      </c>
      <c r="B28" s="28" t="s">
        <v>293</v>
      </c>
      <c r="C28" s="199">
        <v>1.4609664935827072E-2</v>
      </c>
      <c r="D28" s="200">
        <v>3.0918000000000001E-2</v>
      </c>
      <c r="E28" s="123">
        <f t="shared" si="0"/>
        <v>4.5170162048590142E-4</v>
      </c>
      <c r="F28" s="200">
        <v>9.3329999999999996E-2</v>
      </c>
      <c r="G28" s="123">
        <f t="shared" si="1"/>
        <v>1.3635200284607405E-3</v>
      </c>
      <c r="I28" s="124"/>
      <c r="J28" s="124"/>
    </row>
    <row r="29" spans="1:10">
      <c r="A29" t="s">
        <v>294</v>
      </c>
      <c r="B29" s="28" t="s">
        <v>295</v>
      </c>
      <c r="C29" s="199">
        <v>9.2990366455041312E-3</v>
      </c>
      <c r="D29" s="200">
        <v>4.1517999999999999E-2</v>
      </c>
      <c r="E29" s="123">
        <f t="shared" si="0"/>
        <v>3.8607740344804052E-4</v>
      </c>
      <c r="F29" s="200">
        <v>7.1650000000000005E-2</v>
      </c>
      <c r="G29" s="123">
        <f t="shared" si="1"/>
        <v>6.6627597565037107E-4</v>
      </c>
      <c r="I29" s="124"/>
      <c r="J29" s="124"/>
    </row>
    <row r="30" spans="1:10">
      <c r="A30" t="s">
        <v>296</v>
      </c>
      <c r="B30" s="28" t="s">
        <v>297</v>
      </c>
      <c r="C30" s="199">
        <v>8.6960995900319856E-3</v>
      </c>
      <c r="D30" s="200">
        <v>3.2412000000000003E-2</v>
      </c>
      <c r="E30" s="123">
        <f t="shared" si="0"/>
        <v>2.8185797991211672E-4</v>
      </c>
      <c r="F30" s="200">
        <v>7.4900000000000008E-2</v>
      </c>
      <c r="G30" s="123">
        <f t="shared" si="1"/>
        <v>6.5133785929339576E-4</v>
      </c>
      <c r="I30" s="124"/>
      <c r="J30" s="124"/>
    </row>
    <row r="31" spans="1:10">
      <c r="A31" t="s">
        <v>298</v>
      </c>
      <c r="B31" s="28" t="s">
        <v>299</v>
      </c>
      <c r="C31" s="199">
        <v>5.1265622910220757E-3</v>
      </c>
      <c r="D31" s="200">
        <v>5.3307E-2</v>
      </c>
      <c r="E31" s="123">
        <f t="shared" si="0"/>
        <v>2.7328165604751379E-4</v>
      </c>
      <c r="F31" s="200">
        <v>8.813E-2</v>
      </c>
      <c r="G31" s="123">
        <f t="shared" si="1"/>
        <v>4.5180393470777551E-4</v>
      </c>
      <c r="I31" s="124"/>
      <c r="J31" s="124"/>
    </row>
    <row r="32" spans="1:10">
      <c r="A32" t="s">
        <v>300</v>
      </c>
      <c r="B32" s="28" t="s">
        <v>301</v>
      </c>
      <c r="C32" s="199">
        <v>7.0565345303886997E-3</v>
      </c>
      <c r="D32" s="200">
        <v>1.5782000000000001E-2</v>
      </c>
      <c r="E32" s="123">
        <f t="shared" si="0"/>
        <v>1.1136622795859447E-4</v>
      </c>
      <c r="F32" s="200">
        <v>0.1298</v>
      </c>
      <c r="G32" s="123">
        <f t="shared" si="1"/>
        <v>9.1593818204445323E-4</v>
      </c>
      <c r="I32" s="124"/>
      <c r="J32" s="124"/>
    </row>
    <row r="33" spans="1:10">
      <c r="A33" t="s">
        <v>302</v>
      </c>
      <c r="B33" s="28" t="s">
        <v>303</v>
      </c>
      <c r="C33" s="199">
        <v>7.5939232094957216E-4</v>
      </c>
      <c r="D33" s="200" t="s">
        <v>1301</v>
      </c>
      <c r="E33" s="123" t="str">
        <f t="shared" si="0"/>
        <v>n/a</v>
      </c>
      <c r="F33" s="200">
        <v>0.16500000000000001</v>
      </c>
      <c r="G33" s="123">
        <f t="shared" si="1"/>
        <v>1.2529973295667942E-4</v>
      </c>
      <c r="I33" s="124"/>
      <c r="J33" s="124"/>
    </row>
    <row r="34" spans="1:10">
      <c r="A34" t="s">
        <v>304</v>
      </c>
      <c r="B34" s="28" t="s">
        <v>305</v>
      </c>
      <c r="C34" s="199">
        <v>5.2956290459044478E-4</v>
      </c>
      <c r="D34" s="200">
        <v>3.4884999999999999E-2</v>
      </c>
      <c r="E34" s="123">
        <f t="shared" si="0"/>
        <v>1.8473801926637665E-5</v>
      </c>
      <c r="F34" s="200">
        <v>5.3370000000000001E-2</v>
      </c>
      <c r="G34" s="123">
        <f t="shared" si="1"/>
        <v>2.826277221799204E-5</v>
      </c>
      <c r="I34" s="124"/>
      <c r="J34" s="124"/>
    </row>
    <row r="35" spans="1:10">
      <c r="A35" t="s">
        <v>306</v>
      </c>
      <c r="B35" s="28" t="s">
        <v>307</v>
      </c>
      <c r="C35" s="199">
        <v>1.3169554813082079E-2</v>
      </c>
      <c r="D35" s="200">
        <v>4.4760000000000001E-2</v>
      </c>
      <c r="E35" s="123">
        <f t="shared" si="0"/>
        <v>5.8946927343355392E-4</v>
      </c>
      <c r="F35" s="200">
        <v>0.1159</v>
      </c>
      <c r="G35" s="123">
        <f t="shared" si="1"/>
        <v>1.526351402836213E-3</v>
      </c>
      <c r="I35" s="124"/>
      <c r="J35" s="124"/>
    </row>
    <row r="36" spans="1:10">
      <c r="A36" t="s">
        <v>308</v>
      </c>
      <c r="B36" s="28" t="s">
        <v>309</v>
      </c>
      <c r="C36" s="199">
        <v>1.8675280819648934E-3</v>
      </c>
      <c r="D36" s="200">
        <v>3.3538999999999999E-2</v>
      </c>
      <c r="E36" s="123">
        <f t="shared" si="0"/>
        <v>6.2635024341020558E-5</v>
      </c>
      <c r="F36" s="200">
        <v>5.7000000000000002E-2</v>
      </c>
      <c r="G36" s="123">
        <f t="shared" si="1"/>
        <v>1.0644910067199893E-4</v>
      </c>
      <c r="I36" s="124"/>
      <c r="J36" s="124"/>
    </row>
    <row r="37" spans="1:10">
      <c r="A37" t="s">
        <v>310</v>
      </c>
      <c r="B37" s="28" t="s">
        <v>311</v>
      </c>
      <c r="C37" s="199">
        <v>3.7512277300435059E-3</v>
      </c>
      <c r="D37" s="200">
        <v>3.9369999999999995E-3</v>
      </c>
      <c r="E37" s="123">
        <f t="shared" si="0"/>
        <v>1.4768583573181281E-5</v>
      </c>
      <c r="F37" s="200">
        <v>1.6E-2</v>
      </c>
      <c r="G37" s="123">
        <f t="shared" si="1"/>
        <v>6.0019643680696095E-5</v>
      </c>
      <c r="I37" s="124"/>
      <c r="J37" s="124"/>
    </row>
    <row r="38" spans="1:10">
      <c r="A38" t="s">
        <v>312</v>
      </c>
      <c r="B38" s="28" t="s">
        <v>313</v>
      </c>
      <c r="C38" s="199">
        <v>1.4527100260391869E-3</v>
      </c>
      <c r="D38" s="200">
        <v>2.9088000000000003E-2</v>
      </c>
      <c r="E38" s="123">
        <f t="shared" si="0"/>
        <v>4.2256429237427872E-5</v>
      </c>
      <c r="F38" s="200">
        <v>6.055E-2</v>
      </c>
      <c r="G38" s="123">
        <f t="shared" si="1"/>
        <v>8.7961592076672772E-5</v>
      </c>
      <c r="I38" s="124"/>
      <c r="J38" s="124"/>
    </row>
    <row r="39" spans="1:10">
      <c r="A39" t="s">
        <v>314</v>
      </c>
      <c r="B39" s="28" t="s">
        <v>315</v>
      </c>
      <c r="C39" s="199">
        <v>8.7995131107450018E-3</v>
      </c>
      <c r="D39" s="200">
        <v>2.2449E-2</v>
      </c>
      <c r="E39" s="123">
        <f t="shared" si="0"/>
        <v>1.9754026982311454E-4</v>
      </c>
      <c r="F39" s="200">
        <v>0.13005</v>
      </c>
      <c r="G39" s="123">
        <f t="shared" si="1"/>
        <v>1.1443766800523876E-3</v>
      </c>
      <c r="I39" s="124"/>
      <c r="J39" s="124"/>
    </row>
    <row r="40" spans="1:10">
      <c r="A40" t="s">
        <v>316</v>
      </c>
      <c r="B40" s="28" t="s">
        <v>317</v>
      </c>
      <c r="C40" s="199">
        <v>5.1854197692916271E-3</v>
      </c>
      <c r="D40" s="200">
        <v>4.6718999999999997E-2</v>
      </c>
      <c r="E40" s="123">
        <f t="shared" si="0"/>
        <v>2.4225762620153551E-4</v>
      </c>
      <c r="F40" s="200">
        <v>3.585E-2</v>
      </c>
      <c r="G40" s="123">
        <f t="shared" si="1"/>
        <v>1.8589729872910482E-4</v>
      </c>
      <c r="I40" s="124"/>
      <c r="J40" s="124"/>
    </row>
    <row r="41" spans="1:10">
      <c r="A41" t="s">
        <v>318</v>
      </c>
      <c r="B41" s="28" t="s">
        <v>319</v>
      </c>
      <c r="C41" s="199">
        <v>1.0186591769568317E-3</v>
      </c>
      <c r="D41" s="200" t="s">
        <v>1301</v>
      </c>
      <c r="E41" s="123" t="str">
        <f>IFERROR($D41*$C41,"n/a")</f>
        <v>n/a</v>
      </c>
      <c r="F41" s="200">
        <v>0.31</v>
      </c>
      <c r="G41" s="123">
        <f t="shared" si="1"/>
        <v>3.1578434485661781E-4</v>
      </c>
      <c r="I41" s="124"/>
      <c r="J41" s="124"/>
    </row>
    <row r="42" spans="1:10">
      <c r="A42" t="s">
        <v>320</v>
      </c>
      <c r="B42" s="28" t="s">
        <v>321</v>
      </c>
      <c r="C42" s="199">
        <v>1.5150347008619882E-2</v>
      </c>
      <c r="D42" s="200">
        <v>2.7050999999999999E-2</v>
      </c>
      <c r="E42" s="123">
        <f t="shared" si="0"/>
        <v>4.0983203693017642E-4</v>
      </c>
      <c r="F42" s="200">
        <v>7.2580000000000006E-2</v>
      </c>
      <c r="G42" s="123">
        <f t="shared" si="1"/>
        <v>1.0996121858856311E-3</v>
      </c>
      <c r="I42" s="124"/>
      <c r="J42" s="124"/>
    </row>
    <row r="43" spans="1:10">
      <c r="A43" t="s">
        <v>322</v>
      </c>
      <c r="B43" s="28" t="s">
        <v>323</v>
      </c>
      <c r="C43" s="199">
        <v>5.850287230795905E-3</v>
      </c>
      <c r="D43" s="200">
        <v>2.5954000000000001E-2</v>
      </c>
      <c r="E43" s="123">
        <f t="shared" si="0"/>
        <v>1.5183835478807693E-4</v>
      </c>
      <c r="F43" s="200">
        <v>8.9190000000000005E-2</v>
      </c>
      <c r="G43" s="123">
        <f t="shared" si="1"/>
        <v>5.2178711811468677E-4</v>
      </c>
      <c r="I43" s="124"/>
      <c r="J43" s="124"/>
    </row>
    <row r="44" spans="1:10">
      <c r="A44" t="s">
        <v>324</v>
      </c>
      <c r="B44" s="28" t="s">
        <v>325</v>
      </c>
      <c r="C44" s="199">
        <v>8.2155897616333871E-3</v>
      </c>
      <c r="D44" s="200">
        <v>2.9558000000000001E-2</v>
      </c>
      <c r="E44" s="123">
        <f t="shared" si="0"/>
        <v>2.4283640217435967E-4</v>
      </c>
      <c r="F44" s="200">
        <v>8.4629999999999997E-2</v>
      </c>
      <c r="G44" s="123">
        <f t="shared" si="1"/>
        <v>6.9528536152703348E-4</v>
      </c>
      <c r="I44" s="124"/>
      <c r="J44" s="124"/>
    </row>
    <row r="45" spans="1:10">
      <c r="A45" t="s">
        <v>326</v>
      </c>
      <c r="B45" s="28" t="s">
        <v>327</v>
      </c>
      <c r="C45" s="199">
        <v>4.9507685167149351E-3</v>
      </c>
      <c r="D45" s="200">
        <v>2.7158999999999999E-2</v>
      </c>
      <c r="E45" s="123">
        <f t="shared" si="0"/>
        <v>1.3445792214546092E-4</v>
      </c>
      <c r="F45" s="200">
        <v>7.6999999999999999E-2</v>
      </c>
      <c r="G45" s="123">
        <f t="shared" si="1"/>
        <v>3.8120917578704998E-4</v>
      </c>
      <c r="I45" s="124"/>
      <c r="J45" s="124"/>
    </row>
    <row r="46" spans="1:10">
      <c r="A46" t="s">
        <v>328</v>
      </c>
      <c r="B46" s="28" t="s">
        <v>329</v>
      </c>
      <c r="C46" s="199">
        <v>7.3340808308935545E-4</v>
      </c>
      <c r="D46" s="200">
        <v>1.9023999999999999E-2</v>
      </c>
      <c r="E46" s="123">
        <f t="shared" si="0"/>
        <v>1.3952355372691897E-5</v>
      </c>
      <c r="F46" s="200">
        <v>8.4529999999999994E-2</v>
      </c>
      <c r="G46" s="123">
        <f t="shared" si="1"/>
        <v>6.1994985263543213E-5</v>
      </c>
      <c r="I46" s="124"/>
      <c r="J46" s="124"/>
    </row>
    <row r="47" spans="1:10">
      <c r="A47" t="s">
        <v>330</v>
      </c>
      <c r="B47" s="28" t="s">
        <v>331</v>
      </c>
      <c r="C47" s="199">
        <v>1.168520807478096E-2</v>
      </c>
      <c r="D47" s="200">
        <v>2.1075E-2</v>
      </c>
      <c r="E47" s="123">
        <f t="shared" si="0"/>
        <v>2.4626576017600874E-4</v>
      </c>
      <c r="F47" s="200">
        <v>9.6999999999999989E-2</v>
      </c>
      <c r="G47" s="123">
        <f t="shared" si="1"/>
        <v>1.1334651832537531E-3</v>
      </c>
      <c r="I47" s="124"/>
      <c r="J47" s="124"/>
    </row>
    <row r="48" spans="1:10">
      <c r="A48" t="s">
        <v>332</v>
      </c>
      <c r="B48" s="28" t="s">
        <v>333</v>
      </c>
      <c r="C48" s="199">
        <v>1.8798242224369254E-4</v>
      </c>
      <c r="D48" s="200" t="s">
        <v>1301</v>
      </c>
      <c r="E48" s="123" t="str">
        <f t="shared" si="0"/>
        <v>n/a</v>
      </c>
      <c r="F48" s="200">
        <v>8.6349999999999996E-2</v>
      </c>
      <c r="G48" s="123">
        <f t="shared" si="1"/>
        <v>1.623228216074285E-5</v>
      </c>
      <c r="I48" s="124"/>
      <c r="J48" s="124"/>
    </row>
    <row r="49" spans="1:10">
      <c r="A49" t="s">
        <v>334</v>
      </c>
      <c r="B49" s="28" t="s">
        <v>335</v>
      </c>
      <c r="C49" s="199">
        <v>5.1364922845028281E-4</v>
      </c>
      <c r="D49" s="200">
        <v>3.0547000000000001E-2</v>
      </c>
      <c r="E49" s="123">
        <f t="shared" si="0"/>
        <v>1.5690442981470791E-5</v>
      </c>
      <c r="F49" s="200">
        <v>0.40814999999999996</v>
      </c>
      <c r="G49" s="123">
        <f t="shared" si="1"/>
        <v>2.0964593259198292E-4</v>
      </c>
      <c r="I49" s="124"/>
      <c r="J49" s="124"/>
    </row>
    <row r="50" spans="1:10">
      <c r="A50" t="s">
        <v>336</v>
      </c>
      <c r="B50" s="28" t="s">
        <v>337</v>
      </c>
      <c r="C50" s="199">
        <v>1.0415875945550561E-2</v>
      </c>
      <c r="D50" s="200">
        <v>3.3922000000000001E-2</v>
      </c>
      <c r="E50" s="123">
        <f t="shared" si="0"/>
        <v>3.5332734382496612E-4</v>
      </c>
      <c r="F50" s="200">
        <v>5.45E-2</v>
      </c>
      <c r="G50" s="123">
        <f t="shared" si="1"/>
        <v>5.6766523903250556E-4</v>
      </c>
      <c r="I50" s="124"/>
      <c r="J50" s="124"/>
    </row>
    <row r="51" spans="1:10">
      <c r="A51" t="s">
        <v>338</v>
      </c>
      <c r="B51" s="28" t="s">
        <v>339</v>
      </c>
      <c r="C51" s="199">
        <v>1.0243803793440337E-2</v>
      </c>
      <c r="D51" s="200">
        <v>2.9737999999999997E-2</v>
      </c>
      <c r="E51" s="123">
        <f t="shared" si="0"/>
        <v>3.0463023720932869E-4</v>
      </c>
      <c r="F51" s="200">
        <v>6.5949999999999995E-2</v>
      </c>
      <c r="G51" s="123">
        <f t="shared" si="1"/>
        <v>6.7557886017739017E-4</v>
      </c>
      <c r="I51" s="124"/>
      <c r="J51" s="124"/>
    </row>
    <row r="52" spans="1:10">
      <c r="A52" t="s">
        <v>340</v>
      </c>
      <c r="B52" s="28" t="s">
        <v>341</v>
      </c>
      <c r="C52" s="199">
        <v>9.2916796413355721E-3</v>
      </c>
      <c r="D52" s="200">
        <v>6.7864000000000008E-2</v>
      </c>
      <c r="E52" s="123">
        <f t="shared" si="0"/>
        <v>6.3057054717959732E-4</v>
      </c>
      <c r="F52" s="200">
        <v>5.6870000000000004E-2</v>
      </c>
      <c r="G52" s="123">
        <f t="shared" si="1"/>
        <v>5.2841782120275401E-4</v>
      </c>
      <c r="I52" s="124"/>
      <c r="J52" s="124"/>
    </row>
    <row r="53" spans="1:10">
      <c r="A53" t="s">
        <v>342</v>
      </c>
      <c r="B53" s="28" t="s">
        <v>343</v>
      </c>
      <c r="C53" s="199">
        <v>1.4046952283699261E-3</v>
      </c>
      <c r="D53" s="200">
        <v>2.4534000000000004E-2</v>
      </c>
      <c r="E53" s="123">
        <f t="shared" si="0"/>
        <v>3.4462792732827776E-5</v>
      </c>
      <c r="F53" s="200">
        <v>0.17652999999999999</v>
      </c>
      <c r="G53" s="123">
        <f t="shared" si="1"/>
        <v>2.4797084866414306E-4</v>
      </c>
      <c r="I53" s="124"/>
      <c r="J53" s="124"/>
    </row>
    <row r="54" spans="1:10">
      <c r="A54" t="s">
        <v>344</v>
      </c>
      <c r="B54" s="28" t="s">
        <v>345</v>
      </c>
      <c r="C54" s="199">
        <v>4.327112000073627E-3</v>
      </c>
      <c r="D54" s="200">
        <v>2.4900000000000002E-2</v>
      </c>
      <c r="E54" s="123">
        <f t="shared" si="0"/>
        <v>1.0774508880183332E-4</v>
      </c>
      <c r="F54" s="200">
        <v>9.8000000000000004E-2</v>
      </c>
      <c r="G54" s="123">
        <f t="shared" si="1"/>
        <v>4.2405697600721544E-4</v>
      </c>
      <c r="I54" s="124"/>
      <c r="J54" s="124"/>
    </row>
    <row r="55" spans="1:10">
      <c r="A55" t="s">
        <v>346</v>
      </c>
      <c r="B55" s="28" t="s">
        <v>347</v>
      </c>
      <c r="C55" s="199">
        <v>1.5497244705049351E-3</v>
      </c>
      <c r="D55" s="200">
        <v>1.9421000000000001E-2</v>
      </c>
      <c r="E55" s="123">
        <f t="shared" si="0"/>
        <v>3.0097198941676345E-5</v>
      </c>
      <c r="F55" s="200">
        <v>8.4330000000000002E-2</v>
      </c>
      <c r="G55" s="123">
        <f t="shared" si="1"/>
        <v>1.3068826459768117E-4</v>
      </c>
      <c r="I55" s="124"/>
      <c r="J55" s="124"/>
    </row>
    <row r="56" spans="1:10">
      <c r="A56" t="s">
        <v>348</v>
      </c>
      <c r="B56" s="28" t="s">
        <v>349</v>
      </c>
      <c r="C56" s="199">
        <v>1.1817920654234874E-2</v>
      </c>
      <c r="D56" s="200">
        <v>2.1705000000000002E-2</v>
      </c>
      <c r="E56" s="123">
        <f t="shared" si="0"/>
        <v>2.5650796780016797E-4</v>
      </c>
      <c r="F56" s="200">
        <v>5.008E-2</v>
      </c>
      <c r="G56" s="123">
        <f t="shared" si="1"/>
        <v>5.9184146636408251E-4</v>
      </c>
      <c r="I56" s="124"/>
      <c r="J56" s="124"/>
    </row>
    <row r="57" spans="1:10">
      <c r="A57" t="s">
        <v>350</v>
      </c>
      <c r="B57" s="28" t="s">
        <v>351</v>
      </c>
      <c r="C57" s="199">
        <v>9.0249857084298522E-3</v>
      </c>
      <c r="D57" s="200">
        <v>2.7913E-2</v>
      </c>
      <c r="E57" s="123">
        <f t="shared" si="0"/>
        <v>2.5191442607940245E-4</v>
      </c>
      <c r="F57" s="200">
        <v>5.74E-2</v>
      </c>
      <c r="G57" s="123">
        <f t="shared" si="1"/>
        <v>5.1803417966387352E-4</v>
      </c>
      <c r="I57" s="124"/>
      <c r="J57" s="124"/>
    </row>
    <row r="58" spans="1:10">
      <c r="A58" t="s">
        <v>352</v>
      </c>
      <c r="B58" s="28" t="s">
        <v>353</v>
      </c>
      <c r="C58" s="199">
        <v>9.1286276828818676E-3</v>
      </c>
      <c r="D58" s="200">
        <v>2.674E-2</v>
      </c>
      <c r="E58" s="123">
        <f t="shared" si="0"/>
        <v>2.4409950424026113E-4</v>
      </c>
      <c r="F58" s="200">
        <v>8.539999999999999E-2</v>
      </c>
      <c r="G58" s="123">
        <f t="shared" si="1"/>
        <v>7.7958480411811145E-4</v>
      </c>
      <c r="I58" s="124"/>
      <c r="J58" s="124"/>
    </row>
    <row r="59" spans="1:10">
      <c r="A59" t="s">
        <v>354</v>
      </c>
      <c r="B59" s="28" t="s">
        <v>355</v>
      </c>
      <c r="C59" s="199">
        <v>2.3377237329960335E-3</v>
      </c>
      <c r="D59" s="200">
        <v>3.8954000000000003E-2</v>
      </c>
      <c r="E59" s="123">
        <f t="shared" si="0"/>
        <v>9.1063690295127502E-5</v>
      </c>
      <c r="F59" s="200">
        <v>0.11083</v>
      </c>
      <c r="G59" s="123">
        <f t="shared" si="1"/>
        <v>2.590899213279504E-4</v>
      </c>
      <c r="I59" s="124"/>
      <c r="J59" s="124"/>
    </row>
    <row r="60" spans="1:10">
      <c r="A60" t="s">
        <v>356</v>
      </c>
      <c r="B60" s="28" t="s">
        <v>357</v>
      </c>
      <c r="C60" s="199">
        <v>3.4009520305027095E-2</v>
      </c>
      <c r="D60" s="200">
        <v>1.7618999999999999E-2</v>
      </c>
      <c r="E60" s="123">
        <f t="shared" si="0"/>
        <v>5.9921373825427241E-4</v>
      </c>
      <c r="F60" s="200">
        <v>0.12162000000000001</v>
      </c>
      <c r="G60" s="123">
        <f t="shared" si="1"/>
        <v>4.1362378594973952E-3</v>
      </c>
      <c r="I60" s="124"/>
      <c r="J60" s="124"/>
    </row>
    <row r="61" spans="1:10">
      <c r="A61" t="s">
        <v>358</v>
      </c>
      <c r="B61" s="28" t="s">
        <v>359</v>
      </c>
      <c r="C61" s="199">
        <v>1.2880639541544812E-3</v>
      </c>
      <c r="D61" s="200">
        <v>1.0048999999999999E-2</v>
      </c>
      <c r="E61" s="123">
        <f t="shared" si="0"/>
        <v>1.294375467529838E-5</v>
      </c>
      <c r="F61" s="200">
        <v>0.15</v>
      </c>
      <c r="G61" s="123">
        <f t="shared" si="1"/>
        <v>1.9320959312317217E-4</v>
      </c>
      <c r="I61" s="124"/>
      <c r="J61" s="124"/>
    </row>
    <row r="62" spans="1:10">
      <c r="A62" t="s">
        <v>444</v>
      </c>
      <c r="B62" s="28" t="s">
        <v>445</v>
      </c>
      <c r="C62" s="199">
        <v>3.2295621396934522E-3</v>
      </c>
      <c r="D62" s="200">
        <v>2.0000000000000001E-4</v>
      </c>
      <c r="E62" s="123">
        <f t="shared" si="0"/>
        <v>6.459124279386905E-7</v>
      </c>
      <c r="F62" s="200">
        <v>0.18350000000000002</v>
      </c>
      <c r="G62" s="123">
        <f t="shared" si="1"/>
        <v>5.9262465263374851E-4</v>
      </c>
      <c r="I62" s="124"/>
      <c r="J62" s="124"/>
    </row>
    <row r="63" spans="1:10">
      <c r="A63" t="s">
        <v>360</v>
      </c>
      <c r="B63" s="28" t="s">
        <v>361</v>
      </c>
      <c r="C63" s="199">
        <v>1.6956609821543716E-3</v>
      </c>
      <c r="D63" s="200">
        <v>4.4199000000000002E-2</v>
      </c>
      <c r="E63" s="123">
        <f t="shared" si="0"/>
        <v>7.494651975024108E-5</v>
      </c>
      <c r="F63" s="200">
        <v>0.1</v>
      </c>
      <c r="G63" s="123">
        <f t="shared" si="1"/>
        <v>1.6956609821543718E-4</v>
      </c>
      <c r="I63" s="124"/>
      <c r="J63" s="124"/>
    </row>
    <row r="64" spans="1:10">
      <c r="A64" t="s">
        <v>362</v>
      </c>
      <c r="B64" s="28" t="s">
        <v>363</v>
      </c>
      <c r="C64" s="199">
        <v>6.6821297091274982E-3</v>
      </c>
      <c r="D64" s="200">
        <v>2.7923999999999997E-2</v>
      </c>
      <c r="E64" s="123">
        <f t="shared" si="0"/>
        <v>1.8659178999767625E-4</v>
      </c>
      <c r="F64" s="200">
        <v>0.11067</v>
      </c>
      <c r="G64" s="123">
        <f t="shared" si="1"/>
        <v>7.3951129490914028E-4</v>
      </c>
      <c r="I64" s="124"/>
      <c r="J64" s="124"/>
    </row>
    <row r="65" spans="1:10">
      <c r="A65" t="s">
        <v>364</v>
      </c>
      <c r="B65" s="28" t="s">
        <v>365</v>
      </c>
      <c r="C65" s="199">
        <v>1.6233430741034822E-3</v>
      </c>
      <c r="D65" s="200">
        <v>2.9609E-2</v>
      </c>
      <c r="E65" s="123">
        <f t="shared" si="0"/>
        <v>4.8065565081130002E-5</v>
      </c>
      <c r="F65" s="200">
        <v>0.11</v>
      </c>
      <c r="G65" s="123">
        <f t="shared" si="1"/>
        <v>1.7856773815138303E-4</v>
      </c>
      <c r="I65" s="124"/>
      <c r="J65" s="124"/>
    </row>
    <row r="66" spans="1:10">
      <c r="A66" t="s">
        <v>366</v>
      </c>
      <c r="B66" s="28" t="s">
        <v>367</v>
      </c>
      <c r="C66" s="199">
        <v>4.5133648984719554E-3</v>
      </c>
      <c r="D66" s="200">
        <v>2.2835999999999999E-2</v>
      </c>
      <c r="E66" s="123">
        <f t="shared" si="0"/>
        <v>1.0306720082150556E-4</v>
      </c>
      <c r="F66" s="200">
        <v>0.13547999999999999</v>
      </c>
      <c r="G66" s="123">
        <f t="shared" si="1"/>
        <v>6.1147067644498046E-4</v>
      </c>
      <c r="I66" s="124"/>
      <c r="J66" s="124"/>
    </row>
    <row r="67" spans="1:10">
      <c r="A67" t="s">
        <v>368</v>
      </c>
      <c r="B67" s="28" t="s">
        <v>369</v>
      </c>
      <c r="C67" s="199">
        <v>3.9257691839458941E-3</v>
      </c>
      <c r="D67" s="200">
        <v>6.4842999999999998E-2</v>
      </c>
      <c r="E67" s="123">
        <f t="shared" si="0"/>
        <v>2.5455865119460361E-4</v>
      </c>
      <c r="F67" s="200">
        <v>8.5000000000000006E-2</v>
      </c>
      <c r="G67" s="123">
        <f t="shared" si="1"/>
        <v>3.33690380635401E-4</v>
      </c>
      <c r="I67" s="124"/>
      <c r="J67" s="124"/>
    </row>
    <row r="68" spans="1:10">
      <c r="A68" t="s">
        <v>370</v>
      </c>
      <c r="B68" s="28" t="s">
        <v>371</v>
      </c>
      <c r="C68" s="199">
        <v>2.0369129028600455E-3</v>
      </c>
      <c r="D68" s="200">
        <v>1.1474999999999999E-2</v>
      </c>
      <c r="E68" s="123">
        <f t="shared" si="0"/>
        <v>2.3373575560319021E-5</v>
      </c>
      <c r="F68" s="200">
        <v>0.11560000000000001</v>
      </c>
      <c r="G68" s="123">
        <f t="shared" si="1"/>
        <v>2.3546713157062129E-4</v>
      </c>
      <c r="I68" s="124"/>
      <c r="J68" s="124"/>
    </row>
    <row r="69" spans="1:10">
      <c r="A69" t="s">
        <v>372</v>
      </c>
      <c r="B69" s="28" t="s">
        <v>373</v>
      </c>
      <c r="C69" s="199">
        <v>1.6517077307342661E-4</v>
      </c>
      <c r="D69" s="200" t="s">
        <v>1301</v>
      </c>
      <c r="E69" s="123" t="str">
        <f t="shared" si="0"/>
        <v>n/a</v>
      </c>
      <c r="F69" s="200">
        <v>0.30015999999999998</v>
      </c>
      <c r="G69" s="123">
        <f t="shared" si="1"/>
        <v>4.9577659245719731E-5</v>
      </c>
      <c r="I69" s="124"/>
      <c r="J69" s="124"/>
    </row>
    <row r="70" spans="1:10">
      <c r="A70" t="s">
        <v>374</v>
      </c>
      <c r="B70" s="28" t="s">
        <v>375</v>
      </c>
      <c r="C70" s="199">
        <v>8.1544138539999607E-4</v>
      </c>
      <c r="D70" s="200">
        <v>4.2167000000000003E-2</v>
      </c>
      <c r="E70" s="123">
        <f t="shared" si="0"/>
        <v>3.4384716898161638E-5</v>
      </c>
      <c r="F70" s="200">
        <v>6.0749999999999998E-2</v>
      </c>
      <c r="G70" s="123">
        <f t="shared" si="1"/>
        <v>4.9538064163049757E-5</v>
      </c>
      <c r="I70" s="124"/>
      <c r="J70" s="124"/>
    </row>
    <row r="71" spans="1:10">
      <c r="A71" t="s">
        <v>376</v>
      </c>
      <c r="B71" s="28" t="s">
        <v>377</v>
      </c>
      <c r="C71" s="199">
        <v>9.255895355686864E-4</v>
      </c>
      <c r="D71" s="200">
        <v>2.8864999999999998E-2</v>
      </c>
      <c r="E71" s="123">
        <f t="shared" si="0"/>
        <v>2.6717141944190131E-5</v>
      </c>
      <c r="F71" s="200">
        <v>4.8550000000000003E-2</v>
      </c>
      <c r="G71" s="123">
        <f t="shared" si="1"/>
        <v>4.4937371951859727E-5</v>
      </c>
      <c r="I71" s="124"/>
      <c r="J71" s="124"/>
    </row>
    <row r="72" spans="1:10">
      <c r="A72" t="s">
        <v>378</v>
      </c>
      <c r="B72" s="28" t="s">
        <v>379</v>
      </c>
      <c r="C72" s="199">
        <v>5.4408317651629618E-3</v>
      </c>
      <c r="D72" s="200">
        <v>1.7538999999999999E-2</v>
      </c>
      <c r="E72" s="123">
        <f t="shared" si="0"/>
        <v>9.5426748329193185E-5</v>
      </c>
      <c r="F72" s="200">
        <v>0.11688000000000001</v>
      </c>
      <c r="G72" s="123">
        <f t="shared" si="1"/>
        <v>6.3592441671224702E-4</v>
      </c>
      <c r="I72" s="124"/>
      <c r="J72" s="124"/>
    </row>
    <row r="73" spans="1:10">
      <c r="A73" t="s">
        <v>380</v>
      </c>
      <c r="B73" s="28" t="s">
        <v>381</v>
      </c>
      <c r="C73" s="199">
        <v>1.5414051505921586E-3</v>
      </c>
      <c r="D73" s="200">
        <v>2.2641999999999999E-2</v>
      </c>
      <c r="E73" s="123">
        <f t="shared" si="0"/>
        <v>3.4900495419707653E-5</v>
      </c>
      <c r="F73" s="200">
        <v>9.2799999999999994E-2</v>
      </c>
      <c r="G73" s="123">
        <f t="shared" si="1"/>
        <v>1.430423979749523E-4</v>
      </c>
      <c r="I73" s="124"/>
      <c r="J73" s="124"/>
    </row>
    <row r="74" spans="1:10">
      <c r="A74" t="s">
        <v>382</v>
      </c>
      <c r="B74" s="28" t="s">
        <v>383</v>
      </c>
      <c r="C74" s="199">
        <v>1.532581614770193E-3</v>
      </c>
      <c r="D74" s="200">
        <v>2.8226000000000001E-2</v>
      </c>
      <c r="E74" s="123">
        <f t="shared" si="0"/>
        <v>4.3258648658503468E-5</v>
      </c>
      <c r="F74" s="200">
        <v>0.12297000000000001</v>
      </c>
      <c r="G74" s="123">
        <f t="shared" si="1"/>
        <v>1.8846156116829064E-4</v>
      </c>
      <c r="I74" s="124"/>
      <c r="J74" s="124"/>
    </row>
    <row r="75" spans="1:10">
      <c r="A75" t="s">
        <v>384</v>
      </c>
      <c r="B75" s="28" t="s">
        <v>385</v>
      </c>
      <c r="C75" s="199">
        <v>1.0651195383715043E-3</v>
      </c>
      <c r="D75" s="200">
        <v>2.3323999999999998E-2</v>
      </c>
      <c r="E75" s="123">
        <f t="shared" si="0"/>
        <v>2.4842848112976963E-5</v>
      </c>
      <c r="F75" s="200">
        <v>0.13514999999999999</v>
      </c>
      <c r="G75" s="123">
        <f t="shared" si="1"/>
        <v>1.439509056109088E-4</v>
      </c>
      <c r="I75" s="124"/>
      <c r="J75" s="124"/>
    </row>
    <row r="76" spans="1:10">
      <c r="A76" t="s">
        <v>386</v>
      </c>
      <c r="B76" s="28" t="s">
        <v>387</v>
      </c>
      <c r="C76" s="199">
        <v>1.6560894276047337E-3</v>
      </c>
      <c r="D76" s="200">
        <v>3.3873E-2</v>
      </c>
      <c r="E76" s="123">
        <f t="shared" si="0"/>
        <v>5.6096717181255145E-5</v>
      </c>
      <c r="F76" s="200">
        <v>5.9580000000000001E-2</v>
      </c>
      <c r="G76" s="123">
        <f t="shared" si="1"/>
        <v>9.8669808096690028E-5</v>
      </c>
      <c r="I76" s="124"/>
      <c r="J76" s="124"/>
    </row>
    <row r="77" spans="1:10">
      <c r="A77" t="s">
        <v>388</v>
      </c>
      <c r="B77" s="28" t="s">
        <v>389</v>
      </c>
      <c r="C77" s="199">
        <v>6.7906460408107938E-4</v>
      </c>
      <c r="D77" s="200">
        <v>1.8519000000000001E-2</v>
      </c>
      <c r="E77" s="123">
        <f t="shared" si="0"/>
        <v>1.2575597402977509E-5</v>
      </c>
      <c r="F77" s="200">
        <v>-9.4899999999999998E-2</v>
      </c>
      <c r="G77" s="123">
        <f t="shared" si="1"/>
        <v>-6.4443230927294437E-5</v>
      </c>
      <c r="I77" s="124"/>
      <c r="J77" s="124"/>
    </row>
    <row r="78" spans="1:10">
      <c r="A78" t="s">
        <v>390</v>
      </c>
      <c r="B78" s="28" t="s">
        <v>391</v>
      </c>
      <c r="C78" s="199">
        <v>1.0131265270081472E-3</v>
      </c>
      <c r="D78" s="200">
        <v>2.5354000000000002E-2</v>
      </c>
      <c r="E78" s="123">
        <f t="shared" si="0"/>
        <v>2.5686809965764565E-5</v>
      </c>
      <c r="F78" s="200">
        <v>0.21376999999999999</v>
      </c>
      <c r="G78" s="123">
        <f t="shared" si="1"/>
        <v>2.1657605767853161E-4</v>
      </c>
      <c r="I78" s="124"/>
      <c r="J78" s="124"/>
    </row>
    <row r="79" spans="1:10">
      <c r="A79" t="s">
        <v>392</v>
      </c>
      <c r="B79" s="28" t="s">
        <v>393</v>
      </c>
      <c r="C79" s="199">
        <v>1.5971835962651018E-3</v>
      </c>
      <c r="D79" s="200">
        <v>1.0241E-2</v>
      </c>
      <c r="E79" s="123">
        <f t="shared" si="0"/>
        <v>1.6356757209350906E-5</v>
      </c>
      <c r="F79" s="200">
        <v>0.11699999999999999</v>
      </c>
      <c r="G79" s="123">
        <f t="shared" si="1"/>
        <v>1.8687048076301691E-4</v>
      </c>
      <c r="I79" s="124"/>
      <c r="J79" s="124"/>
    </row>
    <row r="80" spans="1:10">
      <c r="A80" t="s">
        <v>394</v>
      </c>
      <c r="B80" s="28" t="s">
        <v>395</v>
      </c>
      <c r="C80" s="199">
        <v>5.2875597007350709E-4</v>
      </c>
      <c r="D80" s="200">
        <v>3.0469E-2</v>
      </c>
      <c r="E80" s="123">
        <f t="shared" si="0"/>
        <v>1.6110665652169686E-5</v>
      </c>
      <c r="F80" s="200">
        <v>-3.0899999999999997E-2</v>
      </c>
      <c r="G80" s="123">
        <f t="shared" si="1"/>
        <v>-1.6338559475271367E-5</v>
      </c>
      <c r="I80" s="124"/>
      <c r="J80" s="124"/>
    </row>
    <row r="81" spans="1:10">
      <c r="A81" t="s">
        <v>396</v>
      </c>
      <c r="B81" s="28" t="s">
        <v>397</v>
      </c>
      <c r="C81" s="199">
        <v>1.0685333872837437E-3</v>
      </c>
      <c r="D81" s="200">
        <v>2.9843999999999999E-2</v>
      </c>
      <c r="E81" s="123">
        <f t="shared" si="0"/>
        <v>3.1889310410096043E-5</v>
      </c>
      <c r="F81" s="200">
        <v>0.111</v>
      </c>
      <c r="G81" s="123">
        <f t="shared" si="1"/>
        <v>1.1860720598849555E-4</v>
      </c>
      <c r="I81" s="124"/>
      <c r="J81" s="124"/>
    </row>
    <row r="82" spans="1:10">
      <c r="A82" t="s">
        <v>398</v>
      </c>
      <c r="B82" s="28" t="s">
        <v>399</v>
      </c>
      <c r="C82" s="199">
        <v>2.5858526414960859E-3</v>
      </c>
      <c r="D82" s="200">
        <v>2.2596999999999999E-2</v>
      </c>
      <c r="E82" s="123">
        <f t="shared" si="0"/>
        <v>5.843251213988705E-5</v>
      </c>
      <c r="F82" s="200">
        <v>0.14000000000000001</v>
      </c>
      <c r="G82" s="123">
        <f t="shared" si="1"/>
        <v>3.6201936980945204E-4</v>
      </c>
      <c r="I82" s="124"/>
      <c r="J82" s="124"/>
    </row>
    <row r="83" spans="1:10">
      <c r="A83" t="s">
        <v>400</v>
      </c>
      <c r="B83" s="28" t="s">
        <v>401</v>
      </c>
      <c r="C83" s="199">
        <v>8.204313787657573E-4</v>
      </c>
      <c r="D83" s="200" t="s">
        <v>1301</v>
      </c>
      <c r="E83" s="123" t="str">
        <f t="shared" si="0"/>
        <v>n/a</v>
      </c>
      <c r="F83" s="200">
        <v>0.12909999999999999</v>
      </c>
      <c r="G83" s="123">
        <f t="shared" si="1"/>
        <v>1.0591769099865926E-4</v>
      </c>
      <c r="I83" s="124"/>
      <c r="J83" s="124"/>
    </row>
    <row r="84" spans="1:10">
      <c r="A84" t="s">
        <v>402</v>
      </c>
      <c r="B84" s="28" t="s">
        <v>403</v>
      </c>
      <c r="C84" s="199">
        <v>9.0656508144027967E-4</v>
      </c>
      <c r="D84" s="200" t="s">
        <v>1301</v>
      </c>
      <c r="E84" s="123" t="str">
        <f t="shared" si="0"/>
        <v>n/a</v>
      </c>
      <c r="F84" s="200">
        <v>0.128</v>
      </c>
      <c r="G84" s="123">
        <f t="shared" si="1"/>
        <v>1.160403304243558E-4</v>
      </c>
      <c r="I84" s="124"/>
      <c r="J84" s="124"/>
    </row>
    <row r="85" spans="1:10">
      <c r="A85" t="s">
        <v>404</v>
      </c>
      <c r="B85" s="28" t="s">
        <v>405</v>
      </c>
      <c r="C85" s="199">
        <v>3.84443221177286E-4</v>
      </c>
      <c r="D85" s="200">
        <v>1.9914000000000001E-2</v>
      </c>
      <c r="E85" s="123">
        <f t="shared" si="0"/>
        <v>7.6558023065244736E-6</v>
      </c>
      <c r="F85" s="200">
        <v>5.7500000000000002E-2</v>
      </c>
      <c r="G85" s="123">
        <f t="shared" si="1"/>
        <v>2.2105485217693945E-5</v>
      </c>
      <c r="I85" s="124"/>
      <c r="J85" s="124"/>
    </row>
    <row r="86" spans="1:10">
      <c r="A86" t="s">
        <v>406</v>
      </c>
      <c r="B86" s="28" t="s">
        <v>407</v>
      </c>
      <c r="C86" s="199">
        <v>6.0856196346227044E-4</v>
      </c>
      <c r="D86" s="200">
        <v>1.3625E-2</v>
      </c>
      <c r="E86" s="123">
        <f t="shared" si="0"/>
        <v>8.2916567521734346E-6</v>
      </c>
      <c r="F86" s="200">
        <v>0.13100000000000001</v>
      </c>
      <c r="G86" s="123">
        <f t="shared" si="1"/>
        <v>7.9721617213557435E-5</v>
      </c>
      <c r="I86" s="124"/>
      <c r="J86" s="124"/>
    </row>
    <row r="87" spans="1:10">
      <c r="A87" t="s">
        <v>408</v>
      </c>
      <c r="B87" s="28" t="s">
        <v>409</v>
      </c>
      <c r="C87" s="199">
        <v>7.5272176890494387E-4</v>
      </c>
      <c r="D87" s="200">
        <v>7.6509999999999998E-3</v>
      </c>
      <c r="E87" s="123">
        <f t="shared" ref="E87:E150" si="2">IFERROR($D87*$C87,"n/a")</f>
        <v>5.7590742538917251E-6</v>
      </c>
      <c r="F87" s="200">
        <v>6.5000000000000002E-2</v>
      </c>
      <c r="G87" s="123">
        <f t="shared" si="1"/>
        <v>4.8926914978821352E-5</v>
      </c>
      <c r="I87" s="124"/>
      <c r="J87" s="124"/>
    </row>
    <row r="88" spans="1:10">
      <c r="A88" t="s">
        <v>410</v>
      </c>
      <c r="B88" s="28" t="s">
        <v>411</v>
      </c>
      <c r="C88" s="199">
        <v>2.1329772370048592E-3</v>
      </c>
      <c r="D88" s="200">
        <v>2.1406999999999999E-2</v>
      </c>
      <c r="E88" s="123">
        <f t="shared" si="2"/>
        <v>4.5660643712563017E-5</v>
      </c>
      <c r="F88" s="200">
        <v>7.3330000000000006E-2</v>
      </c>
      <c r="G88" s="123">
        <f t="shared" ref="G88:G151" si="3">IFERROR($F88*$C88,"n/a")</f>
        <v>1.5641122078956633E-4</v>
      </c>
      <c r="I88" s="124"/>
      <c r="J88" s="124"/>
    </row>
    <row r="89" spans="1:10">
      <c r="A89" t="s">
        <v>412</v>
      </c>
      <c r="B89" s="28" t="s">
        <v>413</v>
      </c>
      <c r="C89" s="199">
        <v>1.6374173886251407E-3</v>
      </c>
      <c r="D89" s="200">
        <v>1.0484E-2</v>
      </c>
      <c r="E89" s="123">
        <f t="shared" si="2"/>
        <v>1.7166683902345977E-5</v>
      </c>
      <c r="F89" s="200">
        <v>0.122</v>
      </c>
      <c r="G89" s="123">
        <f t="shared" si="3"/>
        <v>1.9976492141226716E-4</v>
      </c>
      <c r="I89" s="124"/>
      <c r="J89" s="124"/>
    </row>
    <row r="90" spans="1:10">
      <c r="A90" t="s">
        <v>414</v>
      </c>
      <c r="B90" s="28" t="s">
        <v>415</v>
      </c>
      <c r="C90" s="199">
        <v>2.8532308192432353E-3</v>
      </c>
      <c r="D90" s="200">
        <v>1.2346999999999999E-2</v>
      </c>
      <c r="E90" s="123">
        <f t="shared" si="2"/>
        <v>3.5228840925196219E-5</v>
      </c>
      <c r="F90" s="200">
        <v>0.13285</v>
      </c>
      <c r="G90" s="123">
        <f t="shared" si="3"/>
        <v>3.7905171433646377E-4</v>
      </c>
      <c r="I90" s="124"/>
      <c r="J90" s="124"/>
    </row>
    <row r="91" spans="1:10">
      <c r="A91" t="s">
        <v>416</v>
      </c>
      <c r="B91" s="28" t="s">
        <v>417</v>
      </c>
      <c r="C91" s="199">
        <v>1.188997176380492E-2</v>
      </c>
      <c r="D91" s="200" t="s">
        <v>1301</v>
      </c>
      <c r="E91" s="123" t="str">
        <f t="shared" si="2"/>
        <v>n/a</v>
      </c>
      <c r="F91" s="200">
        <v>-5.5999999999999994E-2</v>
      </c>
      <c r="G91" s="123">
        <f t="shared" si="3"/>
        <v>-6.6583841877307544E-4</v>
      </c>
      <c r="I91" s="124"/>
      <c r="J91" s="124"/>
    </row>
    <row r="92" spans="1:10">
      <c r="A92" t="s">
        <v>418</v>
      </c>
      <c r="B92" s="28" t="s">
        <v>419</v>
      </c>
      <c r="C92" s="199">
        <v>6.7668500412742518E-4</v>
      </c>
      <c r="D92" s="200">
        <v>3.0384999999999999E-2</v>
      </c>
      <c r="E92" s="123">
        <f t="shared" si="2"/>
        <v>2.0561073850411814E-5</v>
      </c>
      <c r="F92" s="200">
        <v>0.11103</v>
      </c>
      <c r="G92" s="123">
        <f t="shared" si="3"/>
        <v>7.5132336008268015E-5</v>
      </c>
      <c r="I92" s="124"/>
      <c r="J92" s="124"/>
    </row>
    <row r="93" spans="1:10">
      <c r="A93" t="s">
        <v>420</v>
      </c>
      <c r="B93" s="28" t="s">
        <v>421</v>
      </c>
      <c r="C93" s="199">
        <v>2.0580385901785645E-4</v>
      </c>
      <c r="D93" s="200">
        <v>4.2390999999999998E-2</v>
      </c>
      <c r="E93" s="123">
        <f t="shared" si="2"/>
        <v>8.724231387625953E-6</v>
      </c>
      <c r="F93" s="200">
        <v>0.1</v>
      </c>
      <c r="G93" s="123">
        <f t="shared" si="3"/>
        <v>2.0580385901785648E-5</v>
      </c>
      <c r="I93" s="124"/>
      <c r="J93" s="124"/>
    </row>
    <row r="94" spans="1:10">
      <c r="A94" t="s">
        <v>422</v>
      </c>
      <c r="B94" s="28" t="s">
        <v>423</v>
      </c>
      <c r="C94" s="199">
        <v>2.2409014587897198E-3</v>
      </c>
      <c r="D94" s="200" t="s">
        <v>1301</v>
      </c>
      <c r="E94" s="123" t="str">
        <f t="shared" si="2"/>
        <v>n/a</v>
      </c>
      <c r="F94" s="200">
        <v>0.38575000000000004</v>
      </c>
      <c r="G94" s="123">
        <f t="shared" si="3"/>
        <v>8.6442773772813452E-4</v>
      </c>
      <c r="I94" s="124"/>
      <c r="J94" s="124"/>
    </row>
    <row r="95" spans="1:10">
      <c r="A95" t="s">
        <v>424</v>
      </c>
      <c r="B95" s="28" t="s">
        <v>425</v>
      </c>
      <c r="C95" s="199">
        <v>3.4210670252786436E-3</v>
      </c>
      <c r="D95" s="200">
        <v>3.3218999999999999E-2</v>
      </c>
      <c r="E95" s="123">
        <f t="shared" si="2"/>
        <v>1.1364442551273126E-4</v>
      </c>
      <c r="F95" s="200">
        <v>0.1278</v>
      </c>
      <c r="G95" s="123">
        <f t="shared" si="3"/>
        <v>4.3721236583061062E-4</v>
      </c>
      <c r="I95" s="124"/>
      <c r="J95" s="124"/>
    </row>
    <row r="96" spans="1:10">
      <c r="A96" t="s">
        <v>426</v>
      </c>
      <c r="B96" s="28" t="s">
        <v>427</v>
      </c>
      <c r="C96" s="199">
        <v>2.7190521992562737E-4</v>
      </c>
      <c r="D96" s="200">
        <v>1.9426000000000002E-2</v>
      </c>
      <c r="E96" s="123">
        <f t="shared" si="2"/>
        <v>5.2820308022752376E-6</v>
      </c>
      <c r="F96" s="200">
        <v>0.11163000000000001</v>
      </c>
      <c r="G96" s="123">
        <f t="shared" si="3"/>
        <v>3.0352779700297785E-5</v>
      </c>
      <c r="I96" s="124"/>
      <c r="J96" s="124"/>
    </row>
    <row r="97" spans="1:10">
      <c r="A97" t="s">
        <v>428</v>
      </c>
      <c r="B97" s="28" t="s">
        <v>429</v>
      </c>
      <c r="C97" s="199">
        <v>6.1763967805184689E-4</v>
      </c>
      <c r="D97" s="200">
        <v>1.4053E-2</v>
      </c>
      <c r="E97" s="123">
        <f t="shared" si="2"/>
        <v>8.6796903956626035E-6</v>
      </c>
      <c r="F97" s="200">
        <v>9.8599999999999993E-2</v>
      </c>
      <c r="G97" s="123">
        <f t="shared" si="3"/>
        <v>6.0899272255912097E-5</v>
      </c>
      <c r="I97" s="124"/>
      <c r="J97" s="124"/>
    </row>
    <row r="98" spans="1:10">
      <c r="A98" t="s">
        <v>430</v>
      </c>
      <c r="B98" s="28" t="s">
        <v>431</v>
      </c>
      <c r="C98" s="199">
        <v>4.5665028714149679E-4</v>
      </c>
      <c r="D98" s="200">
        <v>1.1222000000000001E-2</v>
      </c>
      <c r="E98" s="123">
        <f t="shared" si="2"/>
        <v>5.1245295223018774E-6</v>
      </c>
      <c r="F98" s="200">
        <v>0.33267000000000002</v>
      </c>
      <c r="G98" s="123">
        <f t="shared" si="3"/>
        <v>1.5191385102336175E-4</v>
      </c>
      <c r="I98" s="124"/>
      <c r="J98" s="124"/>
    </row>
    <row r="99" spans="1:10">
      <c r="A99" t="s">
        <v>432</v>
      </c>
      <c r="B99" s="28" t="s">
        <v>433</v>
      </c>
      <c r="C99" s="199">
        <v>4.5272457026590139E-4</v>
      </c>
      <c r="D99" s="200">
        <v>3.9515000000000002E-2</v>
      </c>
      <c r="E99" s="123">
        <f t="shared" si="2"/>
        <v>1.7889411394057093E-5</v>
      </c>
      <c r="F99" s="200">
        <v>3.048E-2</v>
      </c>
      <c r="G99" s="123">
        <f t="shared" si="3"/>
        <v>1.3799044901704675E-5</v>
      </c>
      <c r="I99" s="124"/>
      <c r="J99" s="124"/>
    </row>
    <row r="100" spans="1:10">
      <c r="A100" t="s">
        <v>434</v>
      </c>
      <c r="B100" s="28" t="s">
        <v>435</v>
      </c>
      <c r="C100" s="199">
        <v>4.5311335039394243E-4</v>
      </c>
      <c r="D100" s="200">
        <v>1.3616999999999999E-2</v>
      </c>
      <c r="E100" s="123">
        <f t="shared" si="2"/>
        <v>6.1700444923143139E-6</v>
      </c>
      <c r="F100" s="200">
        <v>8.967E-2</v>
      </c>
      <c r="G100" s="123">
        <f t="shared" si="3"/>
        <v>4.063067412982482E-5</v>
      </c>
      <c r="I100" s="124"/>
      <c r="J100" s="124"/>
    </row>
    <row r="101" spans="1:10">
      <c r="A101" t="s">
        <v>436</v>
      </c>
      <c r="B101" s="28" t="s">
        <v>437</v>
      </c>
      <c r="C101" s="199">
        <v>9.3760834075726955E-4</v>
      </c>
      <c r="D101" s="200">
        <v>8.0560000000000007E-3</v>
      </c>
      <c r="E101" s="123">
        <f t="shared" si="2"/>
        <v>7.5533727931405645E-6</v>
      </c>
      <c r="F101" s="200">
        <v>9.5329999999999998E-2</v>
      </c>
      <c r="G101" s="123">
        <f t="shared" si="3"/>
        <v>8.938220312439051E-5</v>
      </c>
      <c r="I101" s="124"/>
      <c r="J101" s="124"/>
    </row>
    <row r="102" spans="1:10">
      <c r="A102" t="s">
        <v>438</v>
      </c>
      <c r="B102" s="28" t="s">
        <v>439</v>
      </c>
      <c r="C102" s="199">
        <v>1.2873778917008079E-3</v>
      </c>
      <c r="D102" s="200">
        <v>3.4734000000000001E-2</v>
      </c>
      <c r="E102" s="123">
        <f t="shared" si="2"/>
        <v>4.4715783690335867E-5</v>
      </c>
      <c r="F102" s="200">
        <v>0.1176</v>
      </c>
      <c r="G102" s="123">
        <f t="shared" si="3"/>
        <v>1.51395640064015E-4</v>
      </c>
      <c r="I102" s="124"/>
      <c r="J102" s="124"/>
    </row>
    <row r="103" spans="1:10">
      <c r="A103" t="s">
        <v>440</v>
      </c>
      <c r="B103" s="28" t="s">
        <v>441</v>
      </c>
      <c r="C103" s="199">
        <v>3.4653447281251214E-4</v>
      </c>
      <c r="D103" s="200" t="s">
        <v>1301</v>
      </c>
      <c r="E103" s="123" t="str">
        <f t="shared" si="2"/>
        <v>n/a</v>
      </c>
      <c r="F103" s="200">
        <v>0.11423999999999999</v>
      </c>
      <c r="G103" s="123">
        <f t="shared" si="3"/>
        <v>3.9588098174101384E-5</v>
      </c>
      <c r="I103" s="124"/>
      <c r="J103" s="124"/>
    </row>
    <row r="104" spans="1:10">
      <c r="A104" t="s">
        <v>442</v>
      </c>
      <c r="B104" s="28" t="s">
        <v>443</v>
      </c>
      <c r="C104" s="199">
        <v>7.0275188137110039E-4</v>
      </c>
      <c r="D104" s="200">
        <v>0.14099200000000001</v>
      </c>
      <c r="E104" s="123">
        <f t="shared" si="2"/>
        <v>9.9082393258274196E-5</v>
      </c>
      <c r="F104" s="200">
        <v>-0.21809999999999999</v>
      </c>
      <c r="G104" s="123">
        <f t="shared" si="3"/>
        <v>-1.5327018532703698E-4</v>
      </c>
      <c r="I104" s="124"/>
      <c r="J104" s="124"/>
    </row>
    <row r="105" spans="1:10">
      <c r="A105" t="s">
        <v>446</v>
      </c>
      <c r="B105" s="28" t="s">
        <v>447</v>
      </c>
      <c r="C105" s="199">
        <v>5.1170963328438972E-4</v>
      </c>
      <c r="D105" s="200">
        <v>2.9485999999999998E-2</v>
      </c>
      <c r="E105" s="123">
        <f t="shared" si="2"/>
        <v>1.5088270247023514E-5</v>
      </c>
      <c r="F105" s="200">
        <v>5.6829999999999999E-2</v>
      </c>
      <c r="G105" s="123">
        <f t="shared" si="3"/>
        <v>2.9080458459551866E-5</v>
      </c>
      <c r="I105" s="124"/>
      <c r="J105" s="124"/>
    </row>
    <row r="106" spans="1:10">
      <c r="A106" t="s">
        <v>448</v>
      </c>
      <c r="B106" s="28" t="s">
        <v>449</v>
      </c>
      <c r="C106" s="199">
        <v>8.0400281110968815E-4</v>
      </c>
      <c r="D106" s="200">
        <v>2.5878999999999999E-2</v>
      </c>
      <c r="E106" s="123">
        <f t="shared" si="2"/>
        <v>2.080678874870762E-5</v>
      </c>
      <c r="F106" s="200">
        <v>4.947E-2</v>
      </c>
      <c r="G106" s="123">
        <f t="shared" si="3"/>
        <v>3.9774019065596272E-5</v>
      </c>
      <c r="I106" s="124"/>
      <c r="J106" s="124"/>
    </row>
    <row r="107" spans="1:10">
      <c r="A107" t="s">
        <v>450</v>
      </c>
      <c r="B107" s="28" t="s">
        <v>451</v>
      </c>
      <c r="C107" s="199">
        <v>6.2707530519710039E-4</v>
      </c>
      <c r="D107" s="200">
        <v>2.9344000000000002E-2</v>
      </c>
      <c r="E107" s="123">
        <f t="shared" si="2"/>
        <v>1.8400897755703714E-5</v>
      </c>
      <c r="F107" s="200">
        <v>6.93E-2</v>
      </c>
      <c r="G107" s="123">
        <f t="shared" si="3"/>
        <v>4.345631865015906E-5</v>
      </c>
      <c r="I107" s="124"/>
      <c r="J107" s="124"/>
    </row>
    <row r="108" spans="1:10">
      <c r="A108" t="s">
        <v>624</v>
      </c>
      <c r="B108" s="28" t="s">
        <v>625</v>
      </c>
      <c r="C108" s="199">
        <v>4.2026777699734287E-4</v>
      </c>
      <c r="D108" s="200">
        <v>4.3375999999999998E-2</v>
      </c>
      <c r="E108" s="123">
        <f t="shared" si="2"/>
        <v>1.8229535095036742E-5</v>
      </c>
      <c r="F108" s="200">
        <v>1.9799999999999998E-2</v>
      </c>
      <c r="G108" s="123">
        <f t="shared" si="3"/>
        <v>8.3213019845473881E-6</v>
      </c>
      <c r="I108" s="124"/>
      <c r="J108" s="124"/>
    </row>
    <row r="109" spans="1:10">
      <c r="A109" t="s">
        <v>452</v>
      </c>
      <c r="B109" s="28" t="s">
        <v>453</v>
      </c>
      <c r="C109" s="199">
        <v>2.381244277243913E-3</v>
      </c>
      <c r="D109" s="200">
        <v>2.5974000000000001E-2</v>
      </c>
      <c r="E109" s="123">
        <f t="shared" si="2"/>
        <v>6.1850438857133399E-5</v>
      </c>
      <c r="F109" s="200">
        <v>6.694E-2</v>
      </c>
      <c r="G109" s="123">
        <f t="shared" si="3"/>
        <v>1.5940049191870754E-4</v>
      </c>
      <c r="I109" s="124"/>
      <c r="J109" s="124"/>
    </row>
    <row r="110" spans="1:10">
      <c r="A110" t="s">
        <v>454</v>
      </c>
      <c r="B110" s="28" t="s">
        <v>455</v>
      </c>
      <c r="C110" s="199">
        <v>5.3477361304764856E-4</v>
      </c>
      <c r="D110" s="200">
        <v>3.4035999999999997E-2</v>
      </c>
      <c r="E110" s="123">
        <f t="shared" si="2"/>
        <v>1.8201554693689765E-5</v>
      </c>
      <c r="F110" s="200">
        <v>0.16413</v>
      </c>
      <c r="G110" s="123">
        <f t="shared" si="3"/>
        <v>8.777239310951056E-5</v>
      </c>
      <c r="I110" s="124"/>
      <c r="J110" s="124"/>
    </row>
    <row r="111" spans="1:10">
      <c r="A111" t="s">
        <v>456</v>
      </c>
      <c r="B111" s="28" t="s">
        <v>457</v>
      </c>
      <c r="C111" s="199">
        <v>3.0147234209002802E-4</v>
      </c>
      <c r="D111" s="200" t="s">
        <v>1301</v>
      </c>
      <c r="E111" s="123" t="str">
        <f t="shared" si="2"/>
        <v>n/a</v>
      </c>
      <c r="F111" s="200">
        <v>9.2349999999999988E-2</v>
      </c>
      <c r="G111" s="123">
        <f t="shared" si="3"/>
        <v>2.7840970792014083E-5</v>
      </c>
      <c r="I111" s="124"/>
      <c r="J111" s="124"/>
    </row>
    <row r="112" spans="1:10">
      <c r="A112" t="s">
        <v>458</v>
      </c>
      <c r="B112" s="28" t="s">
        <v>459</v>
      </c>
      <c r="C112" s="199">
        <v>4.4609573628504636E-4</v>
      </c>
      <c r="D112" s="200">
        <v>3.9279000000000001E-2</v>
      </c>
      <c r="E112" s="123">
        <f t="shared" si="2"/>
        <v>1.7522194425540337E-5</v>
      </c>
      <c r="F112" s="200">
        <v>8.5000000000000006E-2</v>
      </c>
      <c r="G112" s="123">
        <f t="shared" si="3"/>
        <v>3.7918137584228941E-5</v>
      </c>
      <c r="I112" s="124"/>
      <c r="J112" s="124"/>
    </row>
    <row r="113" spans="1:10">
      <c r="A113" t="s">
        <v>460</v>
      </c>
      <c r="B113" s="28" t="s">
        <v>461</v>
      </c>
      <c r="C113" s="199">
        <v>1.0715942450313315E-3</v>
      </c>
      <c r="D113" s="200">
        <v>3.8120000000000001E-2</v>
      </c>
      <c r="E113" s="123">
        <f t="shared" si="2"/>
        <v>4.0849172620594361E-5</v>
      </c>
      <c r="F113" s="200">
        <v>3.7249999999999998E-2</v>
      </c>
      <c r="G113" s="123">
        <f t="shared" si="3"/>
        <v>3.99168856274171E-5</v>
      </c>
      <c r="I113" s="124"/>
      <c r="J113" s="124"/>
    </row>
    <row r="114" spans="1:10">
      <c r="A114" t="s">
        <v>462</v>
      </c>
      <c r="B114" s="28" t="s">
        <v>463</v>
      </c>
      <c r="C114" s="199">
        <v>3.2832954192742306E-4</v>
      </c>
      <c r="D114" s="200">
        <v>3.6784999999999998E-2</v>
      </c>
      <c r="E114" s="123">
        <f t="shared" si="2"/>
        <v>1.2077602199800256E-5</v>
      </c>
      <c r="F114" s="200">
        <v>-5.8499999999999993E-3</v>
      </c>
      <c r="G114" s="123">
        <f t="shared" si="3"/>
        <v>-1.9207278202754248E-6</v>
      </c>
      <c r="I114" s="124"/>
      <c r="J114" s="124"/>
    </row>
    <row r="115" spans="1:10">
      <c r="A115" t="s">
        <v>464</v>
      </c>
      <c r="B115" s="28" t="s">
        <v>465</v>
      </c>
      <c r="C115" s="199">
        <v>1.1300127903185681E-3</v>
      </c>
      <c r="D115" s="200">
        <v>2.1648000000000001E-2</v>
      </c>
      <c r="E115" s="123">
        <f t="shared" si="2"/>
        <v>2.4462516884816362E-5</v>
      </c>
      <c r="F115" s="200">
        <v>0.10390000000000001</v>
      </c>
      <c r="G115" s="123">
        <f t="shared" si="3"/>
        <v>1.1740832891409923E-4</v>
      </c>
      <c r="I115" s="124"/>
      <c r="J115" s="124"/>
    </row>
    <row r="116" spans="1:10">
      <c r="A116" t="s">
        <v>466</v>
      </c>
      <c r="B116" s="28" t="s">
        <v>467</v>
      </c>
      <c r="C116" s="199">
        <v>1.0026210924321498E-3</v>
      </c>
      <c r="D116" s="200">
        <v>3.0997E-2</v>
      </c>
      <c r="E116" s="123">
        <f t="shared" si="2"/>
        <v>3.1078246002119347E-5</v>
      </c>
      <c r="F116" s="200">
        <v>0.10640000000000001</v>
      </c>
      <c r="G116" s="123">
        <f t="shared" si="3"/>
        <v>1.0667888423478074E-4</v>
      </c>
      <c r="I116" s="124"/>
      <c r="J116" s="124"/>
    </row>
    <row r="117" spans="1:10">
      <c r="A117" t="s">
        <v>468</v>
      </c>
      <c r="B117" s="28" t="s">
        <v>469</v>
      </c>
      <c r="C117" s="199">
        <v>3.2798041265819622E-3</v>
      </c>
      <c r="D117" s="200">
        <v>5.77E-3</v>
      </c>
      <c r="E117" s="123">
        <f t="shared" si="2"/>
        <v>1.8924469810377922E-5</v>
      </c>
      <c r="F117" s="200">
        <v>0.10945000000000001</v>
      </c>
      <c r="G117" s="123">
        <f t="shared" si="3"/>
        <v>3.5897456165439581E-4</v>
      </c>
      <c r="I117" s="124"/>
      <c r="J117" s="124"/>
    </row>
    <row r="118" spans="1:10">
      <c r="A118" t="s">
        <v>470</v>
      </c>
      <c r="B118" s="28" t="s">
        <v>471</v>
      </c>
      <c r="C118" s="199">
        <v>1.6169992151503986E-3</v>
      </c>
      <c r="D118" s="200">
        <v>3.5068000000000002E-2</v>
      </c>
      <c r="E118" s="123">
        <f t="shared" si="2"/>
        <v>5.6704928476894182E-5</v>
      </c>
      <c r="F118" s="200">
        <v>6.4379999999999993E-2</v>
      </c>
      <c r="G118" s="123">
        <f t="shared" si="3"/>
        <v>1.0410240947138265E-4</v>
      </c>
      <c r="I118" s="124"/>
      <c r="J118" s="124"/>
    </row>
    <row r="119" spans="1:10">
      <c r="A119" t="s">
        <v>472</v>
      </c>
      <c r="B119" s="28" t="s">
        <v>473</v>
      </c>
      <c r="C119" s="199">
        <v>2.2268290077238663E-3</v>
      </c>
      <c r="D119" s="200">
        <v>1.8536999999999998E-2</v>
      </c>
      <c r="E119" s="123">
        <f t="shared" si="2"/>
        <v>4.1278729316177302E-5</v>
      </c>
      <c r="F119" s="200">
        <v>0.10833</v>
      </c>
      <c r="G119" s="123">
        <f t="shared" si="3"/>
        <v>2.4123238640672644E-4</v>
      </c>
      <c r="I119" s="124"/>
      <c r="J119" s="124"/>
    </row>
    <row r="120" spans="1:10">
      <c r="A120" t="s">
        <v>474</v>
      </c>
      <c r="B120" s="28" t="s">
        <v>475</v>
      </c>
      <c r="C120" s="199">
        <v>2.4092754270718577E-3</v>
      </c>
      <c r="D120" s="200">
        <v>5.2248999999999997E-2</v>
      </c>
      <c r="E120" s="123">
        <f t="shared" si="2"/>
        <v>1.2588223178907747E-4</v>
      </c>
      <c r="F120" s="200">
        <v>6.0299999999999999E-2</v>
      </c>
      <c r="G120" s="123">
        <f t="shared" si="3"/>
        <v>1.4527930825243302E-4</v>
      </c>
      <c r="I120" s="124"/>
      <c r="J120" s="124"/>
    </row>
    <row r="121" spans="1:10">
      <c r="A121" t="s">
        <v>476</v>
      </c>
      <c r="B121" s="28" t="s">
        <v>477</v>
      </c>
      <c r="C121" s="199">
        <v>5.4555650176076791E-4</v>
      </c>
      <c r="D121" s="200">
        <v>2.1860000000000001E-2</v>
      </c>
      <c r="E121" s="123">
        <f t="shared" si="2"/>
        <v>1.1925865128490387E-5</v>
      </c>
      <c r="F121" s="200">
        <v>0.10967</v>
      </c>
      <c r="G121" s="123">
        <f t="shared" si="3"/>
        <v>5.9831181548103418E-5</v>
      </c>
      <c r="I121" s="124"/>
      <c r="J121" s="124"/>
    </row>
    <row r="122" spans="1:10">
      <c r="A122" t="s">
        <v>1199</v>
      </c>
      <c r="B122" s="28" t="s">
        <v>1200</v>
      </c>
      <c r="C122" s="199">
        <v>4.6137211096440074E-4</v>
      </c>
      <c r="D122" s="200">
        <v>3.1932000000000002E-2</v>
      </c>
      <c r="E122" s="123">
        <f t="shared" si="2"/>
        <v>1.4732534247315245E-5</v>
      </c>
      <c r="F122" s="200">
        <v>6.4899999999999999E-2</v>
      </c>
      <c r="G122" s="123">
        <f t="shared" si="3"/>
        <v>2.9943050001589608E-5</v>
      </c>
      <c r="I122" s="124"/>
      <c r="J122" s="124"/>
    </row>
    <row r="123" spans="1:10">
      <c r="A123" t="s">
        <v>478</v>
      </c>
      <c r="B123" s="28" t="s">
        <v>479</v>
      </c>
      <c r="C123" s="199">
        <v>2.656682673047292E-3</v>
      </c>
      <c r="D123" s="200">
        <v>4.2264999999999997E-2</v>
      </c>
      <c r="E123" s="123">
        <f t="shared" si="2"/>
        <v>1.1228469317634378E-4</v>
      </c>
      <c r="F123" s="200">
        <v>5.0039999999999994E-2</v>
      </c>
      <c r="G123" s="123">
        <f t="shared" si="3"/>
        <v>1.3294040095928648E-4</v>
      </c>
      <c r="I123" s="124"/>
      <c r="J123" s="124"/>
    </row>
    <row r="124" spans="1:10">
      <c r="A124" t="s">
        <v>480</v>
      </c>
      <c r="B124" s="28" t="s">
        <v>481</v>
      </c>
      <c r="C124" s="199">
        <v>4.6751071132176514E-4</v>
      </c>
      <c r="D124" s="200">
        <v>3.4153999999999997E-2</v>
      </c>
      <c r="E124" s="123">
        <f t="shared" si="2"/>
        <v>1.5967360834483564E-5</v>
      </c>
      <c r="F124" s="200">
        <v>6.037E-2</v>
      </c>
      <c r="G124" s="123">
        <f t="shared" si="3"/>
        <v>2.8223621642494961E-5</v>
      </c>
      <c r="I124" s="124"/>
      <c r="J124" s="124"/>
    </row>
    <row r="125" spans="1:10">
      <c r="A125" t="s">
        <v>482</v>
      </c>
      <c r="B125" s="28" t="s">
        <v>483</v>
      </c>
      <c r="C125" s="199">
        <v>1.4027598660927086E-3</v>
      </c>
      <c r="D125" s="200">
        <v>3.4623000000000001E-2</v>
      </c>
      <c r="E125" s="123">
        <f t="shared" si="2"/>
        <v>4.8567754843727852E-5</v>
      </c>
      <c r="F125" s="200">
        <v>9.824999999999999E-2</v>
      </c>
      <c r="G125" s="123">
        <f t="shared" si="3"/>
        <v>1.378211568436086E-4</v>
      </c>
      <c r="I125" s="124"/>
      <c r="J125" s="124"/>
    </row>
    <row r="126" spans="1:10">
      <c r="A126" t="s">
        <v>484</v>
      </c>
      <c r="B126" s="28" t="s">
        <v>485</v>
      </c>
      <c r="C126" s="199">
        <v>1.9394815082477961E-3</v>
      </c>
      <c r="D126" s="200">
        <v>1.1632999999999999E-2</v>
      </c>
      <c r="E126" s="123">
        <f t="shared" si="2"/>
        <v>2.2561988385446611E-5</v>
      </c>
      <c r="F126" s="200">
        <v>0.13</v>
      </c>
      <c r="G126" s="123">
        <f t="shared" si="3"/>
        <v>2.5213259607221352E-4</v>
      </c>
      <c r="I126" s="124"/>
      <c r="J126" s="124"/>
    </row>
    <row r="127" spans="1:10">
      <c r="A127" t="s">
        <v>486</v>
      </c>
      <c r="B127" s="28" t="s">
        <v>487</v>
      </c>
      <c r="C127" s="199">
        <v>4.2732689990265175E-4</v>
      </c>
      <c r="D127" s="200">
        <v>3.094E-3</v>
      </c>
      <c r="E127" s="123">
        <f t="shared" si="2"/>
        <v>1.3221494282988046E-6</v>
      </c>
      <c r="F127" s="200">
        <v>0.15490000000000001</v>
      </c>
      <c r="G127" s="123">
        <f t="shared" si="3"/>
        <v>6.6192936794920763E-5</v>
      </c>
      <c r="I127" s="124"/>
      <c r="J127" s="124"/>
    </row>
    <row r="128" spans="1:10">
      <c r="A128" t="s">
        <v>488</v>
      </c>
      <c r="B128" s="28" t="s">
        <v>489</v>
      </c>
      <c r="C128" s="199">
        <v>1.7316894161696285E-3</v>
      </c>
      <c r="D128" s="200">
        <v>2.9937000000000002E-2</v>
      </c>
      <c r="E128" s="123">
        <f t="shared" si="2"/>
        <v>5.1841586051870174E-5</v>
      </c>
      <c r="F128" s="200">
        <v>8.929999999999999E-2</v>
      </c>
      <c r="G128" s="123">
        <f t="shared" si="3"/>
        <v>1.546398648639478E-4</v>
      </c>
      <c r="I128" s="124"/>
      <c r="J128" s="124"/>
    </row>
    <row r="129" spans="1:10">
      <c r="A129" t="s">
        <v>490</v>
      </c>
      <c r="B129" s="28" t="s">
        <v>491</v>
      </c>
      <c r="C129" s="199">
        <v>2.4418647443084297E-3</v>
      </c>
      <c r="D129" s="200">
        <v>8.8710000000000004E-3</v>
      </c>
      <c r="E129" s="123">
        <f t="shared" si="2"/>
        <v>2.166178214676008E-5</v>
      </c>
      <c r="F129" s="200">
        <v>0.1106</v>
      </c>
      <c r="G129" s="123">
        <f t="shared" si="3"/>
        <v>2.7007024072051234E-4</v>
      </c>
      <c r="I129" s="124"/>
      <c r="J129" s="124"/>
    </row>
    <row r="130" spans="1:10">
      <c r="A130" t="s">
        <v>492</v>
      </c>
      <c r="B130" s="28" t="s">
        <v>493</v>
      </c>
      <c r="C130" s="199">
        <v>6.8578802818223378E-4</v>
      </c>
      <c r="D130" s="200">
        <v>4.0812000000000001E-2</v>
      </c>
      <c r="E130" s="123">
        <f t="shared" si="2"/>
        <v>2.7988381006173324E-5</v>
      </c>
      <c r="F130" s="200">
        <v>-7.3000000000000001E-3</v>
      </c>
      <c r="G130" s="123">
        <f t="shared" si="3"/>
        <v>-5.0062526057303065E-6</v>
      </c>
      <c r="I130" s="124"/>
      <c r="J130" s="124"/>
    </row>
    <row r="131" spans="1:10">
      <c r="A131" t="s">
        <v>494</v>
      </c>
      <c r="B131" s="28" t="s">
        <v>495</v>
      </c>
      <c r="C131" s="199">
        <v>5.4774294709188695E-4</v>
      </c>
      <c r="D131" s="200">
        <v>1.4577E-2</v>
      </c>
      <c r="E131" s="123">
        <f t="shared" si="2"/>
        <v>7.9844489397584358E-6</v>
      </c>
      <c r="F131" s="200">
        <v>6.5970000000000001E-2</v>
      </c>
      <c r="G131" s="123">
        <f t="shared" si="3"/>
        <v>3.6134602219651781E-5</v>
      </c>
      <c r="I131" s="124"/>
      <c r="J131" s="124"/>
    </row>
    <row r="132" spans="1:10">
      <c r="A132" t="s">
        <v>496</v>
      </c>
      <c r="B132" s="28" t="s">
        <v>497</v>
      </c>
      <c r="C132" s="199">
        <v>1.0845361370358584E-3</v>
      </c>
      <c r="D132" s="200" t="s">
        <v>1301</v>
      </c>
      <c r="E132" s="123" t="str">
        <f t="shared" si="2"/>
        <v>n/a</v>
      </c>
      <c r="F132" s="200">
        <v>0.15225</v>
      </c>
      <c r="G132" s="123">
        <f t="shared" si="3"/>
        <v>1.6512062686370945E-4</v>
      </c>
      <c r="I132" s="124"/>
      <c r="J132" s="124"/>
    </row>
    <row r="133" spans="1:10">
      <c r="A133" t="s">
        <v>498</v>
      </c>
      <c r="B133" s="28" t="s">
        <v>499</v>
      </c>
      <c r="C133" s="199">
        <v>5.2385851702665964E-4</v>
      </c>
      <c r="D133" s="200" t="s">
        <v>1301</v>
      </c>
      <c r="E133" s="123" t="str">
        <f t="shared" si="2"/>
        <v>n/a</v>
      </c>
      <c r="F133" s="200">
        <v>0.1447</v>
      </c>
      <c r="G133" s="123">
        <f t="shared" si="3"/>
        <v>7.5802327413757649E-5</v>
      </c>
      <c r="I133" s="124"/>
      <c r="J133" s="124"/>
    </row>
    <row r="134" spans="1:10">
      <c r="A134" t="s">
        <v>500</v>
      </c>
      <c r="B134" s="28" t="s">
        <v>501</v>
      </c>
      <c r="C134" s="199">
        <v>1.9676048626330283E-3</v>
      </c>
      <c r="D134" s="200">
        <v>1.4641999999999999E-2</v>
      </c>
      <c r="E134" s="123">
        <f t="shared" si="2"/>
        <v>2.8809670398672798E-5</v>
      </c>
      <c r="F134" s="200">
        <v>0.14300000000000002</v>
      </c>
      <c r="G134" s="123">
        <f t="shared" si="3"/>
        <v>2.8136749535652308E-4</v>
      </c>
      <c r="I134" s="124"/>
      <c r="J134" s="124"/>
    </row>
    <row r="135" spans="1:10">
      <c r="A135" t="s">
        <v>502</v>
      </c>
      <c r="B135" s="28" t="s">
        <v>503</v>
      </c>
      <c r="C135" s="199">
        <v>3.4324864840780032E-4</v>
      </c>
      <c r="D135" s="200">
        <v>5.7413999999999993E-2</v>
      </c>
      <c r="E135" s="123">
        <f t="shared" si="2"/>
        <v>1.9707277899685444E-5</v>
      </c>
      <c r="F135" s="200">
        <v>6.0000000000000001E-3</v>
      </c>
      <c r="G135" s="123">
        <f t="shared" si="3"/>
        <v>2.0594918904468018E-6</v>
      </c>
      <c r="I135" s="124"/>
      <c r="J135" s="124"/>
    </row>
    <row r="136" spans="1:10">
      <c r="A136" t="s">
        <v>504</v>
      </c>
      <c r="B136" s="28" t="s">
        <v>505</v>
      </c>
      <c r="C136" s="199">
        <v>4.5613104091189873E-4</v>
      </c>
      <c r="D136" s="200">
        <v>2.0049999999999998E-2</v>
      </c>
      <c r="E136" s="123">
        <f t="shared" si="2"/>
        <v>9.1454273702835694E-6</v>
      </c>
      <c r="F136" s="200">
        <v>0.17066999999999999</v>
      </c>
      <c r="G136" s="123">
        <f t="shared" si="3"/>
        <v>7.7847884752433753E-5</v>
      </c>
      <c r="I136" s="124"/>
      <c r="J136" s="124"/>
    </row>
    <row r="137" spans="1:10">
      <c r="A137" t="s">
        <v>506</v>
      </c>
      <c r="B137" s="28" t="s">
        <v>28</v>
      </c>
      <c r="C137" s="199">
        <v>1.4594402829531186E-3</v>
      </c>
      <c r="D137" s="200">
        <v>6.8182000000000006E-2</v>
      </c>
      <c r="E137" s="123">
        <f t="shared" si="2"/>
        <v>9.9507557372309542E-5</v>
      </c>
      <c r="F137" s="200">
        <v>-4.8029999999999996E-2</v>
      </c>
      <c r="G137" s="123">
        <f t="shared" si="3"/>
        <v>-7.0096916790238277E-5</v>
      </c>
      <c r="I137" s="124"/>
      <c r="J137" s="124"/>
    </row>
    <row r="138" spans="1:10">
      <c r="A138" t="s">
        <v>507</v>
      </c>
      <c r="B138" s="28" t="s">
        <v>508</v>
      </c>
      <c r="C138" s="199">
        <v>3.6310899150584744E-3</v>
      </c>
      <c r="D138" s="200">
        <v>2.4807000000000003E-2</v>
      </c>
      <c r="E138" s="123">
        <f t="shared" si="2"/>
        <v>9.0076447522855589E-5</v>
      </c>
      <c r="F138" s="200">
        <v>8.3979999999999999E-2</v>
      </c>
      <c r="G138" s="123">
        <f t="shared" si="3"/>
        <v>3.0493893106661068E-4</v>
      </c>
      <c r="I138" s="124"/>
      <c r="J138" s="124"/>
    </row>
    <row r="139" spans="1:10">
      <c r="A139" t="s">
        <v>509</v>
      </c>
      <c r="B139" s="28" t="s">
        <v>510</v>
      </c>
      <c r="C139" s="199">
        <v>6.4039170300351621E-4</v>
      </c>
      <c r="D139" s="200">
        <v>3.5122999999999995E-2</v>
      </c>
      <c r="E139" s="123">
        <f t="shared" si="2"/>
        <v>2.2492477784592496E-5</v>
      </c>
      <c r="F139" s="200">
        <v>0.1</v>
      </c>
      <c r="G139" s="123">
        <f t="shared" si="3"/>
        <v>6.4039170300351621E-5</v>
      </c>
      <c r="I139" s="124"/>
      <c r="J139" s="124"/>
    </row>
    <row r="140" spans="1:10">
      <c r="A140" t="s">
        <v>511</v>
      </c>
      <c r="B140" s="28" t="s">
        <v>512</v>
      </c>
      <c r="C140" s="199">
        <v>7.1595567041588134E-4</v>
      </c>
      <c r="D140" s="200">
        <v>1.7181999999999999E-2</v>
      </c>
      <c r="E140" s="123">
        <f t="shared" si="2"/>
        <v>1.2301550329085672E-5</v>
      </c>
      <c r="F140" s="200">
        <v>-0.1255</v>
      </c>
      <c r="G140" s="123">
        <f t="shared" si="3"/>
        <v>-8.985243663719311E-5</v>
      </c>
      <c r="I140" s="124"/>
      <c r="J140" s="124"/>
    </row>
    <row r="141" spans="1:10">
      <c r="A141" t="s">
        <v>513</v>
      </c>
      <c r="B141" s="28" t="s">
        <v>514</v>
      </c>
      <c r="C141" s="199">
        <v>4.1189933061665571E-4</v>
      </c>
      <c r="D141" s="200">
        <v>3.8128999999999996E-2</v>
      </c>
      <c r="E141" s="123">
        <f t="shared" si="2"/>
        <v>1.5705309577082464E-5</v>
      </c>
      <c r="F141" s="200">
        <v>8.6249999999999993E-2</v>
      </c>
      <c r="G141" s="123">
        <f t="shared" si="3"/>
        <v>3.5526317265686553E-5</v>
      </c>
      <c r="I141" s="124"/>
      <c r="J141" s="124"/>
    </row>
    <row r="142" spans="1:10">
      <c r="A142" t="s">
        <v>515</v>
      </c>
      <c r="B142" s="28" t="s">
        <v>516</v>
      </c>
      <c r="C142" s="199">
        <v>2.1517606669204134E-3</v>
      </c>
      <c r="D142" s="200">
        <v>2.1733000000000002E-2</v>
      </c>
      <c r="E142" s="123">
        <f t="shared" si="2"/>
        <v>4.6764214574181348E-5</v>
      </c>
      <c r="F142" s="200">
        <v>0.10093000000000001</v>
      </c>
      <c r="G142" s="123">
        <f t="shared" si="3"/>
        <v>2.1717720411227733E-4</v>
      </c>
      <c r="I142" s="124"/>
      <c r="J142" s="124"/>
    </row>
    <row r="143" spans="1:10">
      <c r="A143" t="s">
        <v>517</v>
      </c>
      <c r="B143" s="28" t="s">
        <v>518</v>
      </c>
      <c r="C143" s="199">
        <v>1.1256939373278086E-3</v>
      </c>
      <c r="D143" s="200">
        <v>4.4104000000000004E-2</v>
      </c>
      <c r="E143" s="123">
        <f t="shared" si="2"/>
        <v>4.9647605411905674E-5</v>
      </c>
      <c r="F143" s="200">
        <v>5.9000000000000004E-2</v>
      </c>
      <c r="G143" s="123">
        <f t="shared" si="3"/>
        <v>6.641594230234071E-5</v>
      </c>
      <c r="I143" s="124"/>
      <c r="J143" s="124"/>
    </row>
    <row r="144" spans="1:10">
      <c r="A144" t="s">
        <v>519</v>
      </c>
      <c r="B144" s="28" t="s">
        <v>520</v>
      </c>
      <c r="C144" s="199">
        <v>6.2183746796450957E-4</v>
      </c>
      <c r="D144" s="200">
        <v>2.8852000000000003E-2</v>
      </c>
      <c r="E144" s="123">
        <f t="shared" si="2"/>
        <v>1.7941254625712032E-5</v>
      </c>
      <c r="F144" s="200">
        <v>5.62E-2</v>
      </c>
      <c r="G144" s="123">
        <f t="shared" si="3"/>
        <v>3.4947265699605441E-5</v>
      </c>
      <c r="I144" s="124"/>
      <c r="J144" s="124"/>
    </row>
    <row r="145" spans="1:10">
      <c r="A145" t="s">
        <v>521</v>
      </c>
      <c r="B145" s="28" t="s">
        <v>522</v>
      </c>
      <c r="C145" s="199">
        <v>7.0617609474812046E-4</v>
      </c>
      <c r="D145" s="200">
        <v>1.8416000000000002E-2</v>
      </c>
      <c r="E145" s="123">
        <f t="shared" si="2"/>
        <v>1.3004938960881387E-5</v>
      </c>
      <c r="F145" s="200">
        <v>0.12467</v>
      </c>
      <c r="G145" s="123">
        <f t="shared" si="3"/>
        <v>8.803897373224818E-5</v>
      </c>
      <c r="I145" s="124"/>
      <c r="J145" s="124"/>
    </row>
    <row r="146" spans="1:10">
      <c r="A146" t="s">
        <v>523</v>
      </c>
      <c r="B146" s="28" t="s">
        <v>524</v>
      </c>
      <c r="C146" s="199">
        <v>1.1661583919827826E-3</v>
      </c>
      <c r="D146" s="200">
        <v>2.2959E-2</v>
      </c>
      <c r="E146" s="123">
        <f t="shared" si="2"/>
        <v>2.6773830521532707E-5</v>
      </c>
      <c r="F146" s="200">
        <v>0.30077999999999999</v>
      </c>
      <c r="G146" s="123">
        <f t="shared" si="3"/>
        <v>3.5075712114058133E-4</v>
      </c>
      <c r="I146" s="124"/>
      <c r="J146" s="124"/>
    </row>
    <row r="147" spans="1:10">
      <c r="A147" t="s">
        <v>525</v>
      </c>
      <c r="B147" s="28" t="s">
        <v>526</v>
      </c>
      <c r="C147" s="199">
        <v>2.5477237294360179E-4</v>
      </c>
      <c r="D147" s="200">
        <v>4.0152E-2</v>
      </c>
      <c r="E147" s="123">
        <f t="shared" si="2"/>
        <v>1.0229620318431499E-5</v>
      </c>
      <c r="F147" s="200">
        <v>8.967E-2</v>
      </c>
      <c r="G147" s="123">
        <f t="shared" si="3"/>
        <v>2.2845438681852771E-5</v>
      </c>
      <c r="I147" s="124"/>
      <c r="J147" s="124"/>
    </row>
    <row r="148" spans="1:10">
      <c r="A148" t="s">
        <v>527</v>
      </c>
      <c r="B148" s="28" t="s">
        <v>528</v>
      </c>
      <c r="C148" s="199">
        <v>7.6614773112105119E-4</v>
      </c>
      <c r="D148" s="200">
        <v>1.7887E-2</v>
      </c>
      <c r="E148" s="123">
        <f t="shared" si="2"/>
        <v>1.3704084466562244E-5</v>
      </c>
      <c r="F148" s="200">
        <v>7.0000000000000007E-2</v>
      </c>
      <c r="G148" s="123">
        <f t="shared" si="3"/>
        <v>5.3630341178473589E-5</v>
      </c>
      <c r="I148" s="124"/>
      <c r="J148" s="124"/>
    </row>
    <row r="149" spans="1:10">
      <c r="A149" t="s">
        <v>529</v>
      </c>
      <c r="B149" s="28" t="s">
        <v>530</v>
      </c>
      <c r="C149" s="199">
        <v>6.3925774557609062E-4</v>
      </c>
      <c r="D149" s="200">
        <v>4.6925000000000001E-2</v>
      </c>
      <c r="E149" s="123">
        <f t="shared" si="2"/>
        <v>2.9997169711158054E-5</v>
      </c>
      <c r="F149" s="200">
        <v>2.29E-2</v>
      </c>
      <c r="G149" s="123">
        <f t="shared" si="3"/>
        <v>1.4639002373692475E-5</v>
      </c>
      <c r="I149" s="124"/>
      <c r="J149" s="124"/>
    </row>
    <row r="150" spans="1:10">
      <c r="A150" t="s">
        <v>531</v>
      </c>
      <c r="B150" s="28" t="s">
        <v>532</v>
      </c>
      <c r="C150" s="199">
        <v>2.6001728239422571E-4</v>
      </c>
      <c r="D150" s="200">
        <v>5.0723000000000004E-2</v>
      </c>
      <c r="E150" s="123">
        <f t="shared" si="2"/>
        <v>1.3188856614882312E-5</v>
      </c>
      <c r="F150" s="200">
        <v>0.96360000000000001</v>
      </c>
      <c r="G150" s="123">
        <f t="shared" si="3"/>
        <v>2.5055265331507589E-4</v>
      </c>
      <c r="I150" s="124"/>
      <c r="J150" s="124"/>
    </row>
    <row r="151" spans="1:10">
      <c r="A151" t="s">
        <v>533</v>
      </c>
      <c r="B151" s="28" t="s">
        <v>534</v>
      </c>
      <c r="C151" s="199">
        <v>1.0630563455729335E-3</v>
      </c>
      <c r="D151" s="200">
        <v>3.7339999999999999E-3</v>
      </c>
      <c r="E151" s="123">
        <f t="shared" ref="E151:E214" si="4">IFERROR($D151*$C151,"n/a")</f>
        <v>3.9694523943693332E-6</v>
      </c>
      <c r="F151" s="200">
        <v>0.12689999999999999</v>
      </c>
      <c r="G151" s="123">
        <f t="shared" si="3"/>
        <v>1.3490185025320523E-4</v>
      </c>
      <c r="I151" s="124"/>
      <c r="J151" s="124"/>
    </row>
    <row r="152" spans="1:10">
      <c r="A152" t="s">
        <v>535</v>
      </c>
      <c r="B152" s="28" t="s">
        <v>536</v>
      </c>
      <c r="C152" s="199">
        <v>6.718987802906487E-4</v>
      </c>
      <c r="D152" s="200">
        <v>2.7220000000000001E-2</v>
      </c>
      <c r="E152" s="123">
        <f t="shared" si="4"/>
        <v>1.8289084799511458E-5</v>
      </c>
      <c r="F152" s="200">
        <v>7.2750000000000009E-2</v>
      </c>
      <c r="G152" s="123">
        <f t="shared" ref="G152:G215" si="5">IFERROR($F152*$C152,"n/a")</f>
        <v>4.8880636266144697E-5</v>
      </c>
      <c r="I152" s="124"/>
      <c r="J152" s="124"/>
    </row>
    <row r="153" spans="1:10">
      <c r="A153" t="s">
        <v>537</v>
      </c>
      <c r="B153" s="28" t="s">
        <v>538</v>
      </c>
      <c r="C153" s="199">
        <v>9.1656353208993506E-4</v>
      </c>
      <c r="D153" s="200">
        <v>2.7963000000000002E-2</v>
      </c>
      <c r="E153" s="123">
        <f t="shared" si="4"/>
        <v>2.5629866047830857E-5</v>
      </c>
      <c r="F153" s="200">
        <v>6.2E-2</v>
      </c>
      <c r="G153" s="123">
        <f t="shared" si="5"/>
        <v>5.6826938989575975E-5</v>
      </c>
      <c r="I153" s="124"/>
      <c r="J153" s="124"/>
    </row>
    <row r="154" spans="1:10">
      <c r="A154" t="s">
        <v>539</v>
      </c>
      <c r="B154" s="28" t="s">
        <v>540</v>
      </c>
      <c r="C154" s="199">
        <v>9.6034203974596237E-4</v>
      </c>
      <c r="D154" s="200">
        <v>1.9849000000000002E-2</v>
      </c>
      <c r="E154" s="123">
        <f t="shared" si="4"/>
        <v>1.9061829146917608E-5</v>
      </c>
      <c r="F154" s="200">
        <v>5.7999999999999996E-2</v>
      </c>
      <c r="G154" s="123">
        <f t="shared" si="5"/>
        <v>5.5699838305265811E-5</v>
      </c>
      <c r="I154" s="124"/>
      <c r="J154" s="124"/>
    </row>
    <row r="155" spans="1:10">
      <c r="A155" t="s">
        <v>541</v>
      </c>
      <c r="B155" s="28" t="s">
        <v>542</v>
      </c>
      <c r="C155" s="199">
        <v>5.8241020432100987E-4</v>
      </c>
      <c r="D155" s="200">
        <v>2.3022000000000001E-2</v>
      </c>
      <c r="E155" s="123">
        <f t="shared" si="4"/>
        <v>1.340824772387829E-5</v>
      </c>
      <c r="F155" s="200">
        <v>0.1091</v>
      </c>
      <c r="G155" s="123">
        <f t="shared" si="5"/>
        <v>6.3540953291422179E-5</v>
      </c>
      <c r="I155" s="124"/>
      <c r="J155" s="124"/>
    </row>
    <row r="156" spans="1:10">
      <c r="A156" t="s">
        <v>543</v>
      </c>
      <c r="B156" s="28" t="s">
        <v>544</v>
      </c>
      <c r="C156" s="199">
        <v>2.8547976154308821E-3</v>
      </c>
      <c r="D156" s="200">
        <v>2.2482000000000002E-2</v>
      </c>
      <c r="E156" s="123">
        <f t="shared" si="4"/>
        <v>6.4181559990117104E-5</v>
      </c>
      <c r="F156" s="200">
        <v>7.3259999999999992E-2</v>
      </c>
      <c r="G156" s="123">
        <f t="shared" si="5"/>
        <v>2.0914247330646639E-4</v>
      </c>
      <c r="I156" s="124"/>
      <c r="J156" s="124"/>
    </row>
    <row r="157" spans="1:10">
      <c r="A157" t="s">
        <v>545</v>
      </c>
      <c r="B157" s="28" t="s">
        <v>546</v>
      </c>
      <c r="C157" s="199">
        <v>6.578026107008745E-4</v>
      </c>
      <c r="D157" s="200">
        <v>3.7193000000000004E-2</v>
      </c>
      <c r="E157" s="123">
        <f t="shared" si="4"/>
        <v>2.4465652499797629E-5</v>
      </c>
      <c r="F157" s="200">
        <v>6.898E-2</v>
      </c>
      <c r="G157" s="123">
        <f t="shared" si="5"/>
        <v>4.5375224086146325E-5</v>
      </c>
      <c r="I157" s="124"/>
      <c r="J157" s="124"/>
    </row>
    <row r="158" spans="1:10">
      <c r="A158" t="s">
        <v>547</v>
      </c>
      <c r="B158" s="28" t="s">
        <v>548</v>
      </c>
      <c r="C158" s="199">
        <v>1.799334720675031E-3</v>
      </c>
      <c r="D158" s="200">
        <v>6.4729999999999996E-3</v>
      </c>
      <c r="E158" s="123">
        <f t="shared" si="4"/>
        <v>1.1647093646929475E-5</v>
      </c>
      <c r="F158" s="200">
        <v>0.14263999999999999</v>
      </c>
      <c r="G158" s="123">
        <f t="shared" si="5"/>
        <v>2.5665710455708638E-4</v>
      </c>
      <c r="I158" s="124"/>
      <c r="J158" s="124"/>
    </row>
    <row r="159" spans="1:10">
      <c r="A159" t="s">
        <v>549</v>
      </c>
      <c r="B159" s="28" t="s">
        <v>550</v>
      </c>
      <c r="C159" s="199">
        <v>8.9788728229449148E-4</v>
      </c>
      <c r="D159" s="200">
        <v>1.4742999999999999E-2</v>
      </c>
      <c r="E159" s="123">
        <f t="shared" si="4"/>
        <v>1.3237552202867688E-5</v>
      </c>
      <c r="F159" s="200">
        <v>0.14130000000000001</v>
      </c>
      <c r="G159" s="123">
        <f t="shared" si="5"/>
        <v>1.2687147298821167E-4</v>
      </c>
      <c r="I159" s="124"/>
      <c r="J159" s="124"/>
    </row>
    <row r="160" spans="1:10">
      <c r="A160" t="s">
        <v>551</v>
      </c>
      <c r="B160" s="28" t="s">
        <v>552</v>
      </c>
      <c r="C160" s="199">
        <v>1.9339018758665705E-3</v>
      </c>
      <c r="D160" s="200">
        <v>2.9131000000000001E-2</v>
      </c>
      <c r="E160" s="123">
        <f t="shared" si="4"/>
        <v>5.6336495545869066E-5</v>
      </c>
      <c r="F160" s="200">
        <v>9.5100000000000004E-2</v>
      </c>
      <c r="G160" s="123">
        <f t="shared" si="5"/>
        <v>1.8391406839491086E-4</v>
      </c>
      <c r="I160" s="124"/>
      <c r="J160" s="124"/>
    </row>
    <row r="161" spans="1:10">
      <c r="A161" t="s">
        <v>553</v>
      </c>
      <c r="B161" s="28" t="s">
        <v>554</v>
      </c>
      <c r="C161" s="199">
        <v>1.0431713140200969E-3</v>
      </c>
      <c r="D161" s="200">
        <v>2.1192000000000003E-2</v>
      </c>
      <c r="E161" s="123">
        <f t="shared" si="4"/>
        <v>2.2106886486713895E-5</v>
      </c>
      <c r="F161" s="200">
        <v>0.10685</v>
      </c>
      <c r="G161" s="123">
        <f t="shared" si="5"/>
        <v>1.1146285490304736E-4</v>
      </c>
      <c r="I161" s="124"/>
      <c r="J161" s="124"/>
    </row>
    <row r="162" spans="1:10">
      <c r="A162" t="s">
        <v>555</v>
      </c>
      <c r="B162" s="28" t="s">
        <v>556</v>
      </c>
      <c r="C162" s="199">
        <v>2.678207115712854E-4</v>
      </c>
      <c r="D162" s="200">
        <v>2.4691000000000001E-2</v>
      </c>
      <c r="E162" s="123">
        <f t="shared" si="4"/>
        <v>6.6127611894066082E-6</v>
      </c>
      <c r="F162" s="200">
        <v>6.2350000000000003E-2</v>
      </c>
      <c r="G162" s="123">
        <f t="shared" si="5"/>
        <v>1.6698621366469645E-5</v>
      </c>
      <c r="I162" s="124"/>
      <c r="J162" s="124"/>
    </row>
    <row r="163" spans="1:10">
      <c r="A163" t="s">
        <v>557</v>
      </c>
      <c r="B163" s="28" t="s">
        <v>558</v>
      </c>
      <c r="C163" s="199">
        <v>3.71162416225699E-4</v>
      </c>
      <c r="D163" s="200">
        <v>3.6922999999999997E-2</v>
      </c>
      <c r="E163" s="123">
        <f t="shared" si="4"/>
        <v>1.3704429894301483E-5</v>
      </c>
      <c r="F163" s="200">
        <v>8.5250000000000006E-2</v>
      </c>
      <c r="G163" s="123">
        <f t="shared" si="5"/>
        <v>3.1641595983240844E-5</v>
      </c>
      <c r="I163" s="124"/>
      <c r="J163" s="124"/>
    </row>
    <row r="164" spans="1:10">
      <c r="A164" t="s">
        <v>559</v>
      </c>
      <c r="B164" s="28" t="s">
        <v>560</v>
      </c>
      <c r="C164" s="199">
        <v>6.4165879861775876E-4</v>
      </c>
      <c r="D164" s="200">
        <v>2.0594999999999999E-2</v>
      </c>
      <c r="E164" s="123">
        <f t="shared" si="4"/>
        <v>1.3214962957532741E-5</v>
      </c>
      <c r="F164" s="200">
        <v>0.09</v>
      </c>
      <c r="G164" s="123">
        <f t="shared" si="5"/>
        <v>5.7749291875598288E-5</v>
      </c>
      <c r="I164" s="124"/>
      <c r="J164" s="124"/>
    </row>
    <row r="165" spans="1:10">
      <c r="A165" t="s">
        <v>561</v>
      </c>
      <c r="B165" s="28" t="s">
        <v>562</v>
      </c>
      <c r="C165" s="199">
        <v>3.915085839004383E-4</v>
      </c>
      <c r="D165" s="200">
        <v>1.0493999999999998E-2</v>
      </c>
      <c r="E165" s="123">
        <f t="shared" si="4"/>
        <v>4.1084910794511984E-6</v>
      </c>
      <c r="F165" s="200">
        <v>0.13250000000000001</v>
      </c>
      <c r="G165" s="123">
        <f t="shared" si="5"/>
        <v>5.1874887366808077E-5</v>
      </c>
      <c r="I165" s="124"/>
      <c r="J165" s="124"/>
    </row>
    <row r="166" spans="1:10">
      <c r="A166" t="s">
        <v>563</v>
      </c>
      <c r="B166" s="28" t="s">
        <v>564</v>
      </c>
      <c r="C166" s="199">
        <v>2.2953138822669593E-4</v>
      </c>
      <c r="D166" s="200">
        <v>4.0027E-2</v>
      </c>
      <c r="E166" s="123">
        <f t="shared" si="4"/>
        <v>9.1874528765499584E-6</v>
      </c>
      <c r="F166" s="200">
        <v>1.8249999999999999E-2</v>
      </c>
      <c r="G166" s="123">
        <f t="shared" si="5"/>
        <v>4.1889478351372005E-6</v>
      </c>
      <c r="I166" s="124"/>
      <c r="J166" s="124"/>
    </row>
    <row r="167" spans="1:10">
      <c r="A167" t="s">
        <v>565</v>
      </c>
      <c r="B167" s="28" t="s">
        <v>566</v>
      </c>
      <c r="C167" s="199">
        <v>8.6923248517040326E-4</v>
      </c>
      <c r="D167" s="200">
        <v>3.7960000000000001E-2</v>
      </c>
      <c r="E167" s="123">
        <f t="shared" si="4"/>
        <v>3.299606513706851E-5</v>
      </c>
      <c r="F167" s="200">
        <v>4.9100000000000005E-2</v>
      </c>
      <c r="G167" s="123">
        <f t="shared" si="5"/>
        <v>4.2679315021866804E-5</v>
      </c>
      <c r="I167" s="124"/>
      <c r="J167" s="124"/>
    </row>
    <row r="168" spans="1:10">
      <c r="A168" t="s">
        <v>567</v>
      </c>
      <c r="B168" s="28" t="s">
        <v>568</v>
      </c>
      <c r="C168" s="199">
        <v>4.9969494170633169E-4</v>
      </c>
      <c r="D168" s="200">
        <v>1.924E-2</v>
      </c>
      <c r="E168" s="123">
        <f t="shared" si="4"/>
        <v>9.6141306784298215E-6</v>
      </c>
      <c r="F168" s="200">
        <v>0.1</v>
      </c>
      <c r="G168" s="123">
        <f t="shared" si="5"/>
        <v>4.9969494170633175E-5</v>
      </c>
      <c r="I168" s="124"/>
      <c r="J168" s="124"/>
    </row>
    <row r="169" spans="1:10">
      <c r="A169" t="s">
        <v>569</v>
      </c>
      <c r="B169" s="28" t="s">
        <v>570</v>
      </c>
      <c r="C169" s="199">
        <v>2.6786891310293201E-4</v>
      </c>
      <c r="D169" s="200">
        <v>1.6362000000000002E-2</v>
      </c>
      <c r="E169" s="123">
        <f t="shared" si="4"/>
        <v>4.3828711561901741E-6</v>
      </c>
      <c r="F169" s="200">
        <v>1.167E-2</v>
      </c>
      <c r="G169" s="123">
        <f t="shared" si="5"/>
        <v>3.1260302159112167E-6</v>
      </c>
      <c r="I169" s="124"/>
      <c r="J169" s="124"/>
    </row>
    <row r="170" spans="1:10">
      <c r="A170" t="s">
        <v>571</v>
      </c>
      <c r="B170" s="28" t="s">
        <v>572</v>
      </c>
      <c r="C170" s="199">
        <v>1.6372520245382658E-3</v>
      </c>
      <c r="D170" s="200">
        <v>3.6989999999999995E-2</v>
      </c>
      <c r="E170" s="123">
        <f t="shared" si="4"/>
        <v>6.0561952387670442E-5</v>
      </c>
      <c r="F170" s="200">
        <v>6.3350000000000004E-2</v>
      </c>
      <c r="G170" s="123">
        <f t="shared" si="5"/>
        <v>1.0371991575449914E-4</v>
      </c>
      <c r="I170" s="124"/>
      <c r="J170" s="124"/>
    </row>
    <row r="171" spans="1:10">
      <c r="A171" t="s">
        <v>573</v>
      </c>
      <c r="B171" s="28" t="s">
        <v>574</v>
      </c>
      <c r="C171" s="199">
        <v>3.0425805528205092E-4</v>
      </c>
      <c r="D171" s="200">
        <v>6.5844E-2</v>
      </c>
      <c r="E171" s="123">
        <f t="shared" si="4"/>
        <v>2.0033567391991361E-5</v>
      </c>
      <c r="F171" s="200">
        <v>3.5400000000000001E-2</v>
      </c>
      <c r="G171" s="123">
        <f t="shared" si="5"/>
        <v>1.0770735156984603E-5</v>
      </c>
      <c r="I171" s="124"/>
      <c r="J171" s="124"/>
    </row>
    <row r="172" spans="1:10">
      <c r="A172" t="s">
        <v>575</v>
      </c>
      <c r="B172" s="28" t="s">
        <v>576</v>
      </c>
      <c r="C172" s="199">
        <v>4.8147245273789068E-4</v>
      </c>
      <c r="D172" s="200">
        <v>3.5521999999999998E-2</v>
      </c>
      <c r="E172" s="123">
        <f t="shared" si="4"/>
        <v>1.7102864466155353E-5</v>
      </c>
      <c r="F172" s="200">
        <v>0.16</v>
      </c>
      <c r="G172" s="123">
        <f t="shared" si="5"/>
        <v>7.7035592438062512E-5</v>
      </c>
      <c r="I172" s="124"/>
      <c r="J172" s="124"/>
    </row>
    <row r="173" spans="1:10">
      <c r="A173" t="s">
        <v>577</v>
      </c>
      <c r="B173" s="28" t="s">
        <v>578</v>
      </c>
      <c r="C173" s="199">
        <v>7.6521136525112476E-3</v>
      </c>
      <c r="D173" s="200">
        <v>1.5129999999999999E-2</v>
      </c>
      <c r="E173" s="123">
        <f t="shared" si="4"/>
        <v>1.1577647956249517E-4</v>
      </c>
      <c r="F173" s="200">
        <v>7.3499999999999996E-2</v>
      </c>
      <c r="G173" s="123">
        <f t="shared" si="5"/>
        <v>5.6243035345957665E-4</v>
      </c>
      <c r="I173" s="124"/>
      <c r="J173" s="124"/>
    </row>
    <row r="174" spans="1:10">
      <c r="A174" t="s">
        <v>579</v>
      </c>
      <c r="B174" s="28" t="s">
        <v>580</v>
      </c>
      <c r="C174" s="199">
        <v>9.5932144622547417E-4</v>
      </c>
      <c r="D174" s="200">
        <v>1.9767E-2</v>
      </c>
      <c r="E174" s="123">
        <f t="shared" si="4"/>
        <v>1.8962907027538949E-5</v>
      </c>
      <c r="F174" s="200">
        <v>6.4340000000000008E-2</v>
      </c>
      <c r="G174" s="123">
        <f t="shared" si="5"/>
        <v>6.1722741850147016E-5</v>
      </c>
      <c r="I174" s="124"/>
      <c r="J174" s="124"/>
    </row>
    <row r="175" spans="1:10">
      <c r="A175" t="s">
        <v>581</v>
      </c>
      <c r="B175" s="28" t="s">
        <v>582</v>
      </c>
      <c r="C175" s="199">
        <v>2.267524878970123E-4</v>
      </c>
      <c r="D175" s="200">
        <v>3.7109000000000003E-2</v>
      </c>
      <c r="E175" s="123">
        <f t="shared" si="4"/>
        <v>8.4145580733702302E-6</v>
      </c>
      <c r="F175" s="200">
        <v>0.1</v>
      </c>
      <c r="G175" s="123">
        <f t="shared" si="5"/>
        <v>2.2675248789701231E-5</v>
      </c>
      <c r="I175" s="124"/>
      <c r="J175" s="124"/>
    </row>
    <row r="176" spans="1:10">
      <c r="A176" t="s">
        <v>583</v>
      </c>
      <c r="B176" s="28" t="s">
        <v>584</v>
      </c>
      <c r="C176" s="199">
        <v>5.765972061482611E-4</v>
      </c>
      <c r="D176" s="200">
        <v>3.3739999999999998E-3</v>
      </c>
      <c r="E176" s="123">
        <f t="shared" si="4"/>
        <v>1.9454389735442329E-6</v>
      </c>
      <c r="F176" s="200">
        <v>0.12740000000000001</v>
      </c>
      <c r="G176" s="123">
        <f t="shared" si="5"/>
        <v>7.3458484063288477E-5</v>
      </c>
      <c r="I176" s="124"/>
      <c r="J176" s="124"/>
    </row>
    <row r="177" spans="1:10">
      <c r="A177" t="s">
        <v>585</v>
      </c>
      <c r="B177" s="28" t="s">
        <v>586</v>
      </c>
      <c r="C177" s="199">
        <v>2.8538248915007097E-4</v>
      </c>
      <c r="D177" s="200">
        <v>2.4027E-2</v>
      </c>
      <c r="E177" s="123">
        <f t="shared" si="4"/>
        <v>6.8568850668087549E-6</v>
      </c>
      <c r="F177" s="200" t="s">
        <v>1301</v>
      </c>
      <c r="G177" s="123" t="str">
        <f t="shared" si="5"/>
        <v>n/a</v>
      </c>
      <c r="I177" s="124"/>
      <c r="J177" s="124"/>
    </row>
    <row r="178" spans="1:10">
      <c r="A178" t="s">
        <v>587</v>
      </c>
      <c r="B178" s="28" t="s">
        <v>588</v>
      </c>
      <c r="C178" s="199">
        <v>5.3896038191388121E-3</v>
      </c>
      <c r="D178" s="200">
        <v>2.1524999999999999E-2</v>
      </c>
      <c r="E178" s="123">
        <f t="shared" si="4"/>
        <v>1.1601122220696292E-4</v>
      </c>
      <c r="F178" s="200">
        <v>0.12859999999999999</v>
      </c>
      <c r="G178" s="123">
        <f t="shared" si="5"/>
        <v>6.9310305114125121E-4</v>
      </c>
      <c r="I178" s="124"/>
      <c r="J178" s="124"/>
    </row>
    <row r="179" spans="1:10">
      <c r="A179" t="s">
        <v>589</v>
      </c>
      <c r="B179" s="28" t="s">
        <v>590</v>
      </c>
      <c r="C179" s="199">
        <v>3.2512761887749258E-4</v>
      </c>
      <c r="D179" s="200">
        <v>8.6206999999999992E-2</v>
      </c>
      <c r="E179" s="123">
        <f t="shared" si="4"/>
        <v>2.8028276640572002E-5</v>
      </c>
      <c r="F179" s="200">
        <v>0.10717</v>
      </c>
      <c r="G179" s="123">
        <f t="shared" si="5"/>
        <v>3.4843926915100879E-5</v>
      </c>
      <c r="I179" s="124"/>
      <c r="J179" s="124"/>
    </row>
    <row r="180" spans="1:10">
      <c r="A180" t="s">
        <v>591</v>
      </c>
      <c r="B180" s="28" t="s">
        <v>592</v>
      </c>
      <c r="C180" s="199">
        <v>3.1667475285511344E-3</v>
      </c>
      <c r="D180" s="200" t="s">
        <v>1301</v>
      </c>
      <c r="E180" s="123" t="str">
        <f t="shared" si="4"/>
        <v>n/a</v>
      </c>
      <c r="F180" s="200">
        <v>0.47895000000000004</v>
      </c>
      <c r="G180" s="123">
        <f t="shared" si="5"/>
        <v>1.5167137287995659E-3</v>
      </c>
      <c r="I180" s="124"/>
      <c r="J180" s="124"/>
    </row>
    <row r="181" spans="1:10">
      <c r="A181" t="s">
        <v>593</v>
      </c>
      <c r="B181" s="28" t="s">
        <v>594</v>
      </c>
      <c r="C181" s="199">
        <v>5.3033173079945566E-4</v>
      </c>
      <c r="D181" s="200">
        <v>2.5302999999999999E-2</v>
      </c>
      <c r="E181" s="123">
        <f t="shared" si="4"/>
        <v>1.3418983784418627E-5</v>
      </c>
      <c r="F181" s="200" t="s">
        <v>1301</v>
      </c>
      <c r="G181" s="123" t="str">
        <f t="shared" si="5"/>
        <v>n/a</v>
      </c>
      <c r="I181" s="124"/>
      <c r="J181" s="124"/>
    </row>
    <row r="182" spans="1:10">
      <c r="A182" t="s">
        <v>595</v>
      </c>
      <c r="B182" s="28" t="s">
        <v>596</v>
      </c>
      <c r="C182" s="199">
        <v>6.3882783486100402E-4</v>
      </c>
      <c r="D182" s="200">
        <v>5.2190000000000005E-3</v>
      </c>
      <c r="E182" s="123">
        <f t="shared" si="4"/>
        <v>3.3340424701395803E-6</v>
      </c>
      <c r="F182" s="200" t="s">
        <v>1301</v>
      </c>
      <c r="G182" s="123" t="str">
        <f t="shared" si="5"/>
        <v>n/a</v>
      </c>
      <c r="I182" s="124"/>
      <c r="J182" s="124"/>
    </row>
    <row r="183" spans="1:10">
      <c r="A183" t="s">
        <v>597</v>
      </c>
      <c r="B183" s="28" t="s">
        <v>229</v>
      </c>
      <c r="C183" s="199">
        <v>3.2774895837332021E-3</v>
      </c>
      <c r="D183" s="200">
        <v>1.9967000000000002E-2</v>
      </c>
      <c r="E183" s="123">
        <f t="shared" si="4"/>
        <v>6.544163451840086E-5</v>
      </c>
      <c r="F183" s="200">
        <v>0.15167</v>
      </c>
      <c r="G183" s="123">
        <f t="shared" si="5"/>
        <v>4.970968451648148E-4</v>
      </c>
      <c r="I183" s="124"/>
      <c r="J183" s="124"/>
    </row>
    <row r="184" spans="1:10">
      <c r="A184" t="s">
        <v>598</v>
      </c>
      <c r="B184" s="28" t="s">
        <v>599</v>
      </c>
      <c r="C184" s="199">
        <v>5.6886932418618848E-4</v>
      </c>
      <c r="D184" s="200">
        <v>4.4297000000000003E-2</v>
      </c>
      <c r="E184" s="123">
        <f t="shared" si="4"/>
        <v>2.5199204453475594E-5</v>
      </c>
      <c r="F184" s="200">
        <v>4.5670000000000002E-2</v>
      </c>
      <c r="G184" s="123">
        <f t="shared" si="5"/>
        <v>2.5980262035583229E-5</v>
      </c>
      <c r="I184" s="124"/>
      <c r="J184" s="124"/>
    </row>
    <row r="185" spans="1:10">
      <c r="A185" t="s">
        <v>600</v>
      </c>
      <c r="B185" s="28" t="s">
        <v>601</v>
      </c>
      <c r="C185" s="199">
        <v>1.8856138870867593E-3</v>
      </c>
      <c r="D185" s="200">
        <v>1.8822999999999999E-2</v>
      </c>
      <c r="E185" s="123">
        <f t="shared" si="4"/>
        <v>3.5492910196634072E-5</v>
      </c>
      <c r="F185" s="200">
        <v>0.11800000000000001</v>
      </c>
      <c r="G185" s="123">
        <f t="shared" si="5"/>
        <v>2.2250243867623761E-4</v>
      </c>
      <c r="I185" s="124"/>
      <c r="J185" s="124"/>
    </row>
    <row r="186" spans="1:10">
      <c r="A186" t="s">
        <v>602</v>
      </c>
      <c r="B186" s="28" t="s">
        <v>603</v>
      </c>
      <c r="C186" s="199">
        <v>4.2028315071997207E-4</v>
      </c>
      <c r="D186" s="200">
        <v>1.4809999999999999E-2</v>
      </c>
      <c r="E186" s="123">
        <f t="shared" si="4"/>
        <v>6.2243934621627856E-6</v>
      </c>
      <c r="F186" s="200">
        <v>0.15462999999999999</v>
      </c>
      <c r="G186" s="123">
        <f t="shared" si="5"/>
        <v>6.4988383595829277E-5</v>
      </c>
      <c r="I186" s="124"/>
      <c r="J186" s="124"/>
    </row>
    <row r="187" spans="1:10">
      <c r="A187" t="s">
        <v>604</v>
      </c>
      <c r="B187" s="28" t="s">
        <v>605</v>
      </c>
      <c r="C187" s="199">
        <v>1.7346641988136478E-4</v>
      </c>
      <c r="D187" s="200" t="s">
        <v>1301</v>
      </c>
      <c r="E187" s="123" t="str">
        <f t="shared" si="4"/>
        <v>n/a</v>
      </c>
      <c r="F187" s="200">
        <v>0.1</v>
      </c>
      <c r="G187" s="123">
        <f t="shared" si="5"/>
        <v>1.7346641988136479E-5</v>
      </c>
      <c r="I187" s="124"/>
      <c r="J187" s="124"/>
    </row>
    <row r="188" spans="1:10">
      <c r="A188" t="s">
        <v>606</v>
      </c>
      <c r="B188" s="28" t="s">
        <v>607</v>
      </c>
      <c r="C188" s="199">
        <v>2.0410989619151624E-3</v>
      </c>
      <c r="D188" s="200">
        <v>1.1897E-2</v>
      </c>
      <c r="E188" s="123">
        <f t="shared" si="4"/>
        <v>2.4282954349904688E-5</v>
      </c>
      <c r="F188" s="200">
        <v>0.121</v>
      </c>
      <c r="G188" s="123">
        <f t="shared" si="5"/>
        <v>2.4697297439173465E-4</v>
      </c>
      <c r="I188" s="124"/>
      <c r="J188" s="124"/>
    </row>
    <row r="189" spans="1:10">
      <c r="A189" t="s">
        <v>608</v>
      </c>
      <c r="B189" s="28" t="s">
        <v>609</v>
      </c>
      <c r="C189" s="199">
        <v>5.0390454461291785E-3</v>
      </c>
      <c r="D189" s="200">
        <v>2.2627000000000001E-2</v>
      </c>
      <c r="E189" s="123">
        <f t="shared" si="4"/>
        <v>1.1401848130956494E-4</v>
      </c>
      <c r="F189" s="200">
        <v>7.9430000000000001E-2</v>
      </c>
      <c r="G189" s="123">
        <f t="shared" si="5"/>
        <v>4.0025137978604063E-4</v>
      </c>
      <c r="I189" s="124"/>
      <c r="J189" s="124"/>
    </row>
    <row r="190" spans="1:10">
      <c r="A190" t="s">
        <v>610</v>
      </c>
      <c r="B190" s="28" t="s">
        <v>611</v>
      </c>
      <c r="C190" s="199">
        <v>3.5979713878341942E-3</v>
      </c>
      <c r="D190" s="200">
        <v>3.0511E-2</v>
      </c>
      <c r="E190" s="123">
        <f t="shared" si="4"/>
        <v>1.097777050142091E-4</v>
      </c>
      <c r="F190" s="200">
        <v>0.11304</v>
      </c>
      <c r="G190" s="123">
        <f t="shared" si="5"/>
        <v>4.0671468568077732E-4</v>
      </c>
      <c r="I190" s="124"/>
      <c r="J190" s="124"/>
    </row>
    <row r="191" spans="1:10">
      <c r="A191" t="s">
        <v>612</v>
      </c>
      <c r="B191" s="28" t="s">
        <v>613</v>
      </c>
      <c r="C191" s="199">
        <v>5.2403123450540058E-3</v>
      </c>
      <c r="D191" s="200">
        <v>2.8247999999999999E-2</v>
      </c>
      <c r="E191" s="123">
        <f t="shared" si="4"/>
        <v>1.4802834312308555E-4</v>
      </c>
      <c r="F191" s="200">
        <v>6.1669999999999996E-2</v>
      </c>
      <c r="G191" s="123">
        <f t="shared" si="5"/>
        <v>3.2317006231948053E-4</v>
      </c>
      <c r="I191" s="124"/>
      <c r="J191" s="124"/>
    </row>
    <row r="192" spans="1:10">
      <c r="A192" t="s">
        <v>614</v>
      </c>
      <c r="B192" s="28" t="s">
        <v>615</v>
      </c>
      <c r="C192" s="199">
        <v>1.8187335592047883E-3</v>
      </c>
      <c r="D192" s="200" t="s">
        <v>1301</v>
      </c>
      <c r="E192" s="123" t="str">
        <f t="shared" si="4"/>
        <v>n/a</v>
      </c>
      <c r="F192" s="200">
        <v>-3.3000000000000002E-2</v>
      </c>
      <c r="G192" s="123">
        <f t="shared" si="5"/>
        <v>-6.0018207453758016E-5</v>
      </c>
      <c r="I192" s="124"/>
      <c r="J192" s="124"/>
    </row>
    <row r="193" spans="1:10">
      <c r="A193" t="s">
        <v>616</v>
      </c>
      <c r="B193" s="28" t="s">
        <v>617</v>
      </c>
      <c r="C193" s="199">
        <v>8.1151838390635604E-4</v>
      </c>
      <c r="D193" s="200">
        <v>1.9502000000000002E-2</v>
      </c>
      <c r="E193" s="123">
        <f t="shared" si="4"/>
        <v>1.5826231522941756E-5</v>
      </c>
      <c r="F193" s="200">
        <v>6.3E-2</v>
      </c>
      <c r="G193" s="123">
        <f t="shared" si="5"/>
        <v>5.1125658186100432E-5</v>
      </c>
      <c r="I193" s="124"/>
      <c r="J193" s="124"/>
    </row>
    <row r="194" spans="1:10">
      <c r="A194" t="s">
        <v>618</v>
      </c>
      <c r="B194" s="28" t="s">
        <v>619</v>
      </c>
      <c r="C194" s="199">
        <v>4.4421902235287306E-4</v>
      </c>
      <c r="D194" s="200">
        <v>1.3295E-2</v>
      </c>
      <c r="E194" s="123">
        <f t="shared" si="4"/>
        <v>5.9058919021814473E-6</v>
      </c>
      <c r="F194" s="200">
        <v>0.13100000000000001</v>
      </c>
      <c r="G194" s="123">
        <f t="shared" si="5"/>
        <v>5.8192691928226373E-5</v>
      </c>
      <c r="I194" s="124"/>
      <c r="J194" s="124"/>
    </row>
    <row r="195" spans="1:10">
      <c r="A195" t="s">
        <v>620</v>
      </c>
      <c r="B195" s="28" t="s">
        <v>621</v>
      </c>
      <c r="C195" s="199">
        <v>6.5552675684513054E-4</v>
      </c>
      <c r="D195" s="200" t="s">
        <v>1301</v>
      </c>
      <c r="E195" s="123" t="str">
        <f t="shared" si="4"/>
        <v>n/a</v>
      </c>
      <c r="F195" s="200">
        <v>6.6650000000000001E-2</v>
      </c>
      <c r="G195" s="123">
        <f t="shared" si="5"/>
        <v>4.3690858343727953E-5</v>
      </c>
      <c r="I195" s="124"/>
      <c r="J195" s="124"/>
    </row>
    <row r="196" spans="1:10">
      <c r="A196" t="s">
        <v>622</v>
      </c>
      <c r="B196" s="28" t="s">
        <v>623</v>
      </c>
      <c r="C196" s="199">
        <v>5.9683284627407875E-4</v>
      </c>
      <c r="D196" s="200" t="s">
        <v>1301</v>
      </c>
      <c r="E196" s="123" t="str">
        <f t="shared" si="4"/>
        <v>n/a</v>
      </c>
      <c r="F196" s="200">
        <v>8.7829999999999991E-2</v>
      </c>
      <c r="G196" s="123">
        <f t="shared" si="5"/>
        <v>5.2419828888252334E-5</v>
      </c>
      <c r="I196" s="124"/>
      <c r="J196" s="124"/>
    </row>
    <row r="197" spans="1:10">
      <c r="A197" t="s">
        <v>626</v>
      </c>
      <c r="B197" s="28" t="s">
        <v>627</v>
      </c>
      <c r="C197" s="199">
        <v>7.7406500938272116E-4</v>
      </c>
      <c r="D197" s="200">
        <v>1.6417000000000001E-2</v>
      </c>
      <c r="E197" s="123">
        <f t="shared" si="4"/>
        <v>1.2707825259036134E-5</v>
      </c>
      <c r="F197" s="200">
        <v>-0.03</v>
      </c>
      <c r="G197" s="123">
        <f t="shared" si="5"/>
        <v>-2.3221950281481634E-5</v>
      </c>
      <c r="I197" s="124"/>
      <c r="J197" s="124"/>
    </row>
    <row r="198" spans="1:10">
      <c r="A198" t="s">
        <v>628</v>
      </c>
      <c r="B198" s="28" t="s">
        <v>629</v>
      </c>
      <c r="C198" s="199">
        <v>2.2123481576088217E-3</v>
      </c>
      <c r="D198" s="200">
        <v>7.3009999999999993E-3</v>
      </c>
      <c r="E198" s="123">
        <f t="shared" si="4"/>
        <v>1.6152353898702004E-5</v>
      </c>
      <c r="F198" s="200">
        <v>9.2200000000000004E-2</v>
      </c>
      <c r="G198" s="123">
        <f t="shared" si="5"/>
        <v>2.0397850013153336E-4</v>
      </c>
      <c r="I198" s="124"/>
      <c r="J198" s="124"/>
    </row>
    <row r="199" spans="1:10">
      <c r="A199" t="s">
        <v>630</v>
      </c>
      <c r="B199" s="28" t="s">
        <v>631</v>
      </c>
      <c r="C199" s="199">
        <v>4.3750178560415486E-3</v>
      </c>
      <c r="D199" s="200">
        <v>1.0747E-2</v>
      </c>
      <c r="E199" s="123">
        <f t="shared" si="4"/>
        <v>4.701831689887852E-5</v>
      </c>
      <c r="F199" s="200">
        <v>0.13353000000000001</v>
      </c>
      <c r="G199" s="123">
        <f t="shared" si="5"/>
        <v>5.8419613431722806E-4</v>
      </c>
      <c r="I199" s="124"/>
      <c r="J199" s="124"/>
    </row>
    <row r="200" spans="1:10">
      <c r="A200" t="s">
        <v>632</v>
      </c>
      <c r="B200" s="28" t="s">
        <v>633</v>
      </c>
      <c r="C200" s="199">
        <v>4.3072361648237555E-4</v>
      </c>
      <c r="D200" s="200">
        <v>2.8591999999999999E-2</v>
      </c>
      <c r="E200" s="123">
        <f t="shared" si="4"/>
        <v>1.2315249642464081E-5</v>
      </c>
      <c r="F200" s="200">
        <v>5.7880000000000001E-2</v>
      </c>
      <c r="G200" s="123">
        <f t="shared" si="5"/>
        <v>2.4930282921999898E-5</v>
      </c>
      <c r="I200" s="124"/>
      <c r="J200" s="124"/>
    </row>
    <row r="201" spans="1:10">
      <c r="A201" t="s">
        <v>634</v>
      </c>
      <c r="B201" s="28" t="s">
        <v>635</v>
      </c>
      <c r="C201" s="199">
        <v>4.54985005404411E-4</v>
      </c>
      <c r="D201" s="200">
        <v>1.9696000000000002E-2</v>
      </c>
      <c r="E201" s="123">
        <f t="shared" si="4"/>
        <v>8.9613846664452805E-6</v>
      </c>
      <c r="F201" s="200">
        <v>0.25553000000000003</v>
      </c>
      <c r="G201" s="123">
        <f t="shared" si="5"/>
        <v>1.1626231843098916E-4</v>
      </c>
      <c r="I201" s="124"/>
      <c r="J201" s="124"/>
    </row>
    <row r="202" spans="1:10">
      <c r="A202" t="s">
        <v>636</v>
      </c>
      <c r="B202" s="28" t="s">
        <v>637</v>
      </c>
      <c r="C202" s="199">
        <v>1.9089070846483463E-3</v>
      </c>
      <c r="D202" s="200">
        <v>2.0508000000000002E-2</v>
      </c>
      <c r="E202" s="123">
        <f t="shared" si="4"/>
        <v>3.9147866491968288E-5</v>
      </c>
      <c r="F202" s="200">
        <v>8.6349999999999996E-2</v>
      </c>
      <c r="G202" s="123">
        <f t="shared" si="5"/>
        <v>1.6483412675938469E-4</v>
      </c>
      <c r="I202" s="124"/>
      <c r="J202" s="124"/>
    </row>
    <row r="203" spans="1:10">
      <c r="A203" t="s">
        <v>638</v>
      </c>
      <c r="B203" s="28" t="s">
        <v>639</v>
      </c>
      <c r="C203" s="199">
        <v>6.0157843403998556E-4</v>
      </c>
      <c r="D203" s="200">
        <v>4.3139999999999998E-2</v>
      </c>
      <c r="E203" s="123">
        <f t="shared" si="4"/>
        <v>2.5952093644484977E-5</v>
      </c>
      <c r="F203" s="200">
        <v>5.8799999999999998E-2</v>
      </c>
      <c r="G203" s="123">
        <f t="shared" si="5"/>
        <v>3.537281192155115E-5</v>
      </c>
      <c r="I203" s="124"/>
      <c r="J203" s="124"/>
    </row>
    <row r="204" spans="1:10">
      <c r="A204" t="s">
        <v>640</v>
      </c>
      <c r="B204" s="28" t="s">
        <v>641</v>
      </c>
      <c r="C204" s="199">
        <v>9.3364048134049666E-4</v>
      </c>
      <c r="D204" s="200">
        <v>2.9102000000000003E-2</v>
      </c>
      <c r="E204" s="123">
        <f t="shared" si="4"/>
        <v>2.7170805287971135E-5</v>
      </c>
      <c r="F204" s="200">
        <v>5.62E-2</v>
      </c>
      <c r="G204" s="123">
        <f t="shared" si="5"/>
        <v>5.2470595051335914E-5</v>
      </c>
      <c r="I204" s="124"/>
      <c r="J204" s="124"/>
    </row>
    <row r="205" spans="1:10">
      <c r="A205" t="s">
        <v>642</v>
      </c>
      <c r="B205" s="28" t="s">
        <v>643</v>
      </c>
      <c r="C205" s="199">
        <v>1.9853362524685516E-3</v>
      </c>
      <c r="D205" s="200">
        <v>1.7420000000000001E-2</v>
      </c>
      <c r="E205" s="123">
        <f t="shared" si="4"/>
        <v>3.4584557518002169E-5</v>
      </c>
      <c r="F205" s="200">
        <v>0.12705</v>
      </c>
      <c r="G205" s="123">
        <f t="shared" si="5"/>
        <v>2.5223697087612947E-4</v>
      </c>
      <c r="I205" s="124"/>
      <c r="J205" s="124"/>
    </row>
    <row r="206" spans="1:10">
      <c r="A206" t="s">
        <v>644</v>
      </c>
      <c r="B206" s="28" t="s">
        <v>645</v>
      </c>
      <c r="C206" s="199">
        <v>9.5113239036300999E-3</v>
      </c>
      <c r="D206" s="200">
        <v>3.6802000000000001E-2</v>
      </c>
      <c r="E206" s="123">
        <f t="shared" si="4"/>
        <v>3.5003574230139494E-4</v>
      </c>
      <c r="F206" s="200">
        <v>0.11255000000000001</v>
      </c>
      <c r="G206" s="123">
        <f t="shared" si="5"/>
        <v>1.0704995053535679E-3</v>
      </c>
      <c r="I206" s="124"/>
      <c r="J206" s="124"/>
    </row>
    <row r="207" spans="1:10">
      <c r="A207" t="s">
        <v>646</v>
      </c>
      <c r="B207" s="28" t="s">
        <v>647</v>
      </c>
      <c r="C207" s="199">
        <v>8.1606871546209894E-4</v>
      </c>
      <c r="D207" s="200">
        <v>2.6127000000000001E-2</v>
      </c>
      <c r="E207" s="123">
        <f t="shared" si="4"/>
        <v>2.1321427328878261E-5</v>
      </c>
      <c r="F207" s="200">
        <v>8.5000000000000006E-3</v>
      </c>
      <c r="G207" s="123">
        <f t="shared" si="5"/>
        <v>6.9365840814278414E-6</v>
      </c>
      <c r="I207" s="124"/>
      <c r="J207" s="124"/>
    </row>
    <row r="208" spans="1:10">
      <c r="A208" t="s">
        <v>648</v>
      </c>
      <c r="B208" s="28" t="s">
        <v>649</v>
      </c>
      <c r="C208" s="199">
        <v>3.5076460450756422E-4</v>
      </c>
      <c r="D208" s="200">
        <v>1.3750000000000001E-3</v>
      </c>
      <c r="E208" s="123">
        <f t="shared" si="4"/>
        <v>4.8230133119790087E-7</v>
      </c>
      <c r="F208" s="200">
        <v>0.11028</v>
      </c>
      <c r="G208" s="123">
        <f t="shared" si="5"/>
        <v>3.8682320585094184E-5</v>
      </c>
      <c r="I208" s="124"/>
      <c r="J208" s="124"/>
    </row>
    <row r="209" spans="1:10">
      <c r="A209" t="s">
        <v>650</v>
      </c>
      <c r="B209" s="28" t="s">
        <v>651</v>
      </c>
      <c r="C209" s="199">
        <v>2.1402420811862575E-3</v>
      </c>
      <c r="D209" s="200">
        <v>4.6721000000000006E-2</v>
      </c>
      <c r="E209" s="123">
        <f t="shared" si="4"/>
        <v>9.9994250275103151E-5</v>
      </c>
      <c r="F209" s="200">
        <v>0.13849999999999998</v>
      </c>
      <c r="G209" s="123">
        <f t="shared" si="5"/>
        <v>2.9642352824429664E-4</v>
      </c>
      <c r="I209" s="124"/>
      <c r="J209" s="124"/>
    </row>
    <row r="210" spans="1:10">
      <c r="A210" t="s">
        <v>652</v>
      </c>
      <c r="B210" s="28" t="s">
        <v>653</v>
      </c>
      <c r="C210" s="199">
        <v>7.4085634353267987E-4</v>
      </c>
      <c r="D210" s="200">
        <v>3.0817000000000001E-2</v>
      </c>
      <c r="E210" s="123">
        <f t="shared" si="4"/>
        <v>2.2830969938646595E-5</v>
      </c>
      <c r="F210" s="200">
        <v>6.6349999999999992E-2</v>
      </c>
      <c r="G210" s="123">
        <f t="shared" si="5"/>
        <v>4.9155818393393302E-5</v>
      </c>
      <c r="I210" s="124"/>
      <c r="J210" s="124"/>
    </row>
    <row r="211" spans="1:10">
      <c r="A211" t="s">
        <v>654</v>
      </c>
      <c r="B211" s="28" t="s">
        <v>655</v>
      </c>
      <c r="C211" s="199">
        <v>1.1211929593353874E-3</v>
      </c>
      <c r="D211" s="200">
        <v>5.3574000000000004E-2</v>
      </c>
      <c r="E211" s="123">
        <f t="shared" si="4"/>
        <v>6.0066791603434052E-5</v>
      </c>
      <c r="F211" s="200">
        <v>0.23230000000000001</v>
      </c>
      <c r="G211" s="123">
        <f t="shared" si="5"/>
        <v>2.6045312445361051E-4</v>
      </c>
      <c r="I211" s="124"/>
      <c r="J211" s="124"/>
    </row>
    <row r="212" spans="1:10">
      <c r="A212" t="s">
        <v>656</v>
      </c>
      <c r="B212" s="28" t="s">
        <v>657</v>
      </c>
      <c r="C212" s="199">
        <v>4.8043626052174881E-4</v>
      </c>
      <c r="D212" s="200">
        <v>1.6893999999999999E-2</v>
      </c>
      <c r="E212" s="123">
        <f t="shared" si="4"/>
        <v>8.1164901852544237E-6</v>
      </c>
      <c r="F212" s="200">
        <v>0.12300000000000001</v>
      </c>
      <c r="G212" s="123">
        <f t="shared" si="5"/>
        <v>5.909366004417511E-5</v>
      </c>
      <c r="I212" s="124"/>
      <c r="J212" s="124"/>
    </row>
    <row r="213" spans="1:10">
      <c r="A213" t="s">
        <v>658</v>
      </c>
      <c r="B213" s="28" t="s">
        <v>659</v>
      </c>
      <c r="C213" s="199">
        <v>9.2588873568323095E-4</v>
      </c>
      <c r="D213" s="200">
        <v>1.8445E-2</v>
      </c>
      <c r="E213" s="123">
        <f t="shared" si="4"/>
        <v>1.7078017729677194E-5</v>
      </c>
      <c r="F213" s="200">
        <v>9.5150000000000012E-2</v>
      </c>
      <c r="G213" s="123">
        <f t="shared" si="5"/>
        <v>8.8098313200259438E-5</v>
      </c>
      <c r="I213" s="124"/>
      <c r="J213" s="124"/>
    </row>
    <row r="214" spans="1:10">
      <c r="A214" t="s">
        <v>660</v>
      </c>
      <c r="B214" s="28" t="s">
        <v>661</v>
      </c>
      <c r="C214" s="199">
        <v>5.1740918987083643E-4</v>
      </c>
      <c r="D214" s="200">
        <v>1.1278E-2</v>
      </c>
      <c r="E214" s="123">
        <f t="shared" si="4"/>
        <v>5.8353408433632932E-6</v>
      </c>
      <c r="F214" s="200">
        <v>0.1</v>
      </c>
      <c r="G214" s="123">
        <f t="shared" si="5"/>
        <v>5.1740918987083645E-5</v>
      </c>
      <c r="I214" s="124"/>
      <c r="J214" s="124"/>
    </row>
    <row r="215" spans="1:10">
      <c r="A215" t="s">
        <v>662</v>
      </c>
      <c r="B215" s="28" t="s">
        <v>663</v>
      </c>
      <c r="C215" s="199">
        <v>9.5681734577570321E-4</v>
      </c>
      <c r="D215" s="200">
        <v>5.2363E-2</v>
      </c>
      <c r="E215" s="123">
        <f t="shared" ref="E215:E278" si="6">IFERROR($D215*$C215,"n/a")</f>
        <v>5.0101826676853145E-5</v>
      </c>
      <c r="F215" s="200">
        <v>6.1669999999999996E-2</v>
      </c>
      <c r="G215" s="123">
        <f t="shared" si="5"/>
        <v>5.9006925713987613E-5</v>
      </c>
      <c r="I215" s="124"/>
      <c r="J215" s="124"/>
    </row>
    <row r="216" spans="1:10">
      <c r="A216" t="s">
        <v>664</v>
      </c>
      <c r="B216" s="28" t="s">
        <v>665</v>
      </c>
      <c r="C216" s="199">
        <v>1.958187204889732E-3</v>
      </c>
      <c r="D216" s="200">
        <v>2.8894000000000003E-2</v>
      </c>
      <c r="E216" s="123">
        <f t="shared" si="6"/>
        <v>5.6579861098083925E-5</v>
      </c>
      <c r="F216" s="200">
        <v>4.9350000000000005E-2</v>
      </c>
      <c r="G216" s="123">
        <f t="shared" ref="G216:G279" si="7">IFERROR($F216*$C216,"n/a")</f>
        <v>9.663653856130829E-5</v>
      </c>
      <c r="I216" s="124"/>
      <c r="J216" s="124"/>
    </row>
    <row r="217" spans="1:10">
      <c r="A217" t="s">
        <v>666</v>
      </c>
      <c r="B217" s="28" t="s">
        <v>667</v>
      </c>
      <c r="C217" s="199">
        <v>3.3078493053881192E-3</v>
      </c>
      <c r="D217" s="200">
        <v>1.8023000000000001E-2</v>
      </c>
      <c r="E217" s="123">
        <f t="shared" si="6"/>
        <v>5.9617368031010075E-5</v>
      </c>
      <c r="F217" s="200">
        <v>0.06</v>
      </c>
      <c r="G217" s="123">
        <f t="shared" si="7"/>
        <v>1.9847095832328714E-4</v>
      </c>
      <c r="I217" s="124"/>
      <c r="J217" s="124"/>
    </row>
    <row r="218" spans="1:10">
      <c r="A218" t="s">
        <v>668</v>
      </c>
      <c r="B218" s="28" t="s">
        <v>669</v>
      </c>
      <c r="C218" s="199">
        <v>3.2715827718093264E-4</v>
      </c>
      <c r="D218" s="200">
        <v>1.5821999999999999E-2</v>
      </c>
      <c r="E218" s="123">
        <f t="shared" si="6"/>
        <v>5.176298261556716E-6</v>
      </c>
      <c r="F218" s="200">
        <v>7.17E-2</v>
      </c>
      <c r="G218" s="123">
        <f t="shared" si="7"/>
        <v>2.3457248473872871E-5</v>
      </c>
      <c r="I218" s="124"/>
      <c r="J218" s="124"/>
    </row>
    <row r="219" spans="1:10">
      <c r="A219" t="s">
        <v>670</v>
      </c>
      <c r="B219" s="28" t="s">
        <v>671</v>
      </c>
      <c r="C219" s="199">
        <v>4.1923466691163366E-4</v>
      </c>
      <c r="D219" s="200">
        <v>3.3477E-2</v>
      </c>
      <c r="E219" s="123">
        <f t="shared" si="6"/>
        <v>1.4034718944200759E-5</v>
      </c>
      <c r="F219" s="200">
        <v>4.9879999999999994E-2</v>
      </c>
      <c r="G219" s="123">
        <f t="shared" si="7"/>
        <v>2.0911425185552284E-5</v>
      </c>
      <c r="I219" s="124"/>
      <c r="J219" s="124"/>
    </row>
    <row r="220" spans="1:10">
      <c r="A220" t="s">
        <v>672</v>
      </c>
      <c r="B220" s="28" t="s">
        <v>673</v>
      </c>
      <c r="C220" s="199">
        <v>2.3796283936402761E-3</v>
      </c>
      <c r="D220" s="200">
        <v>3.0977000000000001E-2</v>
      </c>
      <c r="E220" s="123">
        <f t="shared" si="6"/>
        <v>7.3713748749794835E-5</v>
      </c>
      <c r="F220" s="200">
        <v>7.3650000000000007E-2</v>
      </c>
      <c r="G220" s="123">
        <f t="shared" si="7"/>
        <v>1.7525963119160634E-4</v>
      </c>
      <c r="I220" s="124"/>
      <c r="J220" s="124"/>
    </row>
    <row r="221" spans="1:10">
      <c r="A221" t="s">
        <v>674</v>
      </c>
      <c r="B221" s="28" t="s">
        <v>675</v>
      </c>
      <c r="C221" s="199">
        <v>1.0736508359328329E-3</v>
      </c>
      <c r="D221" s="200">
        <v>1.8208999999999999E-2</v>
      </c>
      <c r="E221" s="123">
        <f t="shared" si="6"/>
        <v>1.9550108071500954E-5</v>
      </c>
      <c r="F221" s="200">
        <v>7.4929999999999997E-2</v>
      </c>
      <c r="G221" s="123">
        <f t="shared" si="7"/>
        <v>8.0448657136447172E-5</v>
      </c>
      <c r="I221" s="124"/>
      <c r="J221" s="124"/>
    </row>
    <row r="222" spans="1:10">
      <c r="A222" t="s">
        <v>676</v>
      </c>
      <c r="B222" s="28" t="s">
        <v>677</v>
      </c>
      <c r="C222" s="199">
        <v>1.6657990901460949E-3</v>
      </c>
      <c r="D222" s="200">
        <v>3.7360999999999998E-2</v>
      </c>
      <c r="E222" s="123">
        <f t="shared" si="6"/>
        <v>6.2235919806948248E-5</v>
      </c>
      <c r="F222" s="200">
        <v>9.8000000000000004E-2</v>
      </c>
      <c r="G222" s="123">
        <f t="shared" si="7"/>
        <v>1.632483108343173E-4</v>
      </c>
      <c r="I222" s="124"/>
      <c r="J222" s="124"/>
    </row>
    <row r="223" spans="1:10">
      <c r="A223" t="s">
        <v>678</v>
      </c>
      <c r="B223" s="28" t="s">
        <v>679</v>
      </c>
      <c r="C223" s="199">
        <v>1.1703817273701141E-3</v>
      </c>
      <c r="D223" s="200">
        <v>3.2996999999999999E-2</v>
      </c>
      <c r="E223" s="123">
        <f t="shared" si="6"/>
        <v>3.8619085858031653E-5</v>
      </c>
      <c r="F223" s="200">
        <v>6.6369999999999998E-2</v>
      </c>
      <c r="G223" s="123">
        <f t="shared" si="7"/>
        <v>7.7678235245554465E-5</v>
      </c>
      <c r="I223" s="124"/>
      <c r="J223" s="124"/>
    </row>
    <row r="224" spans="1:10">
      <c r="A224" t="s">
        <v>680</v>
      </c>
      <c r="B224" s="28" t="s">
        <v>681</v>
      </c>
      <c r="C224" s="199">
        <v>1.99024323757999E-3</v>
      </c>
      <c r="D224" s="200">
        <v>2.1061E-2</v>
      </c>
      <c r="E224" s="123">
        <f t="shared" si="6"/>
        <v>4.191651282667217E-5</v>
      </c>
      <c r="F224" s="200">
        <v>0.12275</v>
      </c>
      <c r="G224" s="123">
        <f t="shared" si="7"/>
        <v>2.4430235741294376E-4</v>
      </c>
      <c r="I224" s="124"/>
      <c r="J224" s="124"/>
    </row>
    <row r="225" spans="1:10">
      <c r="A225" t="s">
        <v>682</v>
      </c>
      <c r="B225" s="28" t="s">
        <v>683</v>
      </c>
      <c r="C225" s="199">
        <v>3.3222293909345417E-4</v>
      </c>
      <c r="D225" s="200">
        <v>1.7382999999999999E-2</v>
      </c>
      <c r="E225" s="123">
        <f t="shared" si="6"/>
        <v>5.7750313502615131E-6</v>
      </c>
      <c r="F225" s="200">
        <v>0.13195000000000001</v>
      </c>
      <c r="G225" s="123">
        <f t="shared" si="7"/>
        <v>4.3836816813381281E-5</v>
      </c>
      <c r="I225" s="124"/>
      <c r="J225" s="124"/>
    </row>
    <row r="226" spans="1:10">
      <c r="A226" t="s">
        <v>684</v>
      </c>
      <c r="B226" s="28" t="s">
        <v>685</v>
      </c>
      <c r="C226" s="199">
        <v>7.8789172496101264E-4</v>
      </c>
      <c r="D226" s="200">
        <v>4.3004999999999995E-2</v>
      </c>
      <c r="E226" s="123">
        <f t="shared" si="6"/>
        <v>3.3883283631948346E-5</v>
      </c>
      <c r="F226" s="200">
        <v>5.8430000000000003E-2</v>
      </c>
      <c r="G226" s="123">
        <f t="shared" si="7"/>
        <v>4.6036513489471969E-5</v>
      </c>
      <c r="I226" s="124"/>
      <c r="J226" s="124"/>
    </row>
    <row r="227" spans="1:10">
      <c r="A227" t="s">
        <v>686</v>
      </c>
      <c r="B227" s="28" t="s">
        <v>687</v>
      </c>
      <c r="C227" s="199">
        <v>2.5952904398432622E-3</v>
      </c>
      <c r="D227" s="200">
        <v>4.5239000000000001E-2</v>
      </c>
      <c r="E227" s="123">
        <f t="shared" si="6"/>
        <v>1.1740834420806934E-4</v>
      </c>
      <c r="F227" s="200">
        <v>0.33689999999999998</v>
      </c>
      <c r="G227" s="123">
        <f t="shared" si="7"/>
        <v>8.7435334918319497E-4</v>
      </c>
      <c r="I227" s="124"/>
      <c r="J227" s="124"/>
    </row>
    <row r="228" spans="1:10">
      <c r="A228" t="s">
        <v>688</v>
      </c>
      <c r="B228" s="28" t="s">
        <v>689</v>
      </c>
      <c r="C228" s="199">
        <v>2.6810284391632798E-3</v>
      </c>
      <c r="D228" s="200">
        <v>1.4539E-2</v>
      </c>
      <c r="E228" s="123">
        <f t="shared" si="6"/>
        <v>3.8979472476994927E-5</v>
      </c>
      <c r="F228" s="200">
        <v>0.1978</v>
      </c>
      <c r="G228" s="123">
        <f t="shared" si="7"/>
        <v>5.3030742526649676E-4</v>
      </c>
      <c r="I228" s="124"/>
      <c r="J228" s="124"/>
    </row>
    <row r="229" spans="1:10">
      <c r="A229" t="s">
        <v>690</v>
      </c>
      <c r="B229" s="28" t="s">
        <v>691</v>
      </c>
      <c r="C229" s="199">
        <v>1.6752099036157245E-3</v>
      </c>
      <c r="D229" s="200">
        <v>8.1609999999999999E-3</v>
      </c>
      <c r="E229" s="123">
        <f t="shared" si="6"/>
        <v>1.3671388023407928E-5</v>
      </c>
      <c r="F229" s="200">
        <v>0.10920000000000001</v>
      </c>
      <c r="G229" s="123">
        <f t="shared" si="7"/>
        <v>1.8293292147483712E-4</v>
      </c>
      <c r="I229" s="124"/>
      <c r="J229" s="124"/>
    </row>
    <row r="230" spans="1:10">
      <c r="A230" t="s">
        <v>692</v>
      </c>
      <c r="B230" s="28" t="s">
        <v>693</v>
      </c>
      <c r="C230" s="199">
        <v>5.0644140346965032E-4</v>
      </c>
      <c r="D230" s="200">
        <v>3.2418000000000002E-2</v>
      </c>
      <c r="E230" s="123">
        <f t="shared" si="6"/>
        <v>1.6417817417679126E-5</v>
      </c>
      <c r="F230" s="200">
        <v>3.4050000000000004E-2</v>
      </c>
      <c r="G230" s="123">
        <f t="shared" si="7"/>
        <v>1.7244329788141595E-5</v>
      </c>
      <c r="I230" s="124"/>
      <c r="J230" s="124"/>
    </row>
    <row r="231" spans="1:10">
      <c r="A231" t="s">
        <v>694</v>
      </c>
      <c r="B231" s="28" t="s">
        <v>695</v>
      </c>
      <c r="C231" s="199">
        <v>3.9232982797515281E-4</v>
      </c>
      <c r="D231" s="200">
        <v>2.2893E-2</v>
      </c>
      <c r="E231" s="123">
        <f t="shared" si="6"/>
        <v>8.9816067518351738E-6</v>
      </c>
      <c r="F231" s="200">
        <v>8.2299999999999998E-2</v>
      </c>
      <c r="G231" s="123">
        <f t="shared" si="7"/>
        <v>3.2288744842355077E-5</v>
      </c>
      <c r="I231" s="124"/>
      <c r="J231" s="124"/>
    </row>
    <row r="232" spans="1:10">
      <c r="A232" t="s">
        <v>696</v>
      </c>
      <c r="B232" s="28" t="s">
        <v>697</v>
      </c>
      <c r="C232" s="199">
        <v>7.1826909943593215E-4</v>
      </c>
      <c r="D232" s="200">
        <v>7.6819999999999996E-3</v>
      </c>
      <c r="E232" s="123">
        <f t="shared" si="6"/>
        <v>5.5177432218668303E-6</v>
      </c>
      <c r="F232" s="200">
        <v>0.10442</v>
      </c>
      <c r="G232" s="123">
        <f t="shared" si="7"/>
        <v>7.5001659363100031E-5</v>
      </c>
      <c r="I232" s="124"/>
      <c r="J232" s="124"/>
    </row>
    <row r="233" spans="1:10">
      <c r="A233" t="s">
        <v>698</v>
      </c>
      <c r="B233" s="28" t="s">
        <v>699</v>
      </c>
      <c r="C233" s="199">
        <v>2.0921221901278051E-3</v>
      </c>
      <c r="D233" s="200">
        <v>4.9382999999999996E-2</v>
      </c>
      <c r="E233" s="123">
        <f t="shared" si="6"/>
        <v>1.0331527011508139E-4</v>
      </c>
      <c r="F233" s="200">
        <v>3.3750000000000002E-2</v>
      </c>
      <c r="G233" s="123">
        <f t="shared" si="7"/>
        <v>7.060912391681343E-5</v>
      </c>
      <c r="I233" s="124"/>
      <c r="J233" s="124"/>
    </row>
    <row r="234" spans="1:10">
      <c r="A234" t="s">
        <v>700</v>
      </c>
      <c r="B234" s="28" t="s">
        <v>701</v>
      </c>
      <c r="C234" s="199">
        <v>1.5811914389221343E-3</v>
      </c>
      <c r="D234" s="200">
        <v>3.3197000000000004E-2</v>
      </c>
      <c r="E234" s="123">
        <f t="shared" si="6"/>
        <v>5.2490812197898103E-5</v>
      </c>
      <c r="F234" s="200">
        <v>0.10926999999999999</v>
      </c>
      <c r="G234" s="123">
        <f t="shared" si="7"/>
        <v>1.7277678853102159E-4</v>
      </c>
      <c r="I234" s="124"/>
      <c r="J234" s="124"/>
    </row>
    <row r="235" spans="1:10">
      <c r="A235" t="s">
        <v>702</v>
      </c>
      <c r="B235" s="28" t="s">
        <v>703</v>
      </c>
      <c r="C235" s="199">
        <v>1.3547852312020112E-3</v>
      </c>
      <c r="D235" s="200">
        <v>1.1276E-2</v>
      </c>
      <c r="E235" s="123">
        <f t="shared" si="6"/>
        <v>1.5276558267033876E-5</v>
      </c>
      <c r="F235" s="200">
        <v>0.10667</v>
      </c>
      <c r="G235" s="123">
        <f t="shared" si="7"/>
        <v>1.4451494061231852E-4</v>
      </c>
      <c r="I235" s="124"/>
      <c r="J235" s="124"/>
    </row>
    <row r="236" spans="1:10">
      <c r="A236" t="s">
        <v>704</v>
      </c>
      <c r="B236" s="28" t="s">
        <v>705</v>
      </c>
      <c r="C236" s="199">
        <v>8.1075296285508243E-4</v>
      </c>
      <c r="D236" s="200">
        <v>2.0878999999999998E-2</v>
      </c>
      <c r="E236" s="123">
        <f t="shared" si="6"/>
        <v>1.6927711111451264E-5</v>
      </c>
      <c r="F236" s="200">
        <v>0.105</v>
      </c>
      <c r="G236" s="123">
        <f t="shared" si="7"/>
        <v>8.5129061099783657E-5</v>
      </c>
      <c r="I236" s="124"/>
      <c r="J236" s="124"/>
    </row>
    <row r="237" spans="1:10">
      <c r="A237" t="s">
        <v>706</v>
      </c>
      <c r="B237" s="28" t="s">
        <v>707</v>
      </c>
      <c r="C237" s="199">
        <v>1.5729365623199255E-3</v>
      </c>
      <c r="D237" s="200">
        <v>3.7644000000000004E-2</v>
      </c>
      <c r="E237" s="123">
        <f t="shared" si="6"/>
        <v>5.921162395197128E-5</v>
      </c>
      <c r="F237" s="200">
        <v>4.4470000000000003E-2</v>
      </c>
      <c r="G237" s="123">
        <f t="shared" si="7"/>
        <v>6.9948488926367087E-5</v>
      </c>
      <c r="I237" s="124"/>
      <c r="J237" s="124"/>
    </row>
    <row r="238" spans="1:10">
      <c r="A238" t="s">
        <v>708</v>
      </c>
      <c r="B238" s="28" t="s">
        <v>709</v>
      </c>
      <c r="C238" s="199">
        <v>6.8766235400453046E-4</v>
      </c>
      <c r="D238" s="200" t="s">
        <v>1301</v>
      </c>
      <c r="E238" s="123" t="str">
        <f t="shared" si="6"/>
        <v>n/a</v>
      </c>
      <c r="F238" s="200">
        <v>0.27639999999999998</v>
      </c>
      <c r="G238" s="123">
        <f t="shared" si="7"/>
        <v>1.9006987464685222E-4</v>
      </c>
      <c r="I238" s="124"/>
      <c r="J238" s="124"/>
    </row>
    <row r="239" spans="1:10">
      <c r="A239" t="s">
        <v>710</v>
      </c>
      <c r="B239" s="28" t="s">
        <v>711</v>
      </c>
      <c r="C239" s="199">
        <v>1.1271609057684645E-3</v>
      </c>
      <c r="D239" s="200">
        <v>3.3659000000000001E-2</v>
      </c>
      <c r="E239" s="123">
        <f t="shared" si="6"/>
        <v>3.7939108927260749E-5</v>
      </c>
      <c r="F239" s="200">
        <v>9.176999999999999E-2</v>
      </c>
      <c r="G239" s="123">
        <f t="shared" si="7"/>
        <v>1.0343955632237197E-4</v>
      </c>
      <c r="I239" s="124"/>
      <c r="J239" s="124"/>
    </row>
    <row r="240" spans="1:10">
      <c r="A240" t="s">
        <v>712</v>
      </c>
      <c r="B240" s="28" t="s">
        <v>713</v>
      </c>
      <c r="C240" s="199">
        <v>1.408775296690619E-3</v>
      </c>
      <c r="D240" s="200">
        <v>2.4431999999999999E-2</v>
      </c>
      <c r="E240" s="123">
        <f t="shared" si="6"/>
        <v>3.44191980487452E-5</v>
      </c>
      <c r="F240" s="200">
        <v>0.12533</v>
      </c>
      <c r="G240" s="123">
        <f t="shared" si="7"/>
        <v>1.7656180793423527E-4</v>
      </c>
      <c r="I240" s="124"/>
      <c r="J240" s="124"/>
    </row>
    <row r="241" spans="1:10">
      <c r="A241" t="s">
        <v>714</v>
      </c>
      <c r="B241" s="28" t="s">
        <v>715</v>
      </c>
      <c r="C241" s="199">
        <v>4.1050135520517795E-3</v>
      </c>
      <c r="D241" s="200">
        <v>3.0592000000000001E-2</v>
      </c>
      <c r="E241" s="123">
        <f t="shared" si="6"/>
        <v>1.2558057458436804E-4</v>
      </c>
      <c r="F241" s="200">
        <v>0.10475</v>
      </c>
      <c r="G241" s="123">
        <f t="shared" si="7"/>
        <v>4.3000016957742387E-4</v>
      </c>
      <c r="I241" s="124"/>
      <c r="J241" s="124"/>
    </row>
    <row r="242" spans="1:10">
      <c r="A242" t="s">
        <v>716</v>
      </c>
      <c r="B242" s="28" t="s">
        <v>717</v>
      </c>
      <c r="C242" s="199">
        <v>5.4896873298961935E-4</v>
      </c>
      <c r="D242" s="200">
        <v>1.503E-3</v>
      </c>
      <c r="E242" s="123">
        <f t="shared" si="6"/>
        <v>8.251000056833979E-7</v>
      </c>
      <c r="F242" s="200">
        <v>0.12554999999999999</v>
      </c>
      <c r="G242" s="123">
        <f t="shared" si="7"/>
        <v>6.8923024426846712E-5</v>
      </c>
      <c r="I242" s="124"/>
      <c r="J242" s="124"/>
    </row>
    <row r="243" spans="1:10">
      <c r="A243" t="s">
        <v>718</v>
      </c>
      <c r="B243" s="28" t="s">
        <v>719</v>
      </c>
      <c r="C243" s="199">
        <v>4.1981174360321309E-3</v>
      </c>
      <c r="D243" s="200">
        <v>2.7680000000000001E-3</v>
      </c>
      <c r="E243" s="123">
        <f t="shared" si="6"/>
        <v>1.1620389062936938E-5</v>
      </c>
      <c r="F243" s="200">
        <v>0.11</v>
      </c>
      <c r="G243" s="123">
        <f t="shared" si="7"/>
        <v>4.6179291796353438E-4</v>
      </c>
      <c r="I243" s="124"/>
      <c r="J243" s="124"/>
    </row>
    <row r="244" spans="1:10">
      <c r="A244" t="s">
        <v>720</v>
      </c>
      <c r="B244" s="28" t="s">
        <v>721</v>
      </c>
      <c r="C244" s="199">
        <v>4.5911139906662355E-4</v>
      </c>
      <c r="D244" s="200">
        <v>2.4794E-2</v>
      </c>
      <c r="E244" s="123">
        <f t="shared" si="6"/>
        <v>1.1383208028457864E-5</v>
      </c>
      <c r="F244" s="200">
        <v>0.12539999999999998</v>
      </c>
      <c r="G244" s="123">
        <f t="shared" si="7"/>
        <v>5.7572569442954586E-5</v>
      </c>
      <c r="I244" s="124"/>
      <c r="J244" s="124"/>
    </row>
    <row r="245" spans="1:10">
      <c r="A245" t="s">
        <v>722</v>
      </c>
      <c r="B245" s="28" t="s">
        <v>723</v>
      </c>
      <c r="C245" s="199">
        <v>2.6030780046018128E-3</v>
      </c>
      <c r="D245" s="200">
        <v>1.5685000000000001E-2</v>
      </c>
      <c r="E245" s="123">
        <f t="shared" si="6"/>
        <v>4.082927850217944E-5</v>
      </c>
      <c r="F245" s="200">
        <v>0.11175</v>
      </c>
      <c r="G245" s="123">
        <f t="shared" si="7"/>
        <v>2.908939670142526E-4</v>
      </c>
      <c r="I245" s="124"/>
      <c r="J245" s="124"/>
    </row>
    <row r="246" spans="1:10">
      <c r="A246" t="s">
        <v>724</v>
      </c>
      <c r="B246" s="28" t="s">
        <v>725</v>
      </c>
      <c r="C246" s="199">
        <v>3.9657185225364143E-4</v>
      </c>
      <c r="D246" s="200">
        <v>7.6410000000000002E-3</v>
      </c>
      <c r="E246" s="123">
        <f t="shared" si="6"/>
        <v>3.0302055230700742E-6</v>
      </c>
      <c r="F246" s="200">
        <v>0.13699999999999998</v>
      </c>
      <c r="G246" s="123">
        <f t="shared" si="7"/>
        <v>5.4330343758748866E-5</v>
      </c>
      <c r="I246" s="124"/>
      <c r="J246" s="124"/>
    </row>
    <row r="247" spans="1:10">
      <c r="A247" t="s">
        <v>726</v>
      </c>
      <c r="B247" s="28" t="s">
        <v>727</v>
      </c>
      <c r="C247" s="199">
        <v>6.9395849787707285E-4</v>
      </c>
      <c r="D247" s="200">
        <v>5.803E-3</v>
      </c>
      <c r="E247" s="123">
        <f t="shared" si="6"/>
        <v>4.0270411631806536E-6</v>
      </c>
      <c r="F247" s="200">
        <v>0.14150000000000001</v>
      </c>
      <c r="G247" s="123">
        <f t="shared" si="7"/>
        <v>9.8195127449605819E-5</v>
      </c>
      <c r="I247" s="124"/>
      <c r="J247" s="124"/>
    </row>
    <row r="248" spans="1:10">
      <c r="A248" t="s">
        <v>728</v>
      </c>
      <c r="B248" s="28" t="s">
        <v>729</v>
      </c>
      <c r="C248" s="199">
        <v>1.3077141991899226E-3</v>
      </c>
      <c r="D248" s="200">
        <v>3.0796999999999998E-2</v>
      </c>
      <c r="E248" s="123">
        <f t="shared" si="6"/>
        <v>4.0273674192452041E-5</v>
      </c>
      <c r="F248" s="200">
        <v>6.9000000000000006E-2</v>
      </c>
      <c r="G248" s="123">
        <f t="shared" si="7"/>
        <v>9.0232279744104657E-5</v>
      </c>
      <c r="I248" s="124"/>
      <c r="J248" s="124"/>
    </row>
    <row r="249" spans="1:10">
      <c r="A249" t="s">
        <v>730</v>
      </c>
      <c r="B249" s="28" t="s">
        <v>731</v>
      </c>
      <c r="C249" s="199">
        <v>7.349554182614471E-4</v>
      </c>
      <c r="D249" s="200" t="s">
        <v>1301</v>
      </c>
      <c r="E249" s="123" t="str">
        <f t="shared" si="6"/>
        <v>n/a</v>
      </c>
      <c r="F249" s="200">
        <v>0.19</v>
      </c>
      <c r="G249" s="123">
        <f t="shared" si="7"/>
        <v>1.3964152946967495E-4</v>
      </c>
      <c r="I249" s="124"/>
      <c r="J249" s="124"/>
    </row>
    <row r="250" spans="1:10">
      <c r="A250" t="s">
        <v>732</v>
      </c>
      <c r="B250" s="28" t="s">
        <v>733</v>
      </c>
      <c r="C250" s="199">
        <v>4.9749254918361021E-3</v>
      </c>
      <c r="D250" s="200">
        <v>2.0116999999999999E-2</v>
      </c>
      <c r="E250" s="123">
        <f t="shared" si="6"/>
        <v>1.0008057611926687E-4</v>
      </c>
      <c r="F250" s="200">
        <v>0.10859999999999999</v>
      </c>
      <c r="G250" s="123">
        <f t="shared" si="7"/>
        <v>5.4027690841340062E-4</v>
      </c>
      <c r="I250" s="124"/>
      <c r="J250" s="124"/>
    </row>
    <row r="251" spans="1:10">
      <c r="A251" t="s">
        <v>734</v>
      </c>
      <c r="B251" s="28" t="s">
        <v>735</v>
      </c>
      <c r="C251" s="199">
        <v>5.8956773891668916E-4</v>
      </c>
      <c r="D251" s="200" t="s">
        <v>1301</v>
      </c>
      <c r="E251" s="123" t="str">
        <f t="shared" si="6"/>
        <v>n/a</v>
      </c>
      <c r="F251" s="200">
        <v>0.17</v>
      </c>
      <c r="G251" s="123">
        <f t="shared" si="7"/>
        <v>1.0022651561583716E-4</v>
      </c>
      <c r="I251" s="124"/>
      <c r="J251" s="124"/>
    </row>
    <row r="252" spans="1:10">
      <c r="A252" t="s">
        <v>736</v>
      </c>
      <c r="B252" s="28" t="s">
        <v>737</v>
      </c>
      <c r="C252" s="199">
        <v>1.1033933003744518E-2</v>
      </c>
      <c r="D252" s="200">
        <v>1.3323E-2</v>
      </c>
      <c r="E252" s="123">
        <f t="shared" si="6"/>
        <v>1.4700508940888822E-4</v>
      </c>
      <c r="F252" s="200">
        <v>0.13725999999999999</v>
      </c>
      <c r="G252" s="123">
        <f t="shared" si="7"/>
        <v>1.5145176440939725E-3</v>
      </c>
      <c r="I252" s="124"/>
      <c r="J252" s="124"/>
    </row>
    <row r="253" spans="1:10">
      <c r="A253" t="s">
        <v>738</v>
      </c>
      <c r="B253" s="28" t="s">
        <v>739</v>
      </c>
      <c r="C253" s="199">
        <v>3.2275905533635051E-4</v>
      </c>
      <c r="D253" s="200">
        <v>2.9919000000000001E-2</v>
      </c>
      <c r="E253" s="123">
        <f t="shared" si="6"/>
        <v>9.6566281766082719E-6</v>
      </c>
      <c r="F253" s="200">
        <v>0.09</v>
      </c>
      <c r="G253" s="123">
        <f t="shared" si="7"/>
        <v>2.9048314980271544E-5</v>
      </c>
      <c r="I253" s="124"/>
      <c r="J253" s="124"/>
    </row>
    <row r="254" spans="1:10">
      <c r="A254" t="s">
        <v>740</v>
      </c>
      <c r="B254" s="28" t="s">
        <v>741</v>
      </c>
      <c r="C254" s="199">
        <v>5.5716259054048093E-4</v>
      </c>
      <c r="D254" s="200">
        <v>1.2666E-2</v>
      </c>
      <c r="E254" s="123">
        <f t="shared" si="6"/>
        <v>7.0570213717857315E-6</v>
      </c>
      <c r="F254" s="200">
        <v>0.05</v>
      </c>
      <c r="G254" s="123">
        <f t="shared" si="7"/>
        <v>2.7858129527024048E-5</v>
      </c>
      <c r="I254" s="124"/>
      <c r="J254" s="124"/>
    </row>
    <row r="255" spans="1:10">
      <c r="A255" t="s">
        <v>742</v>
      </c>
      <c r="B255" s="28" t="s">
        <v>743</v>
      </c>
      <c r="C255" s="199">
        <v>5.1092286229311161E-4</v>
      </c>
      <c r="D255" s="200" t="s">
        <v>1301</v>
      </c>
      <c r="E255" s="123" t="str">
        <f t="shared" si="6"/>
        <v>n/a</v>
      </c>
      <c r="F255" s="200">
        <v>0.161</v>
      </c>
      <c r="G255" s="123">
        <f t="shared" si="7"/>
        <v>8.2258580829190975E-5</v>
      </c>
      <c r="I255" s="124"/>
      <c r="J255" s="124"/>
    </row>
    <row r="256" spans="1:10">
      <c r="A256" t="s">
        <v>744</v>
      </c>
      <c r="B256" s="28" t="s">
        <v>745</v>
      </c>
      <c r="C256" s="199">
        <v>9.7581503066108413E-4</v>
      </c>
      <c r="D256" s="200">
        <v>4.9154999999999997E-2</v>
      </c>
      <c r="E256" s="123">
        <f t="shared" si="6"/>
        <v>4.796618783214559E-5</v>
      </c>
      <c r="F256" s="200">
        <v>2.2930000000000002E-2</v>
      </c>
      <c r="G256" s="123">
        <f t="shared" si="7"/>
        <v>2.2375438653058662E-5</v>
      </c>
      <c r="I256" s="124"/>
      <c r="J256" s="124"/>
    </row>
    <row r="257" spans="1:10">
      <c r="A257" t="s">
        <v>746</v>
      </c>
      <c r="B257" s="28" t="s">
        <v>747</v>
      </c>
      <c r="C257" s="199">
        <v>1.4177189175947412E-3</v>
      </c>
      <c r="D257" s="200">
        <v>2.4237000000000002E-2</v>
      </c>
      <c r="E257" s="123">
        <f t="shared" si="6"/>
        <v>3.4361253405743741E-5</v>
      </c>
      <c r="F257" s="200">
        <v>-0.16641999999999998</v>
      </c>
      <c r="G257" s="123">
        <f t="shared" si="7"/>
        <v>-2.359367822661168E-4</v>
      </c>
      <c r="I257" s="124"/>
      <c r="J257" s="124"/>
    </row>
    <row r="258" spans="1:10">
      <c r="A258" t="s">
        <v>748</v>
      </c>
      <c r="B258" s="28" t="s">
        <v>749</v>
      </c>
      <c r="C258" s="199">
        <v>5.6467780253135515E-4</v>
      </c>
      <c r="D258" s="200">
        <v>3.7762999999999998E-2</v>
      </c>
      <c r="E258" s="123">
        <f t="shared" si="6"/>
        <v>2.1323927856991563E-5</v>
      </c>
      <c r="F258" s="200">
        <v>3.6949999999999997E-2</v>
      </c>
      <c r="G258" s="123">
        <f t="shared" si="7"/>
        <v>2.0864844803533571E-5</v>
      </c>
      <c r="I258" s="124"/>
      <c r="J258" s="124"/>
    </row>
    <row r="259" spans="1:10">
      <c r="A259" t="s">
        <v>750</v>
      </c>
      <c r="B259" s="28" t="s">
        <v>751</v>
      </c>
      <c r="C259" s="199">
        <v>5.6976240257203465E-4</v>
      </c>
      <c r="D259" s="200">
        <v>1.1017999999999998E-2</v>
      </c>
      <c r="E259" s="123">
        <f t="shared" si="6"/>
        <v>6.2776421515386765E-6</v>
      </c>
      <c r="F259" s="200">
        <v>0.16034999999999999</v>
      </c>
      <c r="G259" s="123">
        <f t="shared" si="7"/>
        <v>9.1361401252425758E-5</v>
      </c>
      <c r="I259" s="124"/>
      <c r="J259" s="124"/>
    </row>
    <row r="260" spans="1:10">
      <c r="A260" t="s">
        <v>752</v>
      </c>
      <c r="B260" s="28" t="s">
        <v>753</v>
      </c>
      <c r="C260" s="199">
        <v>8.344804687176648E-4</v>
      </c>
      <c r="D260" s="200">
        <v>5.1829E-2</v>
      </c>
      <c r="E260" s="123">
        <f t="shared" si="6"/>
        <v>4.3250288213167851E-5</v>
      </c>
      <c r="F260" s="200">
        <v>0.105</v>
      </c>
      <c r="G260" s="123">
        <f t="shared" si="7"/>
        <v>8.7620449215354806E-5</v>
      </c>
      <c r="I260" s="124"/>
      <c r="J260" s="124"/>
    </row>
    <row r="261" spans="1:10">
      <c r="A261" t="s">
        <v>754</v>
      </c>
      <c r="B261" s="28" t="s">
        <v>755</v>
      </c>
      <c r="C261" s="199">
        <v>3.6134233310372224E-4</v>
      </c>
      <c r="D261" s="200">
        <v>3.4584000000000004E-2</v>
      </c>
      <c r="E261" s="123">
        <f t="shared" si="6"/>
        <v>1.2496663248059132E-5</v>
      </c>
      <c r="F261" s="200">
        <v>5.7500000000000002E-2</v>
      </c>
      <c r="G261" s="123">
        <f t="shared" si="7"/>
        <v>2.0777184153464031E-5</v>
      </c>
      <c r="I261" s="124"/>
      <c r="J261" s="124"/>
    </row>
    <row r="262" spans="1:10">
      <c r="A262" t="s">
        <v>756</v>
      </c>
      <c r="B262" s="28" t="s">
        <v>757</v>
      </c>
      <c r="C262" s="199">
        <v>1.3837919260369573E-3</v>
      </c>
      <c r="D262" s="200">
        <v>5.0500999999999997E-2</v>
      </c>
      <c r="E262" s="123">
        <f t="shared" si="6"/>
        <v>6.9882876056792382E-5</v>
      </c>
      <c r="F262" s="200">
        <v>3.9E-2</v>
      </c>
      <c r="G262" s="123">
        <f t="shared" si="7"/>
        <v>5.3967885115441335E-5</v>
      </c>
      <c r="I262" s="124"/>
      <c r="J262" s="124"/>
    </row>
    <row r="263" spans="1:10">
      <c r="A263" t="s">
        <v>758</v>
      </c>
      <c r="B263" s="28" t="s">
        <v>759</v>
      </c>
      <c r="C263" s="199">
        <v>9.7811750052351058E-4</v>
      </c>
      <c r="D263" s="200">
        <v>3.2315000000000003E-2</v>
      </c>
      <c r="E263" s="123">
        <f t="shared" si="6"/>
        <v>3.1607867029417247E-5</v>
      </c>
      <c r="F263" s="200">
        <v>4.8930000000000001E-2</v>
      </c>
      <c r="G263" s="123">
        <f t="shared" si="7"/>
        <v>4.7859289300615375E-5</v>
      </c>
      <c r="I263" s="124"/>
      <c r="J263" s="124"/>
    </row>
    <row r="264" spans="1:10">
      <c r="A264" t="s">
        <v>760</v>
      </c>
      <c r="B264" s="28" t="s">
        <v>761</v>
      </c>
      <c r="C264" s="199">
        <v>2.7496223530375143E-4</v>
      </c>
      <c r="D264" s="200">
        <v>3.5448E-2</v>
      </c>
      <c r="E264" s="123">
        <f t="shared" si="6"/>
        <v>9.7468613170473813E-6</v>
      </c>
      <c r="F264" s="200">
        <v>2E-3</v>
      </c>
      <c r="G264" s="123">
        <f t="shared" si="7"/>
        <v>5.4992447060750289E-7</v>
      </c>
      <c r="I264" s="124"/>
      <c r="J264" s="124"/>
    </row>
    <row r="265" spans="1:10">
      <c r="A265" t="s">
        <v>762</v>
      </c>
      <c r="B265" s="28" t="s">
        <v>763</v>
      </c>
      <c r="C265" s="199">
        <v>5.130584413083351E-3</v>
      </c>
      <c r="D265" s="200" t="s">
        <v>1301</v>
      </c>
      <c r="E265" s="123" t="str">
        <f t="shared" si="6"/>
        <v>n/a</v>
      </c>
      <c r="F265" s="200">
        <v>0.16750000000000001</v>
      </c>
      <c r="G265" s="123">
        <f t="shared" si="7"/>
        <v>8.593728891914613E-4</v>
      </c>
      <c r="I265" s="124"/>
      <c r="J265" s="124"/>
    </row>
    <row r="266" spans="1:10">
      <c r="A266" t="s">
        <v>764</v>
      </c>
      <c r="B266" s="28" t="s">
        <v>765</v>
      </c>
      <c r="C266" s="199">
        <v>4.6077225265542748E-4</v>
      </c>
      <c r="D266" s="200">
        <v>3.3313000000000002E-2</v>
      </c>
      <c r="E266" s="123">
        <f t="shared" si="6"/>
        <v>1.5349706052710257E-5</v>
      </c>
      <c r="F266" s="200">
        <v>8.657999999999999E-2</v>
      </c>
      <c r="G266" s="123">
        <f t="shared" si="7"/>
        <v>3.9893661634906909E-5</v>
      </c>
      <c r="I266" s="124"/>
      <c r="J266" s="124"/>
    </row>
    <row r="267" spans="1:10">
      <c r="A267" t="s">
        <v>766</v>
      </c>
      <c r="B267" s="28" t="s">
        <v>767</v>
      </c>
      <c r="C267" s="199">
        <v>5.0037099286042415E-3</v>
      </c>
      <c r="D267" s="200">
        <v>3.0998000000000001E-2</v>
      </c>
      <c r="E267" s="123">
        <f t="shared" si="6"/>
        <v>1.5510500036687428E-4</v>
      </c>
      <c r="F267" s="200">
        <v>6.1630000000000004E-2</v>
      </c>
      <c r="G267" s="123">
        <f t="shared" si="7"/>
        <v>3.0837864289987943E-4</v>
      </c>
      <c r="I267" s="124"/>
      <c r="J267" s="124"/>
    </row>
    <row r="268" spans="1:10">
      <c r="A268" t="s">
        <v>768</v>
      </c>
      <c r="B268" s="28" t="s">
        <v>769</v>
      </c>
      <c r="C268" s="199">
        <v>3.331346224088267E-2</v>
      </c>
      <c r="D268" s="200">
        <v>1.7544000000000001E-2</v>
      </c>
      <c r="E268" s="123">
        <f t="shared" si="6"/>
        <v>5.8445138155404557E-4</v>
      </c>
      <c r="F268" s="200">
        <v>9.4E-2</v>
      </c>
      <c r="G268" s="123">
        <f t="shared" si="7"/>
        <v>3.1314654506429708E-3</v>
      </c>
      <c r="I268" s="124"/>
      <c r="J268" s="124"/>
    </row>
    <row r="269" spans="1:10">
      <c r="A269" t="s">
        <v>770</v>
      </c>
      <c r="B269" s="28" t="s">
        <v>771</v>
      </c>
      <c r="C269" s="199">
        <v>1.3684355534970313E-3</v>
      </c>
      <c r="D269" s="200" t="s">
        <v>1301</v>
      </c>
      <c r="E269" s="123" t="str">
        <f t="shared" si="6"/>
        <v>n/a</v>
      </c>
      <c r="F269" s="200">
        <v>0.54774999999999996</v>
      </c>
      <c r="G269" s="123">
        <f t="shared" si="7"/>
        <v>7.4956057442799879E-4</v>
      </c>
      <c r="I269" s="124"/>
      <c r="J269" s="124"/>
    </row>
    <row r="270" spans="1:10">
      <c r="A270" t="s">
        <v>772</v>
      </c>
      <c r="B270" s="28" t="s">
        <v>773</v>
      </c>
      <c r="C270" s="199">
        <v>8.3210498449692264E-4</v>
      </c>
      <c r="D270" s="200">
        <v>1.0933E-2</v>
      </c>
      <c r="E270" s="123">
        <f t="shared" si="6"/>
        <v>9.0974037955048552E-6</v>
      </c>
      <c r="F270" s="200">
        <v>0.1211</v>
      </c>
      <c r="G270" s="123">
        <f t="shared" si="7"/>
        <v>1.0076791362257732E-4</v>
      </c>
      <c r="I270" s="124"/>
      <c r="J270" s="124"/>
    </row>
    <row r="271" spans="1:10">
      <c r="A271" t="s">
        <v>774</v>
      </c>
      <c r="B271" s="28" t="s">
        <v>775</v>
      </c>
      <c r="C271" s="199">
        <v>7.0110535245146858E-3</v>
      </c>
      <c r="D271" s="200">
        <v>2.2970000000000001E-2</v>
      </c>
      <c r="E271" s="123">
        <f t="shared" si="6"/>
        <v>1.6104389945810233E-4</v>
      </c>
      <c r="F271" s="200">
        <v>0.11337</v>
      </c>
      <c r="G271" s="123">
        <f t="shared" si="7"/>
        <v>7.9484313807422994E-4</v>
      </c>
      <c r="I271" s="124"/>
      <c r="J271" s="124"/>
    </row>
    <row r="272" spans="1:10">
      <c r="A272" t="s">
        <v>776</v>
      </c>
      <c r="B272" s="28" t="s">
        <v>777</v>
      </c>
      <c r="C272" s="199">
        <v>5.5317245200266554E-4</v>
      </c>
      <c r="D272" s="200">
        <v>2.4621000000000001E-2</v>
      </c>
      <c r="E272" s="123">
        <f t="shared" si="6"/>
        <v>1.3619658940757629E-5</v>
      </c>
      <c r="F272" s="200">
        <v>0</v>
      </c>
      <c r="G272" s="123">
        <f t="shared" si="7"/>
        <v>0</v>
      </c>
      <c r="I272" s="124"/>
      <c r="J272" s="124"/>
    </row>
    <row r="273" spans="1:10">
      <c r="A273" t="s">
        <v>778</v>
      </c>
      <c r="B273" s="28" t="s">
        <v>779</v>
      </c>
      <c r="C273" s="199">
        <v>6.8471862103368201E-4</v>
      </c>
      <c r="D273" s="200">
        <v>2.8151000000000002E-2</v>
      </c>
      <c r="E273" s="123">
        <f t="shared" si="6"/>
        <v>1.9275513900719184E-5</v>
      </c>
      <c r="F273" s="200">
        <v>7.1470000000000006E-2</v>
      </c>
      <c r="G273" s="123">
        <f t="shared" si="7"/>
        <v>4.893683984527726E-5</v>
      </c>
      <c r="I273" s="124"/>
      <c r="J273" s="124"/>
    </row>
    <row r="274" spans="1:10">
      <c r="A274" t="s">
        <v>780</v>
      </c>
      <c r="B274" s="28" t="s">
        <v>781</v>
      </c>
      <c r="C274" s="199">
        <v>1.658417041810682E-3</v>
      </c>
      <c r="D274" s="200">
        <v>1.4319E-2</v>
      </c>
      <c r="E274" s="123">
        <f t="shared" si="6"/>
        <v>2.3746873621687158E-5</v>
      </c>
      <c r="F274" s="200">
        <v>0.12098</v>
      </c>
      <c r="G274" s="123">
        <f t="shared" si="7"/>
        <v>2.0063529371825632E-4</v>
      </c>
      <c r="I274" s="124"/>
      <c r="J274" s="124"/>
    </row>
    <row r="275" spans="1:10">
      <c r="A275" t="s">
        <v>782</v>
      </c>
      <c r="B275" s="28" t="s">
        <v>783</v>
      </c>
      <c r="C275" s="199">
        <v>6.434498003745437E-4</v>
      </c>
      <c r="D275" s="200">
        <v>1.8440999999999999E-2</v>
      </c>
      <c r="E275" s="123">
        <f t="shared" si="6"/>
        <v>1.186585776870696E-5</v>
      </c>
      <c r="F275" s="200">
        <v>6.0999999999999999E-2</v>
      </c>
      <c r="G275" s="123">
        <f t="shared" si="7"/>
        <v>3.9250437822847162E-5</v>
      </c>
      <c r="I275" s="124"/>
      <c r="J275" s="124"/>
    </row>
    <row r="276" spans="1:10">
      <c r="A276" t="s">
        <v>784</v>
      </c>
      <c r="B276" s="28" t="s">
        <v>785</v>
      </c>
      <c r="C276" s="199">
        <v>3.2962821866054643E-4</v>
      </c>
      <c r="D276" s="200">
        <v>3.1890000000000002E-2</v>
      </c>
      <c r="E276" s="123">
        <f t="shared" si="6"/>
        <v>1.0511843893084827E-5</v>
      </c>
      <c r="F276" s="200">
        <v>0.09</v>
      </c>
      <c r="G276" s="123">
        <f t="shared" si="7"/>
        <v>2.9666539679449177E-5</v>
      </c>
      <c r="I276" s="124"/>
      <c r="J276" s="124"/>
    </row>
    <row r="277" spans="1:10">
      <c r="A277" t="s">
        <v>786</v>
      </c>
      <c r="B277" s="28" t="s">
        <v>787</v>
      </c>
      <c r="C277" s="199">
        <v>9.6395558532649209E-4</v>
      </c>
      <c r="D277" s="200">
        <v>1.9536000000000001E-2</v>
      </c>
      <c r="E277" s="123">
        <f t="shared" si="6"/>
        <v>1.8831836314938349E-5</v>
      </c>
      <c r="F277" s="200">
        <v>6.0999999999999999E-2</v>
      </c>
      <c r="G277" s="123">
        <f t="shared" si="7"/>
        <v>5.8801290704916019E-5</v>
      </c>
      <c r="I277" s="124"/>
      <c r="J277" s="124"/>
    </row>
    <row r="278" spans="1:10">
      <c r="A278" t="s">
        <v>788</v>
      </c>
      <c r="B278" s="28" t="s">
        <v>789</v>
      </c>
      <c r="C278" s="199">
        <v>4.0131099263225429E-3</v>
      </c>
      <c r="D278" s="200">
        <v>1.0623E-2</v>
      </c>
      <c r="E278" s="123">
        <f t="shared" si="6"/>
        <v>4.2631266747324376E-5</v>
      </c>
      <c r="F278" s="200">
        <v>0.10580000000000001</v>
      </c>
      <c r="G278" s="123">
        <f t="shared" si="7"/>
        <v>4.2458703020492507E-4</v>
      </c>
      <c r="I278" s="124"/>
      <c r="J278" s="124"/>
    </row>
    <row r="279" spans="1:10">
      <c r="A279" t="s">
        <v>1359</v>
      </c>
      <c r="B279" s="28" t="s">
        <v>1360</v>
      </c>
      <c r="C279" s="199">
        <v>6.8355659928267046E-4</v>
      </c>
      <c r="D279" s="200">
        <v>7.4510000000000002E-3</v>
      </c>
      <c r="E279" s="123">
        <f t="shared" ref="E279:E342" si="8">IFERROR($D279*$C279,"n/a")</f>
        <v>5.0931802212551779E-6</v>
      </c>
      <c r="F279" s="200">
        <v>0.11814999999999999</v>
      </c>
      <c r="G279" s="123">
        <f t="shared" si="7"/>
        <v>8.0762212205247511E-5</v>
      </c>
      <c r="I279" s="124"/>
      <c r="J279" s="124"/>
    </row>
    <row r="280" spans="1:10">
      <c r="A280" t="s">
        <v>790</v>
      </c>
      <c r="B280" s="28" t="s">
        <v>791</v>
      </c>
      <c r="C280" s="199">
        <v>2.8204140326307638E-3</v>
      </c>
      <c r="D280" s="200">
        <v>1.1714E-2</v>
      </c>
      <c r="E280" s="123">
        <f t="shared" si="8"/>
        <v>3.303832997823677E-5</v>
      </c>
      <c r="F280" s="200">
        <v>8.6430000000000007E-2</v>
      </c>
      <c r="G280" s="123">
        <f t="shared" ref="G280:G343" si="9">IFERROR($F280*$C280,"n/a")</f>
        <v>2.4376838484027694E-4</v>
      </c>
      <c r="I280" s="124"/>
      <c r="J280" s="124"/>
    </row>
    <row r="281" spans="1:10">
      <c r="A281" t="s">
        <v>794</v>
      </c>
      <c r="B281" s="28" t="s">
        <v>795</v>
      </c>
      <c r="C281" s="199">
        <v>7.7702327518646102E-4</v>
      </c>
      <c r="D281" s="200">
        <v>2.4225E-2</v>
      </c>
      <c r="E281" s="123">
        <f t="shared" si="8"/>
        <v>1.8823388841392017E-5</v>
      </c>
      <c r="F281" s="200">
        <v>-0.05</v>
      </c>
      <c r="G281" s="123">
        <f t="shared" si="9"/>
        <v>-3.8851163759323055E-5</v>
      </c>
      <c r="I281" s="124"/>
      <c r="J281" s="124"/>
    </row>
    <row r="282" spans="1:10">
      <c r="A282" t="s">
        <v>792</v>
      </c>
      <c r="B282" s="28" t="s">
        <v>793</v>
      </c>
      <c r="C282" s="199">
        <v>4.4957979248652635E-4</v>
      </c>
      <c r="D282" s="200">
        <v>1.1065E-2</v>
      </c>
      <c r="E282" s="123">
        <f t="shared" si="8"/>
        <v>4.9746004038634142E-6</v>
      </c>
      <c r="F282" s="200">
        <v>0.11019999999999999</v>
      </c>
      <c r="G282" s="123">
        <f t="shared" si="9"/>
        <v>4.95436931320152E-5</v>
      </c>
      <c r="I282" s="124"/>
      <c r="J282" s="124"/>
    </row>
    <row r="283" spans="1:10">
      <c r="A283" t="s">
        <v>796</v>
      </c>
      <c r="B283" s="28" t="s">
        <v>797</v>
      </c>
      <c r="C283" s="199">
        <v>1.5823113665223924E-3</v>
      </c>
      <c r="D283" s="200">
        <v>2.0471E-2</v>
      </c>
      <c r="E283" s="123">
        <f t="shared" si="8"/>
        <v>3.2391495984079893E-5</v>
      </c>
      <c r="F283" s="200">
        <v>7.3369999999999991E-2</v>
      </c>
      <c r="G283" s="123">
        <f t="shared" si="9"/>
        <v>1.1609418496174792E-4</v>
      </c>
      <c r="I283" s="124"/>
      <c r="J283" s="124"/>
    </row>
    <row r="284" spans="1:10">
      <c r="A284" t="s">
        <v>798</v>
      </c>
      <c r="B284" s="28" t="s">
        <v>799</v>
      </c>
      <c r="C284" s="199">
        <v>6.9932577524933423E-4</v>
      </c>
      <c r="D284" s="200">
        <v>1.1183E-2</v>
      </c>
      <c r="E284" s="123">
        <f t="shared" si="8"/>
        <v>7.8205601446133048E-6</v>
      </c>
      <c r="F284" s="200">
        <v>0.152</v>
      </c>
      <c r="G284" s="123">
        <f t="shared" si="9"/>
        <v>1.062975178378988E-4</v>
      </c>
      <c r="I284" s="124"/>
      <c r="J284" s="124"/>
    </row>
    <row r="285" spans="1:10">
      <c r="A285" t="s">
        <v>800</v>
      </c>
      <c r="B285" s="28" t="s">
        <v>801</v>
      </c>
      <c r="C285" s="199">
        <v>6.3196670392272987E-4</v>
      </c>
      <c r="D285" s="200">
        <v>3.8127000000000001E-2</v>
      </c>
      <c r="E285" s="123">
        <f t="shared" si="8"/>
        <v>2.4094994520461921E-5</v>
      </c>
      <c r="F285" s="200">
        <v>0.18340000000000001</v>
      </c>
      <c r="G285" s="123">
        <f t="shared" si="9"/>
        <v>1.1590269349942866E-4</v>
      </c>
      <c r="I285" s="124"/>
      <c r="J285" s="124"/>
    </row>
    <row r="286" spans="1:10">
      <c r="A286" t="s">
        <v>802</v>
      </c>
      <c r="B286" s="28" t="s">
        <v>803</v>
      </c>
      <c r="C286" s="199">
        <v>2.6293464105582556E-3</v>
      </c>
      <c r="D286" s="200" t="s">
        <v>1301</v>
      </c>
      <c r="E286" s="123" t="str">
        <f t="shared" si="8"/>
        <v>n/a</v>
      </c>
      <c r="F286" s="200">
        <v>0.20698</v>
      </c>
      <c r="G286" s="123">
        <f t="shared" si="9"/>
        <v>5.4422212005734777E-4</v>
      </c>
      <c r="I286" s="124"/>
      <c r="J286" s="124"/>
    </row>
    <row r="287" spans="1:10">
      <c r="A287" t="s">
        <v>804</v>
      </c>
      <c r="B287" s="28" t="s">
        <v>805</v>
      </c>
      <c r="C287" s="199">
        <v>7.6797241855568741E-4</v>
      </c>
      <c r="D287" s="200" t="s">
        <v>1301</v>
      </c>
      <c r="E287" s="123" t="str">
        <f t="shared" si="8"/>
        <v>n/a</v>
      </c>
      <c r="F287" s="200">
        <v>0.12467</v>
      </c>
      <c r="G287" s="123">
        <f t="shared" si="9"/>
        <v>9.5743121421337551E-5</v>
      </c>
      <c r="I287" s="124"/>
      <c r="J287" s="124"/>
    </row>
    <row r="288" spans="1:10">
      <c r="A288" t="s">
        <v>806</v>
      </c>
      <c r="B288" s="28" t="s">
        <v>807</v>
      </c>
      <c r="C288" s="199">
        <v>5.6036563421075884E-4</v>
      </c>
      <c r="D288" s="200">
        <v>2.6134000000000001E-2</v>
      </c>
      <c r="E288" s="123">
        <f t="shared" si="8"/>
        <v>1.4644595484463972E-5</v>
      </c>
      <c r="F288" s="200" t="s">
        <v>1301</v>
      </c>
      <c r="G288" s="123" t="str">
        <f t="shared" si="9"/>
        <v>n/a</v>
      </c>
      <c r="I288" s="124"/>
      <c r="J288" s="124"/>
    </row>
    <row r="289" spans="1:10">
      <c r="A289" t="s">
        <v>808</v>
      </c>
      <c r="B289" s="28" t="s">
        <v>809</v>
      </c>
      <c r="C289" s="199">
        <v>6.094695110093973E-4</v>
      </c>
      <c r="D289" s="200">
        <v>1.5605000000000001E-2</v>
      </c>
      <c r="E289" s="123">
        <f t="shared" si="8"/>
        <v>9.5107717193016454E-6</v>
      </c>
      <c r="F289" s="200">
        <v>0.11800000000000001</v>
      </c>
      <c r="G289" s="123">
        <f t="shared" si="9"/>
        <v>7.1917402299108885E-5</v>
      </c>
      <c r="I289" s="124"/>
      <c r="J289" s="124"/>
    </row>
    <row r="290" spans="1:10">
      <c r="A290" t="s">
        <v>810</v>
      </c>
      <c r="B290" s="28" t="s">
        <v>811</v>
      </c>
      <c r="C290" s="199">
        <v>2.4462387802107042E-4</v>
      </c>
      <c r="D290" s="200">
        <v>1.7257000000000002E-2</v>
      </c>
      <c r="E290" s="123">
        <f t="shared" si="8"/>
        <v>4.2214742630096126E-6</v>
      </c>
      <c r="F290" s="200">
        <v>0.20065000000000002</v>
      </c>
      <c r="G290" s="123">
        <f t="shared" si="9"/>
        <v>4.9083781124927785E-5</v>
      </c>
      <c r="I290" s="124"/>
      <c r="J290" s="124"/>
    </row>
    <row r="291" spans="1:10">
      <c r="A291" t="s">
        <v>812</v>
      </c>
      <c r="B291" s="28" t="s">
        <v>813</v>
      </c>
      <c r="C291" s="199">
        <v>1.1829497163306666E-3</v>
      </c>
      <c r="D291" s="200" t="s">
        <v>1301</v>
      </c>
      <c r="E291" s="123" t="str">
        <f t="shared" si="8"/>
        <v>n/a</v>
      </c>
      <c r="F291" s="200">
        <v>0.12633</v>
      </c>
      <c r="G291" s="123">
        <f t="shared" si="9"/>
        <v>1.4944203766405312E-4</v>
      </c>
      <c r="I291" s="124"/>
      <c r="J291" s="124"/>
    </row>
    <row r="292" spans="1:10">
      <c r="A292" t="s">
        <v>814</v>
      </c>
      <c r="B292" s="28" t="s">
        <v>815</v>
      </c>
      <c r="C292" s="199">
        <v>5.0769564760600003E-4</v>
      </c>
      <c r="D292" s="200">
        <v>1.2987E-2</v>
      </c>
      <c r="E292" s="123">
        <f t="shared" si="8"/>
        <v>6.5934433754591229E-6</v>
      </c>
      <c r="F292" s="200">
        <v>9.6000000000000002E-2</v>
      </c>
      <c r="G292" s="123">
        <f t="shared" si="9"/>
        <v>4.8738782170176006E-5</v>
      </c>
      <c r="I292" s="124"/>
      <c r="J292" s="124"/>
    </row>
    <row r="293" spans="1:10">
      <c r="A293" t="s">
        <v>816</v>
      </c>
      <c r="B293" s="28" t="s">
        <v>817</v>
      </c>
      <c r="C293" s="199">
        <v>7.3373614427157431E-4</v>
      </c>
      <c r="D293" s="200">
        <v>2.8448999999999999E-2</v>
      </c>
      <c r="E293" s="123">
        <f t="shared" si="8"/>
        <v>2.0874059568382017E-5</v>
      </c>
      <c r="F293" s="200">
        <v>0.14849999999999999</v>
      </c>
      <c r="G293" s="123">
        <f t="shared" si="9"/>
        <v>1.0895981742432878E-4</v>
      </c>
      <c r="I293" s="124"/>
      <c r="J293" s="124"/>
    </row>
    <row r="294" spans="1:10">
      <c r="A294" t="s">
        <v>818</v>
      </c>
      <c r="B294" s="28" t="s">
        <v>819</v>
      </c>
      <c r="C294" s="199">
        <v>9.8030956720889482E-4</v>
      </c>
      <c r="D294" s="200">
        <v>2.4310000000000002E-2</v>
      </c>
      <c r="E294" s="123">
        <f t="shared" si="8"/>
        <v>2.3831325578848233E-5</v>
      </c>
      <c r="F294" s="200">
        <v>0.1045</v>
      </c>
      <c r="G294" s="123">
        <f t="shared" si="9"/>
        <v>1.024423497733295E-4</v>
      </c>
      <c r="I294" s="124"/>
      <c r="J294" s="124"/>
    </row>
    <row r="295" spans="1:10">
      <c r="A295" t="s">
        <v>820</v>
      </c>
      <c r="B295" s="28" t="s">
        <v>821</v>
      </c>
      <c r="C295" s="199">
        <v>1.1632498286627908E-3</v>
      </c>
      <c r="D295" s="200">
        <v>2.903E-2</v>
      </c>
      <c r="E295" s="123">
        <f t="shared" si="8"/>
        <v>3.3769142526080817E-5</v>
      </c>
      <c r="F295" s="200">
        <v>5.9770000000000004E-2</v>
      </c>
      <c r="G295" s="123">
        <f t="shared" si="9"/>
        <v>6.9527442259175015E-5</v>
      </c>
      <c r="I295" s="124"/>
      <c r="J295" s="124"/>
    </row>
    <row r="296" spans="1:10">
      <c r="A296" t="s">
        <v>822</v>
      </c>
      <c r="B296" s="28" t="s">
        <v>823</v>
      </c>
      <c r="C296" s="199">
        <v>1.4026940733684724E-3</v>
      </c>
      <c r="D296" s="200" t="s">
        <v>1301</v>
      </c>
      <c r="E296" s="123" t="str">
        <f t="shared" si="8"/>
        <v>n/a</v>
      </c>
      <c r="F296" s="200">
        <v>7.400000000000001E-2</v>
      </c>
      <c r="G296" s="123">
        <f t="shared" si="9"/>
        <v>1.0379936142926698E-4</v>
      </c>
      <c r="I296" s="124"/>
      <c r="J296" s="124"/>
    </row>
    <row r="297" spans="1:10">
      <c r="A297" t="s">
        <v>824</v>
      </c>
      <c r="B297" s="28" t="s">
        <v>825</v>
      </c>
      <c r="C297" s="199">
        <v>7.3615602628194284E-4</v>
      </c>
      <c r="D297" s="200">
        <v>3.2811E-2</v>
      </c>
      <c r="E297" s="123">
        <f t="shared" si="8"/>
        <v>2.4154015378336828E-5</v>
      </c>
      <c r="F297" s="200">
        <v>3.95E-2</v>
      </c>
      <c r="G297" s="123">
        <f t="shared" si="9"/>
        <v>2.9078163038136741E-5</v>
      </c>
      <c r="I297" s="124"/>
      <c r="J297" s="124"/>
    </row>
    <row r="298" spans="1:10">
      <c r="A298" t="s">
        <v>826</v>
      </c>
      <c r="B298" s="28" t="s">
        <v>827</v>
      </c>
      <c r="C298" s="199">
        <v>3.844336330816774E-3</v>
      </c>
      <c r="D298" s="200">
        <v>3.2566999999999999E-2</v>
      </c>
      <c r="E298" s="123">
        <f t="shared" si="8"/>
        <v>1.2519850128570989E-4</v>
      </c>
      <c r="F298" s="200">
        <v>5.4539999999999998E-2</v>
      </c>
      <c r="G298" s="123">
        <f t="shared" si="9"/>
        <v>2.0967010348274686E-4</v>
      </c>
      <c r="I298" s="124"/>
      <c r="J298" s="124"/>
    </row>
    <row r="299" spans="1:10">
      <c r="A299" t="s">
        <v>828</v>
      </c>
      <c r="B299" s="28" t="s">
        <v>829</v>
      </c>
      <c r="C299" s="199">
        <v>4.8630143121226166E-4</v>
      </c>
      <c r="D299" s="200">
        <v>2.7827000000000001E-2</v>
      </c>
      <c r="E299" s="123">
        <f t="shared" si="8"/>
        <v>1.3532309926343606E-5</v>
      </c>
      <c r="F299" s="200">
        <v>9.7250000000000003E-2</v>
      </c>
      <c r="G299" s="123">
        <f t="shared" si="9"/>
        <v>4.7292814185392446E-5</v>
      </c>
      <c r="I299" s="124"/>
      <c r="J299" s="124"/>
    </row>
    <row r="300" spans="1:10">
      <c r="A300" t="s">
        <v>830</v>
      </c>
      <c r="B300" s="28" t="s">
        <v>831</v>
      </c>
      <c r="C300" s="199">
        <v>5.8829151534034441E-4</v>
      </c>
      <c r="D300" s="200">
        <v>4.2295999999999993E-2</v>
      </c>
      <c r="E300" s="123">
        <f t="shared" si="8"/>
        <v>2.4882377932835204E-5</v>
      </c>
      <c r="F300" s="200">
        <v>8.2029999999999992E-2</v>
      </c>
      <c r="G300" s="123">
        <f t="shared" si="9"/>
        <v>4.8257553003368448E-5</v>
      </c>
      <c r="I300" s="124"/>
      <c r="J300" s="124"/>
    </row>
    <row r="301" spans="1:10">
      <c r="A301" t="s">
        <v>832</v>
      </c>
      <c r="B301" s="28" t="s">
        <v>833</v>
      </c>
      <c r="C301" s="199">
        <v>1.2355965706148E-3</v>
      </c>
      <c r="D301" s="200">
        <v>4.4908999999999998E-2</v>
      </c>
      <c r="E301" s="123">
        <f t="shared" si="8"/>
        <v>5.5489406389740053E-5</v>
      </c>
      <c r="F301" s="200">
        <v>7.2050000000000003E-2</v>
      </c>
      <c r="G301" s="123">
        <f t="shared" si="9"/>
        <v>8.9024732912796351E-5</v>
      </c>
      <c r="I301" s="124"/>
      <c r="J301" s="124"/>
    </row>
    <row r="302" spans="1:10">
      <c r="A302" t="s">
        <v>834</v>
      </c>
      <c r="B302" s="28" t="s">
        <v>835</v>
      </c>
      <c r="C302" s="199">
        <v>2.854652810907085E-3</v>
      </c>
      <c r="D302" s="200" t="s">
        <v>1301</v>
      </c>
      <c r="E302" s="123" t="str">
        <f t="shared" si="8"/>
        <v>n/a</v>
      </c>
      <c r="F302" s="200">
        <v>5.8129999999999994E-2</v>
      </c>
      <c r="G302" s="123">
        <f t="shared" si="9"/>
        <v>1.6594096789802884E-4</v>
      </c>
      <c r="I302" s="124"/>
      <c r="J302" s="124"/>
    </row>
    <row r="303" spans="1:10">
      <c r="A303" t="s">
        <v>836</v>
      </c>
      <c r="B303" s="28" t="s">
        <v>837</v>
      </c>
      <c r="C303" s="199">
        <v>8.3132208940882323E-4</v>
      </c>
      <c r="D303" s="200">
        <v>2.7130999999999999E-2</v>
      </c>
      <c r="E303" s="123">
        <f t="shared" si="8"/>
        <v>2.2554599607750781E-5</v>
      </c>
      <c r="F303" s="200">
        <v>0.12817000000000001</v>
      </c>
      <c r="G303" s="123">
        <f t="shared" si="9"/>
        <v>1.0655055219952887E-4</v>
      </c>
      <c r="I303" s="124"/>
      <c r="J303" s="124"/>
    </row>
    <row r="304" spans="1:10">
      <c r="A304" t="s">
        <v>838</v>
      </c>
      <c r="B304" s="28" t="s">
        <v>839</v>
      </c>
      <c r="C304" s="199">
        <v>3.7833488690780374E-4</v>
      </c>
      <c r="D304" s="200">
        <v>3.3502999999999998E-2</v>
      </c>
      <c r="E304" s="123">
        <f t="shared" si="8"/>
        <v>1.2675353716072149E-5</v>
      </c>
      <c r="F304" s="200">
        <v>8.2500000000000004E-2</v>
      </c>
      <c r="G304" s="123">
        <f t="shared" si="9"/>
        <v>3.1212628169893813E-5</v>
      </c>
      <c r="I304" s="124"/>
      <c r="J304" s="124"/>
    </row>
    <row r="305" spans="1:10">
      <c r="A305" t="s">
        <v>840</v>
      </c>
      <c r="B305" s="28" t="s">
        <v>841</v>
      </c>
      <c r="C305" s="199">
        <v>1.0791761903883696E-3</v>
      </c>
      <c r="D305" s="200">
        <v>3.1637999999999999E-2</v>
      </c>
      <c r="E305" s="123">
        <f t="shared" si="8"/>
        <v>3.4142976311507238E-5</v>
      </c>
      <c r="F305" s="200">
        <v>9.2499999999999999E-2</v>
      </c>
      <c r="G305" s="123">
        <f t="shared" si="9"/>
        <v>9.982379761092419E-5</v>
      </c>
      <c r="I305" s="124"/>
      <c r="J305" s="124"/>
    </row>
    <row r="306" spans="1:10">
      <c r="A306" t="s">
        <v>842</v>
      </c>
      <c r="B306" s="28" t="s">
        <v>843</v>
      </c>
      <c r="C306" s="199">
        <v>2.6248390997874393E-4</v>
      </c>
      <c r="D306" s="200">
        <v>4.2735000000000002E-2</v>
      </c>
      <c r="E306" s="123">
        <f t="shared" si="8"/>
        <v>1.1217249892941622E-5</v>
      </c>
      <c r="F306" s="200">
        <v>0.02</v>
      </c>
      <c r="G306" s="123">
        <f t="shared" si="9"/>
        <v>5.2496781995748788E-6</v>
      </c>
      <c r="I306" s="124"/>
      <c r="J306" s="124"/>
    </row>
    <row r="307" spans="1:10">
      <c r="A307" t="s">
        <v>844</v>
      </c>
      <c r="B307" s="28" t="s">
        <v>845</v>
      </c>
      <c r="C307" s="199">
        <v>2.5440778641459241E-3</v>
      </c>
      <c r="D307" s="200">
        <v>5.0081000000000001E-2</v>
      </c>
      <c r="E307" s="123">
        <f t="shared" si="8"/>
        <v>1.2740996351429202E-4</v>
      </c>
      <c r="F307" s="200">
        <v>0.11707000000000001</v>
      </c>
      <c r="G307" s="123">
        <f t="shared" si="9"/>
        <v>2.9783519555556337E-4</v>
      </c>
      <c r="I307" s="124"/>
      <c r="J307" s="124"/>
    </row>
    <row r="308" spans="1:10">
      <c r="A308" t="s">
        <v>846</v>
      </c>
      <c r="B308" s="28" t="s">
        <v>847</v>
      </c>
      <c r="C308" s="199">
        <v>1.2436281712533863E-3</v>
      </c>
      <c r="D308" s="200">
        <v>6.5310000000000003E-3</v>
      </c>
      <c r="E308" s="123">
        <f t="shared" si="8"/>
        <v>8.122135586455867E-6</v>
      </c>
      <c r="F308" s="200">
        <v>9.1999999999999998E-2</v>
      </c>
      <c r="G308" s="123">
        <f t="shared" si="9"/>
        <v>1.1441379175531155E-4</v>
      </c>
      <c r="I308" s="124"/>
      <c r="J308" s="124"/>
    </row>
    <row r="309" spans="1:10">
      <c r="A309" t="s">
        <v>848</v>
      </c>
      <c r="B309" s="28" t="s">
        <v>849</v>
      </c>
      <c r="C309" s="199">
        <v>1.4491089223158549E-3</v>
      </c>
      <c r="D309" s="200">
        <v>9.7699999999999992E-3</v>
      </c>
      <c r="E309" s="123">
        <f t="shared" si="8"/>
        <v>1.4157794171025902E-5</v>
      </c>
      <c r="F309" s="200">
        <v>0.105</v>
      </c>
      <c r="G309" s="123">
        <f t="shared" si="9"/>
        <v>1.5215643684316478E-4</v>
      </c>
      <c r="I309" s="124"/>
      <c r="J309" s="124"/>
    </row>
    <row r="310" spans="1:10">
      <c r="A310" t="s">
        <v>850</v>
      </c>
      <c r="B310" s="28" t="s">
        <v>851</v>
      </c>
      <c r="C310" s="199">
        <v>7.7886809303751947E-4</v>
      </c>
      <c r="D310" s="200" t="s">
        <v>1301</v>
      </c>
      <c r="E310" s="123" t="str">
        <f t="shared" si="8"/>
        <v>n/a</v>
      </c>
      <c r="F310" s="200">
        <v>0.16332999999999998</v>
      </c>
      <c r="G310" s="123">
        <f t="shared" si="9"/>
        <v>1.2721252563581805E-4</v>
      </c>
      <c r="I310" s="124"/>
      <c r="J310" s="124"/>
    </row>
    <row r="311" spans="1:10">
      <c r="A311" t="s">
        <v>852</v>
      </c>
      <c r="B311" s="28" t="s">
        <v>853</v>
      </c>
      <c r="C311" s="199">
        <v>3.5969750014111183E-3</v>
      </c>
      <c r="D311" s="200">
        <v>2.1133000000000002E-2</v>
      </c>
      <c r="E311" s="123">
        <f t="shared" si="8"/>
        <v>7.6014872704821177E-5</v>
      </c>
      <c r="F311" s="200">
        <v>0.13117000000000001</v>
      </c>
      <c r="G311" s="123">
        <f t="shared" si="9"/>
        <v>4.7181521093509642E-4</v>
      </c>
      <c r="I311" s="124"/>
      <c r="J311" s="124"/>
    </row>
    <row r="312" spans="1:10">
      <c r="A312" t="s">
        <v>854</v>
      </c>
      <c r="B312" s="28" t="s">
        <v>855</v>
      </c>
      <c r="C312" s="199">
        <v>7.1274911079926347E-4</v>
      </c>
      <c r="D312" s="200">
        <v>4.1287000000000004E-2</v>
      </c>
      <c r="E312" s="123">
        <f t="shared" si="8"/>
        <v>2.9427272537569194E-5</v>
      </c>
      <c r="F312" s="200">
        <v>0.13173000000000001</v>
      </c>
      <c r="G312" s="123">
        <f t="shared" si="9"/>
        <v>9.3890440365586983E-5</v>
      </c>
      <c r="I312" s="124"/>
      <c r="J312" s="124"/>
    </row>
    <row r="313" spans="1:10">
      <c r="A313" t="s">
        <v>856</v>
      </c>
      <c r="B313" s="28" t="s">
        <v>857</v>
      </c>
      <c r="C313" s="199">
        <v>1.143467516821501E-3</v>
      </c>
      <c r="D313" s="200">
        <v>2.6516000000000001E-2</v>
      </c>
      <c r="E313" s="123">
        <f t="shared" si="8"/>
        <v>3.0320184676038921E-5</v>
      </c>
      <c r="F313" s="200">
        <v>8.6929999999999993E-2</v>
      </c>
      <c r="G313" s="123">
        <f t="shared" si="9"/>
        <v>9.9401631237293074E-5</v>
      </c>
      <c r="I313" s="124"/>
      <c r="J313" s="124"/>
    </row>
    <row r="314" spans="1:10">
      <c r="A314" t="s">
        <v>858</v>
      </c>
      <c r="B314" s="28" t="s">
        <v>859</v>
      </c>
      <c r="C314" s="199">
        <v>4.8022680978718467E-4</v>
      </c>
      <c r="D314" s="200" t="s">
        <v>1301</v>
      </c>
      <c r="E314" s="123" t="str">
        <f t="shared" si="8"/>
        <v>n/a</v>
      </c>
      <c r="F314" s="200">
        <v>0.19542999999999999</v>
      </c>
      <c r="G314" s="123">
        <f t="shared" si="9"/>
        <v>9.3850725436709501E-5</v>
      </c>
      <c r="I314" s="124"/>
      <c r="J314" s="124"/>
    </row>
    <row r="315" spans="1:10">
      <c r="A315" t="s">
        <v>860</v>
      </c>
      <c r="B315" s="28" t="s">
        <v>861</v>
      </c>
      <c r="C315" s="199">
        <v>3.4919752519348853E-3</v>
      </c>
      <c r="D315" s="200">
        <v>2.8929E-2</v>
      </c>
      <c r="E315" s="123">
        <f t="shared" si="8"/>
        <v>1.0101935206322429E-4</v>
      </c>
      <c r="F315" s="200">
        <v>7.8329999999999997E-2</v>
      </c>
      <c r="G315" s="123">
        <f t="shared" si="9"/>
        <v>2.7352642148405958E-4</v>
      </c>
      <c r="I315" s="124"/>
      <c r="J315" s="124"/>
    </row>
    <row r="316" spans="1:10">
      <c r="A316" t="s">
        <v>862</v>
      </c>
      <c r="B316" s="28" t="s">
        <v>863</v>
      </c>
      <c r="C316" s="199">
        <v>2.923195650386601E-4</v>
      </c>
      <c r="D316" s="200">
        <v>1.8387000000000001E-2</v>
      </c>
      <c r="E316" s="123">
        <f t="shared" si="8"/>
        <v>5.3748798423658432E-6</v>
      </c>
      <c r="F316" s="200">
        <v>9.3329999999999996E-2</v>
      </c>
      <c r="G316" s="123">
        <f t="shared" si="9"/>
        <v>2.7282185005058145E-5</v>
      </c>
      <c r="I316" s="124"/>
      <c r="J316" s="124"/>
    </row>
    <row r="317" spans="1:10">
      <c r="A317" t="s">
        <v>864</v>
      </c>
      <c r="B317" s="28" t="s">
        <v>865</v>
      </c>
      <c r="C317" s="199">
        <v>5.7004877879971772E-4</v>
      </c>
      <c r="D317" s="200">
        <v>1.4272E-2</v>
      </c>
      <c r="E317" s="123">
        <f t="shared" si="8"/>
        <v>8.1357361710295715E-6</v>
      </c>
      <c r="F317" s="200">
        <v>7.4999999999999997E-2</v>
      </c>
      <c r="G317" s="123">
        <f t="shared" si="9"/>
        <v>4.2753658409978829E-5</v>
      </c>
      <c r="I317" s="124"/>
      <c r="J317" s="124"/>
    </row>
    <row r="318" spans="1:10">
      <c r="A318" t="s">
        <v>866</v>
      </c>
      <c r="B318" s="28" t="s">
        <v>867</v>
      </c>
      <c r="C318" s="199">
        <v>9.4458218190727799E-4</v>
      </c>
      <c r="D318" s="200">
        <v>2.9959E-2</v>
      </c>
      <c r="E318" s="123">
        <f t="shared" si="8"/>
        <v>2.8298737587760142E-5</v>
      </c>
      <c r="F318" s="200">
        <v>6.1069999999999999E-2</v>
      </c>
      <c r="G318" s="123">
        <f t="shared" si="9"/>
        <v>5.7685633849077467E-5</v>
      </c>
      <c r="I318" s="124"/>
      <c r="J318" s="124"/>
    </row>
    <row r="319" spans="1:10">
      <c r="A319" t="s">
        <v>868</v>
      </c>
      <c r="B319" s="28" t="s">
        <v>869</v>
      </c>
      <c r="C319" s="199">
        <v>1.731384647760494E-3</v>
      </c>
      <c r="D319" s="200">
        <v>1.9442000000000001E-2</v>
      </c>
      <c r="E319" s="123">
        <f t="shared" si="8"/>
        <v>3.3661580321759527E-5</v>
      </c>
      <c r="F319" s="200">
        <v>0.11776999999999999</v>
      </c>
      <c r="G319" s="123">
        <f t="shared" si="9"/>
        <v>2.0390516996675337E-4</v>
      </c>
      <c r="I319" s="124"/>
      <c r="J319" s="124"/>
    </row>
    <row r="320" spans="1:10">
      <c r="A320" t="s">
        <v>870</v>
      </c>
      <c r="B320" s="28" t="s">
        <v>871</v>
      </c>
      <c r="C320" s="199">
        <v>7.0689414581898244E-4</v>
      </c>
      <c r="D320" s="200">
        <v>1.4557E-2</v>
      </c>
      <c r="E320" s="123">
        <f t="shared" si="8"/>
        <v>1.0290258080686928E-5</v>
      </c>
      <c r="F320" s="200">
        <v>0.16364999999999999</v>
      </c>
      <c r="G320" s="123">
        <f t="shared" si="9"/>
        <v>1.1568322696327647E-4</v>
      </c>
      <c r="I320" s="124"/>
      <c r="J320" s="124"/>
    </row>
    <row r="321" spans="1:10">
      <c r="A321" t="s">
        <v>872</v>
      </c>
      <c r="B321" s="28" t="s">
        <v>873</v>
      </c>
      <c r="C321" s="199">
        <v>2.0613657748125977E-3</v>
      </c>
      <c r="D321" s="200">
        <v>2.0558E-2</v>
      </c>
      <c r="E321" s="123">
        <f t="shared" si="8"/>
        <v>4.2377557598597386E-5</v>
      </c>
      <c r="F321" s="200">
        <v>7.1050000000000002E-2</v>
      </c>
      <c r="G321" s="123">
        <f t="shared" si="9"/>
        <v>1.4646003830043507E-4</v>
      </c>
      <c r="I321" s="124"/>
      <c r="J321" s="124"/>
    </row>
    <row r="322" spans="1:10">
      <c r="A322" t="s">
        <v>874</v>
      </c>
      <c r="B322" s="28" t="s">
        <v>875</v>
      </c>
      <c r="C322" s="199">
        <v>1.2277043522256482E-3</v>
      </c>
      <c r="D322" s="200">
        <v>1.7044999999999998E-2</v>
      </c>
      <c r="E322" s="123">
        <f t="shared" si="8"/>
        <v>2.0926220683686171E-5</v>
      </c>
      <c r="F322" s="200">
        <v>8.6349999999999996E-2</v>
      </c>
      <c r="G322" s="123">
        <f t="shared" si="9"/>
        <v>1.0601227081468472E-4</v>
      </c>
      <c r="I322" s="124"/>
      <c r="J322" s="124"/>
    </row>
    <row r="323" spans="1:10">
      <c r="A323" t="s">
        <v>876</v>
      </c>
      <c r="B323" s="28" t="s">
        <v>877</v>
      </c>
      <c r="C323" s="199">
        <v>1.2029340785674539E-3</v>
      </c>
      <c r="D323" s="200">
        <v>1.2864E-2</v>
      </c>
      <c r="E323" s="123">
        <f t="shared" si="8"/>
        <v>1.5474543986691726E-5</v>
      </c>
      <c r="F323" s="200">
        <v>8.5999999999999993E-2</v>
      </c>
      <c r="G323" s="123">
        <f t="shared" si="9"/>
        <v>1.0345233075680103E-4</v>
      </c>
      <c r="I323" s="124"/>
      <c r="J323" s="124"/>
    </row>
    <row r="324" spans="1:10">
      <c r="A324" t="s">
        <v>878</v>
      </c>
      <c r="B324" s="28" t="s">
        <v>879</v>
      </c>
      <c r="C324" s="199">
        <v>3.9628737598682002E-4</v>
      </c>
      <c r="D324" s="200">
        <v>8.3429999999999997E-3</v>
      </c>
      <c r="E324" s="123">
        <f t="shared" si="8"/>
        <v>3.3062255778580394E-6</v>
      </c>
      <c r="F324" s="200">
        <v>6.9000000000000006E-2</v>
      </c>
      <c r="G324" s="123">
        <f t="shared" si="9"/>
        <v>2.7343828943090584E-5</v>
      </c>
      <c r="I324" s="124"/>
      <c r="J324" s="124"/>
    </row>
    <row r="325" spans="1:10">
      <c r="A325" t="s">
        <v>880</v>
      </c>
      <c r="B325" s="28" t="s">
        <v>881</v>
      </c>
      <c r="C325" s="199">
        <v>3.7887557858482239E-4</v>
      </c>
      <c r="D325" s="200">
        <v>2.5215000000000001E-2</v>
      </c>
      <c r="E325" s="123">
        <f t="shared" si="8"/>
        <v>9.5533477140162966E-6</v>
      </c>
      <c r="F325" s="200">
        <v>6.7750000000000005E-2</v>
      </c>
      <c r="G325" s="123">
        <f t="shared" si="9"/>
        <v>2.5668820449121719E-5</v>
      </c>
      <c r="I325" s="124"/>
      <c r="J325" s="124"/>
    </row>
    <row r="326" spans="1:10">
      <c r="A326" t="s">
        <v>882</v>
      </c>
      <c r="B326" s="28" t="s">
        <v>883</v>
      </c>
      <c r="C326" s="199">
        <v>3.345906231174145E-4</v>
      </c>
      <c r="D326" s="200">
        <v>2.1892000000000002E-2</v>
      </c>
      <c r="E326" s="123">
        <f t="shared" si="8"/>
        <v>7.3248579212864387E-6</v>
      </c>
      <c r="F326" s="200">
        <v>5.5999999999999994E-2</v>
      </c>
      <c r="G326" s="123">
        <f t="shared" si="9"/>
        <v>1.8737074894575209E-5</v>
      </c>
      <c r="I326" s="124"/>
      <c r="J326" s="124"/>
    </row>
    <row r="327" spans="1:10">
      <c r="A327" t="s">
        <v>884</v>
      </c>
      <c r="B327" s="28" t="s">
        <v>885</v>
      </c>
      <c r="C327" s="199">
        <v>3.1812637007044234E-4</v>
      </c>
      <c r="D327" s="200">
        <v>6.5862000000000004E-2</v>
      </c>
      <c r="E327" s="123">
        <f t="shared" si="8"/>
        <v>2.0952438985579474E-5</v>
      </c>
      <c r="F327" s="200">
        <v>1.8370000000000001E-2</v>
      </c>
      <c r="G327" s="123">
        <f t="shared" si="9"/>
        <v>5.843981418194026E-6</v>
      </c>
      <c r="I327" s="124"/>
      <c r="J327" s="124"/>
    </row>
    <row r="328" spans="1:10">
      <c r="A328" t="s">
        <v>886</v>
      </c>
      <c r="B328" s="28" t="s">
        <v>887</v>
      </c>
      <c r="C328" s="199">
        <v>3.7784386095479016E-3</v>
      </c>
      <c r="D328" s="200">
        <v>2.0243999999999998E-2</v>
      </c>
      <c r="E328" s="123">
        <f t="shared" si="8"/>
        <v>7.6490711211687709E-5</v>
      </c>
      <c r="F328" s="200">
        <v>0.18100000000000002</v>
      </c>
      <c r="G328" s="123">
        <f t="shared" si="9"/>
        <v>6.8389738832817023E-4</v>
      </c>
      <c r="I328" s="124"/>
      <c r="J328" s="124"/>
    </row>
    <row r="329" spans="1:10">
      <c r="A329" t="s">
        <v>888</v>
      </c>
      <c r="B329" s="28" t="s">
        <v>889</v>
      </c>
      <c r="C329" s="199">
        <v>2.3776186501875017E-3</v>
      </c>
      <c r="D329" s="200">
        <v>8.711E-3</v>
      </c>
      <c r="E329" s="123">
        <f t="shared" si="8"/>
        <v>2.0711436061783327E-5</v>
      </c>
      <c r="F329" s="200">
        <v>0.15868000000000002</v>
      </c>
      <c r="G329" s="123">
        <f t="shared" si="9"/>
        <v>3.772805274117528E-4</v>
      </c>
      <c r="I329" s="124"/>
      <c r="J329" s="124"/>
    </row>
    <row r="330" spans="1:10">
      <c r="A330" t="s">
        <v>890</v>
      </c>
      <c r="B330" s="28" t="s">
        <v>29</v>
      </c>
      <c r="C330" s="199">
        <v>3.052417014403131E-3</v>
      </c>
      <c r="D330" s="200">
        <v>2.8368999999999998E-2</v>
      </c>
      <c r="E330" s="123">
        <f t="shared" si="8"/>
        <v>8.6594018281602419E-5</v>
      </c>
      <c r="F330" s="200">
        <v>0.13500000000000001</v>
      </c>
      <c r="G330" s="123">
        <f t="shared" si="9"/>
        <v>4.1207629694442271E-4</v>
      </c>
      <c r="I330" s="124"/>
      <c r="J330" s="124"/>
    </row>
    <row r="331" spans="1:10">
      <c r="A331" t="s">
        <v>891</v>
      </c>
      <c r="B331" s="28" t="s">
        <v>892</v>
      </c>
      <c r="C331" s="199">
        <v>8.068597537325416E-4</v>
      </c>
      <c r="D331" s="200">
        <v>1.8141000000000001E-2</v>
      </c>
      <c r="E331" s="123">
        <f t="shared" si="8"/>
        <v>1.4637242792462037E-5</v>
      </c>
      <c r="F331" s="200">
        <v>0.12025000000000001</v>
      </c>
      <c r="G331" s="123">
        <f t="shared" si="9"/>
        <v>9.7024885386338137E-5</v>
      </c>
      <c r="I331" s="124"/>
      <c r="J331" s="124"/>
    </row>
    <row r="332" spans="1:10">
      <c r="A332" t="s">
        <v>893</v>
      </c>
      <c r="B332" s="28" t="s">
        <v>894</v>
      </c>
      <c r="C332" s="199">
        <v>2.6024754334577492E-3</v>
      </c>
      <c r="D332" s="200">
        <v>2.1947000000000001E-2</v>
      </c>
      <c r="E332" s="123">
        <f t="shared" si="8"/>
        <v>5.7116528338097224E-5</v>
      </c>
      <c r="F332" s="200">
        <v>0.1</v>
      </c>
      <c r="G332" s="123">
        <f t="shared" si="9"/>
        <v>2.6024754334577491E-4</v>
      </c>
      <c r="I332" s="124"/>
      <c r="J332" s="124"/>
    </row>
    <row r="333" spans="1:10">
      <c r="A333" t="s">
        <v>895</v>
      </c>
      <c r="B333" s="28" t="s">
        <v>896</v>
      </c>
      <c r="C333" s="199">
        <v>5.4903545956414479E-4</v>
      </c>
      <c r="D333" s="200" t="s">
        <v>1301</v>
      </c>
      <c r="E333" s="123" t="str">
        <f t="shared" si="8"/>
        <v>n/a</v>
      </c>
      <c r="F333" s="200">
        <v>3.0950000000000002E-2</v>
      </c>
      <c r="G333" s="123">
        <f t="shared" si="9"/>
        <v>1.6992647473510282E-5</v>
      </c>
      <c r="I333" s="124"/>
      <c r="J333" s="124"/>
    </row>
    <row r="334" spans="1:10">
      <c r="A334" t="s">
        <v>897</v>
      </c>
      <c r="B334" s="28" t="s">
        <v>898</v>
      </c>
      <c r="C334" s="199">
        <v>6.7097106624652045E-4</v>
      </c>
      <c r="D334" s="200">
        <v>3.7735999999999999E-2</v>
      </c>
      <c r="E334" s="123">
        <f t="shared" si="8"/>
        <v>2.5319764155878693E-5</v>
      </c>
      <c r="F334" s="200">
        <v>0.16690000000000002</v>
      </c>
      <c r="G334" s="123">
        <f t="shared" si="9"/>
        <v>1.1198507095654428E-4</v>
      </c>
      <c r="I334" s="124"/>
      <c r="J334" s="124"/>
    </row>
    <row r="335" spans="1:10">
      <c r="A335" t="s">
        <v>899</v>
      </c>
      <c r="B335" s="28" t="s">
        <v>900</v>
      </c>
      <c r="C335" s="199">
        <v>1.1719245813342485E-3</v>
      </c>
      <c r="D335" s="200" t="s">
        <v>1301</v>
      </c>
      <c r="E335" s="123" t="str">
        <f t="shared" si="8"/>
        <v>n/a</v>
      </c>
      <c r="F335" s="200">
        <v>0.15509999999999999</v>
      </c>
      <c r="G335" s="123">
        <f t="shared" si="9"/>
        <v>1.8176550256494194E-4</v>
      </c>
      <c r="I335" s="124"/>
      <c r="J335" s="124"/>
    </row>
    <row r="336" spans="1:10">
      <c r="A336" t="s">
        <v>901</v>
      </c>
      <c r="B336" s="28" t="s">
        <v>902</v>
      </c>
      <c r="C336" s="199">
        <v>1.2847283436439724E-3</v>
      </c>
      <c r="D336" s="200">
        <v>2.094E-2</v>
      </c>
      <c r="E336" s="123">
        <f t="shared" si="8"/>
        <v>2.6902211515904781E-5</v>
      </c>
      <c r="F336" s="200">
        <v>0.09</v>
      </c>
      <c r="G336" s="123">
        <f t="shared" si="9"/>
        <v>1.1562555092795752E-4</v>
      </c>
      <c r="I336" s="124"/>
      <c r="J336" s="124"/>
    </row>
    <row r="337" spans="1:10">
      <c r="A337" t="s">
        <v>903</v>
      </c>
      <c r="B337" s="28" t="s">
        <v>904</v>
      </c>
      <c r="C337" s="199">
        <v>2.870507324660067E-4</v>
      </c>
      <c r="D337" s="200">
        <v>1.3092999999999999E-2</v>
      </c>
      <c r="E337" s="123">
        <f t="shared" si="8"/>
        <v>3.7583552401774252E-6</v>
      </c>
      <c r="F337" s="200" t="s">
        <v>1301</v>
      </c>
      <c r="G337" s="123" t="str">
        <f t="shared" si="9"/>
        <v>n/a</v>
      </c>
      <c r="I337" s="124"/>
      <c r="J337" s="124"/>
    </row>
    <row r="338" spans="1:10">
      <c r="A338" t="s">
        <v>905</v>
      </c>
      <c r="B338" s="28" t="s">
        <v>906</v>
      </c>
      <c r="C338" s="199">
        <v>1.1377703721156655E-3</v>
      </c>
      <c r="D338" s="200">
        <v>2.9767999999999999E-2</v>
      </c>
      <c r="E338" s="123">
        <f t="shared" si="8"/>
        <v>3.386914843713913E-5</v>
      </c>
      <c r="F338" s="200">
        <v>6.3099999999999989E-2</v>
      </c>
      <c r="G338" s="123">
        <f t="shared" si="9"/>
        <v>7.1793310480498484E-5</v>
      </c>
      <c r="I338" s="124"/>
      <c r="J338" s="124"/>
    </row>
    <row r="339" spans="1:10">
      <c r="A339" t="s">
        <v>907</v>
      </c>
      <c r="B339" s="28" t="s">
        <v>908</v>
      </c>
      <c r="C339" s="199">
        <v>3.6158537613110889E-4</v>
      </c>
      <c r="D339" s="200">
        <v>1.6625999999999998E-2</v>
      </c>
      <c r="E339" s="123">
        <f t="shared" si="8"/>
        <v>6.0117184635558155E-6</v>
      </c>
      <c r="F339" s="200">
        <v>6.0149999999999995E-2</v>
      </c>
      <c r="G339" s="123">
        <f t="shared" si="9"/>
        <v>2.1749360374286196E-5</v>
      </c>
      <c r="I339" s="124"/>
      <c r="J339" s="124"/>
    </row>
    <row r="340" spans="1:10">
      <c r="A340" t="s">
        <v>909</v>
      </c>
      <c r="B340" s="28" t="s">
        <v>910</v>
      </c>
      <c r="C340" s="199">
        <v>1.5591289541675116E-4</v>
      </c>
      <c r="D340" s="200" t="s">
        <v>1301</v>
      </c>
      <c r="E340" s="123" t="str">
        <f t="shared" si="8"/>
        <v>n/a</v>
      </c>
      <c r="F340" s="200">
        <v>0.17710000000000001</v>
      </c>
      <c r="G340" s="123">
        <f t="shared" si="9"/>
        <v>2.7612173778306631E-5</v>
      </c>
      <c r="I340" s="124"/>
      <c r="J340" s="124"/>
    </row>
    <row r="341" spans="1:10">
      <c r="A341" t="s">
        <v>911</v>
      </c>
      <c r="B341" s="28" t="s">
        <v>912</v>
      </c>
      <c r="C341" s="199">
        <v>7.2798709871351374E-4</v>
      </c>
      <c r="D341" s="200" t="s">
        <v>1301</v>
      </c>
      <c r="E341" s="123" t="str">
        <f t="shared" si="8"/>
        <v>n/a</v>
      </c>
      <c r="F341" s="200">
        <v>0.57264999999999999</v>
      </c>
      <c r="G341" s="123">
        <f t="shared" si="9"/>
        <v>4.1688181207829363E-4</v>
      </c>
      <c r="I341" s="124"/>
      <c r="J341" s="124"/>
    </row>
    <row r="342" spans="1:10">
      <c r="A342" t="s">
        <v>913</v>
      </c>
      <c r="B342" s="28" t="s">
        <v>914</v>
      </c>
      <c r="C342" s="199">
        <v>2.3910382409977698E-3</v>
      </c>
      <c r="D342" s="200">
        <v>4.3926999999999994E-2</v>
      </c>
      <c r="E342" s="123">
        <f t="shared" si="8"/>
        <v>1.0503113681230902E-4</v>
      </c>
      <c r="F342" s="200">
        <v>5.1970000000000002E-2</v>
      </c>
      <c r="G342" s="123">
        <f t="shared" si="9"/>
        <v>1.242622573846541E-4</v>
      </c>
      <c r="I342" s="124"/>
      <c r="J342" s="124"/>
    </row>
    <row r="343" spans="1:10">
      <c r="A343" t="s">
        <v>915</v>
      </c>
      <c r="B343" s="28" t="s">
        <v>916</v>
      </c>
      <c r="C343" s="199">
        <v>4.7924288644517746E-4</v>
      </c>
      <c r="D343" s="200">
        <v>3.0762000000000001E-2</v>
      </c>
      <c r="E343" s="123">
        <f t="shared" ref="E343:E406" si="10">IFERROR($D343*$C343,"n/a")</f>
        <v>1.4742469672826549E-5</v>
      </c>
      <c r="F343" s="200">
        <v>7.400000000000001E-2</v>
      </c>
      <c r="G343" s="123">
        <f t="shared" si="9"/>
        <v>3.546397359694314E-5</v>
      </c>
      <c r="I343" s="124"/>
      <c r="J343" s="124"/>
    </row>
    <row r="344" spans="1:10">
      <c r="A344" t="s">
        <v>917</v>
      </c>
      <c r="B344" s="28" t="s">
        <v>918</v>
      </c>
      <c r="C344" s="199">
        <v>1.0844357710515188E-3</v>
      </c>
      <c r="D344" s="200" t="s">
        <v>1301</v>
      </c>
      <c r="E344" s="123" t="str">
        <f t="shared" si="10"/>
        <v>n/a</v>
      </c>
      <c r="F344" s="200">
        <v>0.56399999999999995</v>
      </c>
      <c r="G344" s="123">
        <f t="shared" ref="G344:G407" si="11">IFERROR($F344*$C344,"n/a")</f>
        <v>6.1162177487305658E-4</v>
      </c>
      <c r="I344" s="124"/>
      <c r="J344" s="124"/>
    </row>
    <row r="345" spans="1:10">
      <c r="A345" t="s">
        <v>919</v>
      </c>
      <c r="B345" s="28" t="s">
        <v>920</v>
      </c>
      <c r="C345" s="199">
        <v>1.1319106466212952E-3</v>
      </c>
      <c r="D345" s="200">
        <v>3.0478999999999999E-2</v>
      </c>
      <c r="E345" s="123">
        <f t="shared" si="10"/>
        <v>3.4499504598370456E-5</v>
      </c>
      <c r="F345" s="200">
        <v>5.9879999999999996E-2</v>
      </c>
      <c r="G345" s="123">
        <f t="shared" si="11"/>
        <v>6.7778809519683153E-5</v>
      </c>
      <c r="I345" s="124"/>
      <c r="J345" s="124"/>
    </row>
    <row r="346" spans="1:10">
      <c r="A346" t="s">
        <v>921</v>
      </c>
      <c r="B346" s="28" t="s">
        <v>922</v>
      </c>
      <c r="C346" s="199">
        <v>1.6152986737732464E-3</v>
      </c>
      <c r="D346" s="200">
        <v>3.9070999999999995E-2</v>
      </c>
      <c r="E346" s="123">
        <f t="shared" si="10"/>
        <v>6.3111334482994497E-5</v>
      </c>
      <c r="F346" s="200">
        <v>0.09</v>
      </c>
      <c r="G346" s="123">
        <f t="shared" si="11"/>
        <v>1.4537688063959219E-4</v>
      </c>
      <c r="I346" s="124"/>
      <c r="J346" s="124"/>
    </row>
    <row r="347" spans="1:10">
      <c r="A347" t="s">
        <v>923</v>
      </c>
      <c r="B347" s="28" t="s">
        <v>924</v>
      </c>
      <c r="C347" s="199">
        <v>3.1094243298021495E-3</v>
      </c>
      <c r="D347" s="200">
        <v>3.4535000000000003E-2</v>
      </c>
      <c r="E347" s="123">
        <f t="shared" si="10"/>
        <v>1.0738396922971725E-4</v>
      </c>
      <c r="F347" s="200">
        <v>0.10175000000000001</v>
      </c>
      <c r="G347" s="123">
        <f t="shared" si="11"/>
        <v>3.1638392555736875E-4</v>
      </c>
      <c r="I347" s="124"/>
      <c r="J347" s="124"/>
    </row>
    <row r="348" spans="1:10">
      <c r="A348" t="s">
        <v>925</v>
      </c>
      <c r="B348" s="28" t="s">
        <v>926</v>
      </c>
      <c r="C348" s="199">
        <v>3.271655722496032E-4</v>
      </c>
      <c r="D348" s="200">
        <v>3.0695E-2</v>
      </c>
      <c r="E348" s="123">
        <f t="shared" si="10"/>
        <v>1.004234724020157E-5</v>
      </c>
      <c r="F348" s="200">
        <v>-2.6370000000000001E-2</v>
      </c>
      <c r="G348" s="123">
        <f t="shared" si="11"/>
        <v>-8.6273561402220365E-6</v>
      </c>
      <c r="I348" s="124"/>
      <c r="J348" s="124"/>
    </row>
    <row r="349" spans="1:10">
      <c r="A349" t="s">
        <v>927</v>
      </c>
      <c r="B349" s="28" t="s">
        <v>928</v>
      </c>
      <c r="C349" s="199">
        <v>2.8938040581184318E-3</v>
      </c>
      <c r="D349" s="200">
        <v>2.4355999999999999E-2</v>
      </c>
      <c r="E349" s="123">
        <f t="shared" si="10"/>
        <v>7.0481491639532516E-5</v>
      </c>
      <c r="F349" s="200">
        <v>9.7699999999999995E-2</v>
      </c>
      <c r="G349" s="123">
        <f t="shared" si="11"/>
        <v>2.8272465647817075E-4</v>
      </c>
      <c r="I349" s="124"/>
      <c r="J349" s="124"/>
    </row>
    <row r="350" spans="1:10">
      <c r="A350" t="s">
        <v>929</v>
      </c>
      <c r="B350" s="28" t="s">
        <v>930</v>
      </c>
      <c r="C350" s="199">
        <v>1.0442804739020399E-3</v>
      </c>
      <c r="D350" s="200">
        <v>1.2163999999999999E-2</v>
      </c>
      <c r="E350" s="123">
        <f t="shared" si="10"/>
        <v>1.2702627684544413E-5</v>
      </c>
      <c r="F350" s="200">
        <v>7.9530000000000003E-2</v>
      </c>
      <c r="G350" s="123">
        <f t="shared" si="11"/>
        <v>8.3051626089429231E-5</v>
      </c>
      <c r="I350" s="124"/>
      <c r="J350" s="124"/>
    </row>
    <row r="351" spans="1:10">
      <c r="A351" t="s">
        <v>931</v>
      </c>
      <c r="B351" s="28" t="s">
        <v>932</v>
      </c>
      <c r="C351" s="199">
        <v>3.4974971910452265E-3</v>
      </c>
      <c r="D351" s="200">
        <v>3.0377000000000001E-2</v>
      </c>
      <c r="E351" s="123">
        <f t="shared" si="10"/>
        <v>1.0624347217238084E-4</v>
      </c>
      <c r="F351" s="200">
        <v>9.1460000000000014E-2</v>
      </c>
      <c r="G351" s="123">
        <f t="shared" si="11"/>
        <v>3.1988109309299647E-4</v>
      </c>
      <c r="I351" s="124"/>
      <c r="J351" s="124"/>
    </row>
    <row r="352" spans="1:10">
      <c r="A352" t="s">
        <v>933</v>
      </c>
      <c r="B352" s="28" t="s">
        <v>934</v>
      </c>
      <c r="C352" s="199">
        <v>7.4701967139675506E-4</v>
      </c>
      <c r="D352" s="200">
        <v>1.9192000000000001E-2</v>
      </c>
      <c r="E352" s="123">
        <f t="shared" si="10"/>
        <v>1.4336801533446523E-5</v>
      </c>
      <c r="F352" s="200">
        <v>8.4229999999999999E-2</v>
      </c>
      <c r="G352" s="123">
        <f t="shared" si="11"/>
        <v>6.2921466921748677E-5</v>
      </c>
      <c r="I352" s="124"/>
      <c r="J352" s="124"/>
    </row>
    <row r="353" spans="1:10">
      <c r="A353" t="s">
        <v>935</v>
      </c>
      <c r="B353" s="28" t="s">
        <v>936</v>
      </c>
      <c r="C353" s="199">
        <v>1.5999378128092475E-3</v>
      </c>
      <c r="D353" s="200">
        <v>1.9854E-2</v>
      </c>
      <c r="E353" s="123">
        <f t="shared" si="10"/>
        <v>3.1765165335514802E-5</v>
      </c>
      <c r="F353" s="200">
        <v>4.5370000000000001E-2</v>
      </c>
      <c r="G353" s="123">
        <f t="shared" si="11"/>
        <v>7.2589178567155561E-5</v>
      </c>
      <c r="I353" s="124"/>
      <c r="J353" s="124"/>
    </row>
    <row r="354" spans="1:10">
      <c r="A354" t="s">
        <v>937</v>
      </c>
      <c r="B354" s="28" t="s">
        <v>938</v>
      </c>
      <c r="C354" s="199">
        <v>7.4342930652727479E-4</v>
      </c>
      <c r="D354" s="200" t="s">
        <v>1301</v>
      </c>
      <c r="E354" s="123" t="str">
        <f t="shared" si="10"/>
        <v>n/a</v>
      </c>
      <c r="F354" s="200">
        <v>0.11097</v>
      </c>
      <c r="G354" s="123">
        <f t="shared" si="11"/>
        <v>8.2498350145331683E-5</v>
      </c>
      <c r="I354" s="124"/>
      <c r="J354" s="124"/>
    </row>
    <row r="355" spans="1:10">
      <c r="A355" t="s">
        <v>939</v>
      </c>
      <c r="B355" s="28" t="s">
        <v>940</v>
      </c>
      <c r="C355" s="199">
        <v>9.7810779357422888E-4</v>
      </c>
      <c r="D355" s="200" t="s">
        <v>1301</v>
      </c>
      <c r="E355" s="123" t="str">
        <f t="shared" si="10"/>
        <v>n/a</v>
      </c>
      <c r="F355" s="200">
        <v>9.9580000000000002E-2</v>
      </c>
      <c r="G355" s="123">
        <f t="shared" si="11"/>
        <v>9.739997408412172E-5</v>
      </c>
      <c r="I355" s="124"/>
      <c r="J355" s="124"/>
    </row>
    <row r="356" spans="1:10">
      <c r="A356" t="s">
        <v>941</v>
      </c>
      <c r="B356" s="28" t="s">
        <v>942</v>
      </c>
      <c r="C356" s="199">
        <v>5.5011419969738535E-4</v>
      </c>
      <c r="D356" s="200">
        <v>2.8590000000000001E-2</v>
      </c>
      <c r="E356" s="123">
        <f t="shared" si="10"/>
        <v>1.5727764969348249E-5</v>
      </c>
      <c r="F356" s="200">
        <v>0.10313</v>
      </c>
      <c r="G356" s="123">
        <f t="shared" si="11"/>
        <v>5.6733277414791348E-5</v>
      </c>
      <c r="I356" s="124"/>
      <c r="J356" s="124"/>
    </row>
    <row r="357" spans="1:10">
      <c r="A357" t="s">
        <v>943</v>
      </c>
      <c r="B357" s="28" t="s">
        <v>944</v>
      </c>
      <c r="C357" s="199">
        <v>6.8182830090357288E-4</v>
      </c>
      <c r="D357" s="200">
        <v>2.5089999999999998E-2</v>
      </c>
      <c r="E357" s="123">
        <f t="shared" si="10"/>
        <v>1.7107072069670643E-5</v>
      </c>
      <c r="F357" s="200">
        <v>0.19390000000000002</v>
      </c>
      <c r="G357" s="123">
        <f t="shared" si="11"/>
        <v>1.3220650754520281E-4</v>
      </c>
      <c r="I357" s="124"/>
      <c r="J357" s="124"/>
    </row>
    <row r="358" spans="1:10">
      <c r="A358" t="s">
        <v>945</v>
      </c>
      <c r="B358" s="28" t="s">
        <v>946</v>
      </c>
      <c r="C358" s="199">
        <v>5.8656390928389331E-4</v>
      </c>
      <c r="D358" s="200">
        <v>1.3653E-2</v>
      </c>
      <c r="E358" s="123">
        <f t="shared" si="10"/>
        <v>8.0083570534529951E-6</v>
      </c>
      <c r="F358" s="200">
        <v>0.11849999999999999</v>
      </c>
      <c r="G358" s="123">
        <f t="shared" si="11"/>
        <v>6.9507823250141354E-5</v>
      </c>
      <c r="I358" s="124"/>
      <c r="J358" s="124"/>
    </row>
    <row r="359" spans="1:10">
      <c r="A359" t="s">
        <v>947</v>
      </c>
      <c r="B359" s="28" t="s">
        <v>948</v>
      </c>
      <c r="C359" s="199">
        <v>2.0957595539844456E-4</v>
      </c>
      <c r="D359" s="200">
        <v>3.0203000000000001E-2</v>
      </c>
      <c r="E359" s="123">
        <f t="shared" si="10"/>
        <v>6.3298225808992213E-6</v>
      </c>
      <c r="F359" s="200" t="s">
        <v>1301</v>
      </c>
      <c r="G359" s="123" t="str">
        <f t="shared" si="11"/>
        <v>n/a</v>
      </c>
      <c r="I359" s="124"/>
      <c r="J359" s="124"/>
    </row>
    <row r="360" spans="1:10">
      <c r="A360" t="s">
        <v>949</v>
      </c>
      <c r="B360" s="28" t="s">
        <v>950</v>
      </c>
      <c r="C360" s="199">
        <v>7.6240003200375326E-4</v>
      </c>
      <c r="D360" s="200">
        <v>1.1853000000000001E-2</v>
      </c>
      <c r="E360" s="123">
        <f t="shared" si="10"/>
        <v>9.0367275793404882E-6</v>
      </c>
      <c r="F360" s="200">
        <v>6.4369999999999997E-2</v>
      </c>
      <c r="G360" s="123">
        <f t="shared" si="11"/>
        <v>4.9075690060081593E-5</v>
      </c>
      <c r="I360" s="124"/>
      <c r="J360" s="124"/>
    </row>
    <row r="361" spans="1:10">
      <c r="A361" t="s">
        <v>951</v>
      </c>
      <c r="B361" s="28" t="s">
        <v>952</v>
      </c>
      <c r="C361" s="199">
        <v>3.9551021728636247E-4</v>
      </c>
      <c r="D361" s="200" t="s">
        <v>1301</v>
      </c>
      <c r="E361" s="123" t="str">
        <f t="shared" si="10"/>
        <v>n/a</v>
      </c>
      <c r="F361" s="200">
        <v>0.18335000000000001</v>
      </c>
      <c r="G361" s="123">
        <f t="shared" si="11"/>
        <v>7.251679833945457E-5</v>
      </c>
      <c r="I361" s="124"/>
      <c r="J361" s="124"/>
    </row>
    <row r="362" spans="1:10">
      <c r="A362" t="s">
        <v>953</v>
      </c>
      <c r="B362" s="28" t="s">
        <v>954</v>
      </c>
      <c r="C362" s="199">
        <v>7.1447383847443591E-4</v>
      </c>
      <c r="D362" s="200">
        <v>2.5575000000000001E-2</v>
      </c>
      <c r="E362" s="123">
        <f t="shared" si="10"/>
        <v>1.82726684189837E-5</v>
      </c>
      <c r="F362" s="200">
        <v>9.5000000000000001E-2</v>
      </c>
      <c r="G362" s="123">
        <f t="shared" si="11"/>
        <v>6.787501465507141E-5</v>
      </c>
      <c r="I362" s="124"/>
      <c r="J362" s="124"/>
    </row>
    <row r="363" spans="1:10">
      <c r="A363" t="s">
        <v>955</v>
      </c>
      <c r="B363" s="28" t="s">
        <v>956</v>
      </c>
      <c r="C363" s="199">
        <v>4.5195739230265153E-4</v>
      </c>
      <c r="D363" s="200">
        <v>6.5698999999999994E-2</v>
      </c>
      <c r="E363" s="123">
        <f t="shared" si="10"/>
        <v>2.9693148716891898E-5</v>
      </c>
      <c r="F363" s="200">
        <v>7.1599999999999997E-2</v>
      </c>
      <c r="G363" s="123">
        <f t="shared" si="11"/>
        <v>3.2360149288869849E-5</v>
      </c>
      <c r="I363" s="124"/>
      <c r="J363" s="124"/>
    </row>
    <row r="364" spans="1:10">
      <c r="A364" t="s">
        <v>957</v>
      </c>
      <c r="B364" s="28" t="s">
        <v>958</v>
      </c>
      <c r="C364" s="199">
        <v>1.2733737021197737E-3</v>
      </c>
      <c r="D364" s="200">
        <v>1.2607999999999999E-2</v>
      </c>
      <c r="E364" s="123">
        <f t="shared" si="10"/>
        <v>1.6054695636326106E-5</v>
      </c>
      <c r="F364" s="200">
        <v>0.11518</v>
      </c>
      <c r="G364" s="123">
        <f t="shared" si="11"/>
        <v>1.4666718301015554E-4</v>
      </c>
      <c r="I364" s="124"/>
      <c r="J364" s="124"/>
    </row>
    <row r="365" spans="1:10">
      <c r="A365" t="s">
        <v>959</v>
      </c>
      <c r="B365" s="28" t="s">
        <v>960</v>
      </c>
      <c r="C365" s="199">
        <v>5.7522122698608379E-4</v>
      </c>
      <c r="D365" s="200" t="s">
        <v>1301</v>
      </c>
      <c r="E365" s="123" t="str">
        <f t="shared" si="10"/>
        <v>n/a</v>
      </c>
      <c r="F365" s="200">
        <v>0.109</v>
      </c>
      <c r="G365" s="123">
        <f t="shared" si="11"/>
        <v>6.2699113741483128E-5</v>
      </c>
      <c r="I365" s="124"/>
      <c r="J365" s="124"/>
    </row>
    <row r="366" spans="1:10">
      <c r="A366" t="s">
        <v>961</v>
      </c>
      <c r="B366" s="28" t="s">
        <v>962</v>
      </c>
      <c r="C366" s="199">
        <v>4.7961044609882205E-4</v>
      </c>
      <c r="D366" s="200">
        <v>3.0180000000000003E-3</v>
      </c>
      <c r="E366" s="123">
        <f t="shared" si="10"/>
        <v>1.447464326326245E-6</v>
      </c>
      <c r="F366" s="200">
        <v>9.820000000000001E-2</v>
      </c>
      <c r="G366" s="123">
        <f t="shared" si="11"/>
        <v>4.7097745806904332E-5</v>
      </c>
      <c r="I366" s="124"/>
      <c r="J366" s="124"/>
    </row>
    <row r="367" spans="1:10">
      <c r="A367" t="s">
        <v>963</v>
      </c>
      <c r="B367" s="28" t="s">
        <v>964</v>
      </c>
      <c r="C367" s="199">
        <v>4.8821084858157257E-4</v>
      </c>
      <c r="D367" s="200">
        <v>1.2001999999999999E-2</v>
      </c>
      <c r="E367" s="123">
        <f t="shared" si="10"/>
        <v>5.8595066046760333E-6</v>
      </c>
      <c r="F367" s="200">
        <v>0.1208</v>
      </c>
      <c r="G367" s="123">
        <f t="shared" si="11"/>
        <v>5.8975870508653968E-5</v>
      </c>
      <c r="I367" s="124"/>
      <c r="J367" s="124"/>
    </row>
    <row r="368" spans="1:10">
      <c r="A368" t="s">
        <v>965</v>
      </c>
      <c r="B368" s="28" t="s">
        <v>966</v>
      </c>
      <c r="C368" s="199">
        <v>5.3965265820738058E-4</v>
      </c>
      <c r="D368" s="200">
        <v>2.0811000000000003E-2</v>
      </c>
      <c r="E368" s="123">
        <f t="shared" si="10"/>
        <v>1.1230711469953799E-5</v>
      </c>
      <c r="F368" s="200">
        <v>8.4199999999999997E-2</v>
      </c>
      <c r="G368" s="123">
        <f t="shared" si="11"/>
        <v>4.5438753821061441E-5</v>
      </c>
      <c r="I368" s="124"/>
      <c r="J368" s="124"/>
    </row>
    <row r="369" spans="1:10">
      <c r="A369" t="s">
        <v>967</v>
      </c>
      <c r="B369" s="28" t="s">
        <v>968</v>
      </c>
      <c r="C369" s="199">
        <v>4.7972989446487275E-4</v>
      </c>
      <c r="D369" s="200">
        <v>6.7840000000000001E-3</v>
      </c>
      <c r="E369" s="123">
        <f t="shared" si="10"/>
        <v>3.254487604049697E-6</v>
      </c>
      <c r="F369" s="200">
        <v>0.86260000000000003</v>
      </c>
      <c r="G369" s="123">
        <f t="shared" si="11"/>
        <v>4.1381500696539923E-4</v>
      </c>
      <c r="I369" s="124"/>
      <c r="J369" s="124"/>
    </row>
    <row r="370" spans="1:10">
      <c r="A370" t="s">
        <v>969</v>
      </c>
      <c r="B370" s="28" t="s">
        <v>970</v>
      </c>
      <c r="C370" s="199">
        <v>5.0452913955486602E-4</v>
      </c>
      <c r="D370" s="200">
        <v>2.427E-2</v>
      </c>
      <c r="E370" s="123">
        <f t="shared" si="10"/>
        <v>1.2244922216996597E-5</v>
      </c>
      <c r="F370" s="200">
        <v>7.9770000000000008E-2</v>
      </c>
      <c r="G370" s="123">
        <f t="shared" si="11"/>
        <v>4.0246289462291668E-5</v>
      </c>
      <c r="I370" s="124"/>
      <c r="J370" s="124"/>
    </row>
    <row r="371" spans="1:10">
      <c r="A371" t="s">
        <v>971</v>
      </c>
      <c r="B371" s="28" t="s">
        <v>972</v>
      </c>
      <c r="C371" s="199">
        <v>1.530093716622945E-3</v>
      </c>
      <c r="D371" s="200">
        <v>7.1970000000000003E-3</v>
      </c>
      <c r="E371" s="123">
        <f t="shared" si="10"/>
        <v>1.1012084478535335E-5</v>
      </c>
      <c r="F371" s="200">
        <v>0.10888</v>
      </c>
      <c r="G371" s="123">
        <f t="shared" si="11"/>
        <v>1.6659660386590626E-4</v>
      </c>
      <c r="I371" s="124"/>
      <c r="J371" s="124"/>
    </row>
    <row r="372" spans="1:10">
      <c r="A372" t="s">
        <v>973</v>
      </c>
      <c r="B372" s="28" t="s">
        <v>974</v>
      </c>
      <c r="C372" s="199">
        <v>8.6020765706958471E-4</v>
      </c>
      <c r="D372" s="200">
        <v>2.2888000000000002E-2</v>
      </c>
      <c r="E372" s="123">
        <f t="shared" si="10"/>
        <v>1.9688432855008657E-5</v>
      </c>
      <c r="F372" s="200">
        <v>8.4179999999999991E-2</v>
      </c>
      <c r="G372" s="123">
        <f t="shared" si="11"/>
        <v>7.2412280572117633E-5</v>
      </c>
      <c r="I372" s="124"/>
      <c r="J372" s="124"/>
    </row>
    <row r="373" spans="1:10">
      <c r="A373" t="s">
        <v>975</v>
      </c>
      <c r="B373" s="28" t="s">
        <v>976</v>
      </c>
      <c r="C373" s="199">
        <v>2.4876942325481053E-3</v>
      </c>
      <c r="D373" s="200">
        <v>5.2018000000000002E-2</v>
      </c>
      <c r="E373" s="123">
        <f t="shared" si="10"/>
        <v>1.2940487858868735E-4</v>
      </c>
      <c r="F373" s="200">
        <v>3.8220000000000004E-2</v>
      </c>
      <c r="G373" s="123">
        <f t="shared" si="11"/>
        <v>9.5079673567988592E-5</v>
      </c>
      <c r="I373" s="124"/>
      <c r="J373" s="124"/>
    </row>
    <row r="374" spans="1:10">
      <c r="A374" t="s">
        <v>977</v>
      </c>
      <c r="B374" s="28" t="s">
        <v>978</v>
      </c>
      <c r="C374" s="199">
        <v>3.2317139744104553E-3</v>
      </c>
      <c r="D374" s="200">
        <v>1.9439999999999999E-2</v>
      </c>
      <c r="E374" s="123">
        <f t="shared" si="10"/>
        <v>6.2824519662539244E-5</v>
      </c>
      <c r="F374" s="200">
        <v>0.15187</v>
      </c>
      <c r="G374" s="123">
        <f t="shared" si="11"/>
        <v>4.9080040129371582E-4</v>
      </c>
      <c r="I374" s="124"/>
      <c r="J374" s="124"/>
    </row>
    <row r="375" spans="1:10">
      <c r="A375" t="s">
        <v>979</v>
      </c>
      <c r="B375" s="28" t="s">
        <v>980</v>
      </c>
      <c r="C375" s="199">
        <v>4.143833664440022E-4</v>
      </c>
      <c r="D375" s="200">
        <v>2.3429000000000002E-2</v>
      </c>
      <c r="E375" s="123">
        <f t="shared" si="10"/>
        <v>9.7085878924165287E-6</v>
      </c>
      <c r="F375" s="200">
        <v>7.0669999999999997E-2</v>
      </c>
      <c r="G375" s="123">
        <f t="shared" si="11"/>
        <v>2.9284472506597633E-5</v>
      </c>
      <c r="I375" s="124"/>
      <c r="J375" s="124"/>
    </row>
    <row r="376" spans="1:10">
      <c r="A376" t="s">
        <v>981</v>
      </c>
      <c r="B376" s="28" t="s">
        <v>982</v>
      </c>
      <c r="C376" s="199">
        <v>1.9373689606124714E-3</v>
      </c>
      <c r="D376" s="200" t="s">
        <v>1301</v>
      </c>
      <c r="E376" s="123" t="str">
        <f t="shared" si="10"/>
        <v>n/a</v>
      </c>
      <c r="F376" s="200">
        <v>0.13782</v>
      </c>
      <c r="G376" s="123">
        <f t="shared" si="11"/>
        <v>2.6700819015161082E-4</v>
      </c>
      <c r="I376" s="124"/>
      <c r="J376" s="124"/>
    </row>
    <row r="377" spans="1:10">
      <c r="A377" t="s">
        <v>983</v>
      </c>
      <c r="B377" s="28" t="s">
        <v>984</v>
      </c>
      <c r="C377" s="199">
        <v>3.5673322559229323E-2</v>
      </c>
      <c r="D377" s="200" t="s">
        <v>1301</v>
      </c>
      <c r="E377" s="123" t="str">
        <f t="shared" si="10"/>
        <v>n/a</v>
      </c>
      <c r="F377" s="200">
        <v>0.49332999999999999</v>
      </c>
      <c r="G377" s="123">
        <f t="shared" si="11"/>
        <v>1.7598720218144601E-2</v>
      </c>
      <c r="I377" s="124"/>
      <c r="J377" s="124"/>
    </row>
    <row r="378" spans="1:10">
      <c r="A378" t="s">
        <v>985</v>
      </c>
      <c r="B378" s="28" t="s">
        <v>986</v>
      </c>
      <c r="C378" s="199">
        <v>4.3819430249144702E-4</v>
      </c>
      <c r="D378" s="200">
        <v>1.1082000000000002E-2</v>
      </c>
      <c r="E378" s="123">
        <f t="shared" si="10"/>
        <v>4.8560692602102165E-6</v>
      </c>
      <c r="F378" s="200">
        <v>0.11</v>
      </c>
      <c r="G378" s="123">
        <f t="shared" si="11"/>
        <v>4.8201373274059172E-5</v>
      </c>
      <c r="I378" s="124"/>
      <c r="J378" s="124"/>
    </row>
    <row r="379" spans="1:10">
      <c r="A379" t="s">
        <v>987</v>
      </c>
      <c r="B379" s="28" t="s">
        <v>988</v>
      </c>
      <c r="C379" s="199">
        <v>2.6895949445784314E-4</v>
      </c>
      <c r="D379" s="200">
        <v>2.1526E-2</v>
      </c>
      <c r="E379" s="123">
        <f t="shared" si="10"/>
        <v>5.7896220776995314E-6</v>
      </c>
      <c r="F379" s="200">
        <v>6.6900000000000001E-2</v>
      </c>
      <c r="G379" s="123">
        <f t="shared" si="11"/>
        <v>1.7993390179229707E-5</v>
      </c>
      <c r="I379" s="124"/>
      <c r="J379" s="124"/>
    </row>
    <row r="380" spans="1:10">
      <c r="A380" t="s">
        <v>989</v>
      </c>
      <c r="B380" s="28" t="s">
        <v>990</v>
      </c>
      <c r="C380" s="199">
        <v>8.6459155697778079E-4</v>
      </c>
      <c r="D380" s="200">
        <v>2.8816000000000001E-2</v>
      </c>
      <c r="E380" s="123">
        <f t="shared" si="10"/>
        <v>2.4914070305871733E-5</v>
      </c>
      <c r="F380" s="200">
        <v>6.4500000000000002E-2</v>
      </c>
      <c r="G380" s="123">
        <f t="shared" si="11"/>
        <v>5.5766155425066861E-5</v>
      </c>
      <c r="I380" s="124"/>
      <c r="J380" s="124"/>
    </row>
    <row r="381" spans="1:10">
      <c r="A381" t="s">
        <v>991</v>
      </c>
      <c r="B381" s="28" t="s">
        <v>992</v>
      </c>
      <c r="C381" s="199">
        <v>1.1245539726961573E-3</v>
      </c>
      <c r="D381" s="200">
        <v>1.0463999999999999E-2</v>
      </c>
      <c r="E381" s="123">
        <f t="shared" si="10"/>
        <v>1.1767332770292588E-5</v>
      </c>
      <c r="F381" s="200">
        <v>9.7530000000000006E-2</v>
      </c>
      <c r="G381" s="123">
        <f t="shared" si="11"/>
        <v>1.0967774895705622E-4</v>
      </c>
      <c r="I381" s="124"/>
      <c r="J381" s="124"/>
    </row>
    <row r="382" spans="1:10">
      <c r="A382" t="s">
        <v>993</v>
      </c>
      <c r="B382" s="28" t="s">
        <v>994</v>
      </c>
      <c r="C382" s="199">
        <v>3.8604583307039918E-4</v>
      </c>
      <c r="D382" s="200">
        <v>1.2751999999999999E-2</v>
      </c>
      <c r="E382" s="123">
        <f t="shared" si="10"/>
        <v>4.9228564633137301E-6</v>
      </c>
      <c r="F382" s="200">
        <v>0.11599999999999999</v>
      </c>
      <c r="G382" s="123">
        <f t="shared" si="11"/>
        <v>4.4781316636166306E-5</v>
      </c>
      <c r="I382" s="124"/>
      <c r="J382" s="124"/>
    </row>
    <row r="383" spans="1:10">
      <c r="A383" t="s">
        <v>995</v>
      </c>
      <c r="B383" s="28" t="s">
        <v>996</v>
      </c>
      <c r="C383" s="199">
        <v>1.0297886281243141E-3</v>
      </c>
      <c r="D383" s="200">
        <v>2.248E-3</v>
      </c>
      <c r="E383" s="123">
        <f t="shared" si="10"/>
        <v>2.3149648360234579E-6</v>
      </c>
      <c r="F383" s="200">
        <v>0.28800000000000003</v>
      </c>
      <c r="G383" s="123">
        <f t="shared" si="11"/>
        <v>2.9657912489980246E-4</v>
      </c>
      <c r="I383" s="124"/>
      <c r="J383" s="124"/>
    </row>
    <row r="384" spans="1:10">
      <c r="A384" t="s">
        <v>997</v>
      </c>
      <c r="B384" s="28" t="s">
        <v>998</v>
      </c>
      <c r="C384" s="199">
        <v>1.5817186296708311E-3</v>
      </c>
      <c r="D384" s="200">
        <v>4.0993000000000002E-2</v>
      </c>
      <c r="E384" s="123">
        <f t="shared" si="10"/>
        <v>6.4839391786096384E-5</v>
      </c>
      <c r="F384" s="200">
        <v>0.16260000000000002</v>
      </c>
      <c r="G384" s="123">
        <f t="shared" si="11"/>
        <v>2.5718744918447719E-4</v>
      </c>
      <c r="I384" s="124"/>
      <c r="J384" s="124"/>
    </row>
    <row r="385" spans="1:10">
      <c r="A385" t="s">
        <v>999</v>
      </c>
      <c r="B385" s="28" t="s">
        <v>1000</v>
      </c>
      <c r="C385" s="199">
        <v>5.924526745509246E-4</v>
      </c>
      <c r="D385" s="200" t="s">
        <v>1301</v>
      </c>
      <c r="E385" s="123" t="str">
        <f t="shared" si="10"/>
        <v>n/a</v>
      </c>
      <c r="F385" s="200">
        <v>0.152</v>
      </c>
      <c r="G385" s="123">
        <f t="shared" si="11"/>
        <v>9.0052806531740534E-5</v>
      </c>
      <c r="I385" s="124"/>
      <c r="J385" s="124"/>
    </row>
    <row r="386" spans="1:10">
      <c r="A386" t="s">
        <v>1001</v>
      </c>
      <c r="B386" s="28" t="s">
        <v>1002</v>
      </c>
      <c r="C386" s="199">
        <v>6.5768793218741592E-4</v>
      </c>
      <c r="D386" s="200">
        <v>1.6254000000000001E-2</v>
      </c>
      <c r="E386" s="123">
        <f t="shared" si="10"/>
        <v>1.0690059649774258E-5</v>
      </c>
      <c r="F386" s="200">
        <v>0.10493000000000001</v>
      </c>
      <c r="G386" s="123">
        <f t="shared" si="11"/>
        <v>6.9011194724425556E-5</v>
      </c>
      <c r="I386" s="124"/>
      <c r="J386" s="124"/>
    </row>
    <row r="387" spans="1:10">
      <c r="A387" t="s">
        <v>1003</v>
      </c>
      <c r="B387" s="28" t="s">
        <v>1004</v>
      </c>
      <c r="C387" s="199">
        <v>3.4302985789690907E-4</v>
      </c>
      <c r="D387" s="200">
        <v>4.1643999999999994E-2</v>
      </c>
      <c r="E387" s="123">
        <f t="shared" si="10"/>
        <v>1.428513540225888E-5</v>
      </c>
      <c r="F387" s="200">
        <v>3.1899999999999998E-2</v>
      </c>
      <c r="G387" s="123">
        <f t="shared" si="11"/>
        <v>1.0942652466911398E-5</v>
      </c>
      <c r="I387" s="124"/>
      <c r="J387" s="124"/>
    </row>
    <row r="388" spans="1:10">
      <c r="A388" t="s">
        <v>1005</v>
      </c>
      <c r="B388" s="28" t="s">
        <v>1006</v>
      </c>
      <c r="C388" s="199">
        <v>5.0645341787810194E-4</v>
      </c>
      <c r="D388" s="200">
        <v>2.3049E-2</v>
      </c>
      <c r="E388" s="123">
        <f t="shared" si="10"/>
        <v>1.1673244828672372E-5</v>
      </c>
      <c r="F388" s="200">
        <v>0.106</v>
      </c>
      <c r="G388" s="123">
        <f t="shared" si="11"/>
        <v>5.3684062295078807E-5</v>
      </c>
      <c r="I388" s="124"/>
      <c r="J388" s="124"/>
    </row>
    <row r="389" spans="1:10">
      <c r="A389" t="s">
        <v>1007</v>
      </c>
      <c r="B389" s="28" t="s">
        <v>1008</v>
      </c>
      <c r="C389" s="199">
        <v>4.1547973109130843E-3</v>
      </c>
      <c r="D389" s="200">
        <v>1.9016999999999999E-2</v>
      </c>
      <c r="E389" s="123">
        <f t="shared" si="10"/>
        <v>7.9011780461634115E-5</v>
      </c>
      <c r="F389" s="200">
        <v>0.10267</v>
      </c>
      <c r="G389" s="123">
        <f t="shared" si="11"/>
        <v>4.2657303991144635E-4</v>
      </c>
      <c r="I389" s="124"/>
      <c r="J389" s="124"/>
    </row>
    <row r="390" spans="1:10">
      <c r="A390" t="s">
        <v>1009</v>
      </c>
      <c r="B390" s="28" t="s">
        <v>1010</v>
      </c>
      <c r="C390" s="199">
        <v>8.7707197964564292E-4</v>
      </c>
      <c r="D390" s="200" t="s">
        <v>1301</v>
      </c>
      <c r="E390" s="123" t="str">
        <f t="shared" si="10"/>
        <v>n/a</v>
      </c>
      <c r="F390" s="200">
        <v>0.1404</v>
      </c>
      <c r="G390" s="123">
        <f t="shared" si="11"/>
        <v>1.2314090594224827E-4</v>
      </c>
      <c r="I390" s="124"/>
      <c r="J390" s="124"/>
    </row>
    <row r="391" spans="1:10">
      <c r="A391" t="s">
        <v>1011</v>
      </c>
      <c r="B391" s="28" t="s">
        <v>1012</v>
      </c>
      <c r="C391" s="199">
        <v>1.245847207535131E-3</v>
      </c>
      <c r="D391" s="200">
        <v>1.7876E-2</v>
      </c>
      <c r="E391" s="123">
        <f t="shared" si="10"/>
        <v>2.2270764681898001E-5</v>
      </c>
      <c r="F391" s="200">
        <v>0.12970999999999999</v>
      </c>
      <c r="G391" s="123">
        <f t="shared" si="11"/>
        <v>1.6159884128938185E-4</v>
      </c>
      <c r="I391" s="124"/>
      <c r="J391" s="124"/>
    </row>
    <row r="392" spans="1:10">
      <c r="A392" t="s">
        <v>1013</v>
      </c>
      <c r="B392" s="28" t="s">
        <v>1014</v>
      </c>
      <c r="C392" s="199">
        <v>1.8480582011988404E-3</v>
      </c>
      <c r="D392" s="200">
        <v>2.7762000000000002E-2</v>
      </c>
      <c r="E392" s="123">
        <f t="shared" si="10"/>
        <v>5.1305791781682209E-5</v>
      </c>
      <c r="F392" s="200">
        <v>6.8529999999999994E-2</v>
      </c>
      <c r="G392" s="123">
        <f t="shared" si="11"/>
        <v>1.2664742852815653E-4</v>
      </c>
      <c r="I392" s="124"/>
      <c r="J392" s="124"/>
    </row>
    <row r="393" spans="1:10">
      <c r="A393" t="s">
        <v>1015</v>
      </c>
      <c r="B393" s="28" t="s">
        <v>1016</v>
      </c>
      <c r="C393" s="199">
        <v>8.5101963650829155E-4</v>
      </c>
      <c r="D393" s="200">
        <v>3.8776000000000005E-2</v>
      </c>
      <c r="E393" s="123">
        <f t="shared" si="10"/>
        <v>3.299913742524552E-5</v>
      </c>
      <c r="F393" s="200">
        <v>-1.4999999999999999E-4</v>
      </c>
      <c r="G393" s="123">
        <f t="shared" si="11"/>
        <v>-1.2765294547624372E-7</v>
      </c>
      <c r="I393" s="124"/>
      <c r="J393" s="124"/>
    </row>
    <row r="394" spans="1:10">
      <c r="A394" t="s">
        <v>1017</v>
      </c>
      <c r="B394" s="28" t="s">
        <v>1018</v>
      </c>
      <c r="C394" s="199">
        <v>8.685958773056744E-4</v>
      </c>
      <c r="D394" s="200" t="s">
        <v>1301</v>
      </c>
      <c r="E394" s="123" t="str">
        <f t="shared" si="10"/>
        <v>n/a</v>
      </c>
      <c r="F394" s="200">
        <v>0.13400000000000001</v>
      </c>
      <c r="G394" s="123">
        <f t="shared" si="11"/>
        <v>1.1639184755896037E-4</v>
      </c>
      <c r="I394" s="124"/>
      <c r="J394" s="124"/>
    </row>
    <row r="395" spans="1:10">
      <c r="A395" t="s">
        <v>1019</v>
      </c>
      <c r="B395" s="28" t="s">
        <v>1020</v>
      </c>
      <c r="C395" s="199">
        <v>2.1906156263566865E-4</v>
      </c>
      <c r="D395" s="200">
        <v>4.5269999999999998E-3</v>
      </c>
      <c r="E395" s="123">
        <f t="shared" si="10"/>
        <v>9.9169169405167188E-7</v>
      </c>
      <c r="F395" s="200">
        <v>0.25</v>
      </c>
      <c r="G395" s="123">
        <f t="shared" si="11"/>
        <v>5.4765390658917164E-5</v>
      </c>
      <c r="I395" s="124"/>
      <c r="J395" s="124"/>
    </row>
    <row r="396" spans="1:10">
      <c r="A396" t="s">
        <v>1021</v>
      </c>
      <c r="B396" s="28" t="s">
        <v>1022</v>
      </c>
      <c r="C396" s="199">
        <v>5.0276940055890855E-4</v>
      </c>
      <c r="D396" s="200" t="s">
        <v>1301</v>
      </c>
      <c r="E396" s="123" t="str">
        <f t="shared" si="10"/>
        <v>n/a</v>
      </c>
      <c r="F396" s="200">
        <v>9.5719999999999986E-2</v>
      </c>
      <c r="G396" s="123">
        <f t="shared" si="11"/>
        <v>4.8125087021498722E-5</v>
      </c>
      <c r="I396" s="124"/>
      <c r="J396" s="124"/>
    </row>
    <row r="397" spans="1:10">
      <c r="A397" t="s">
        <v>1023</v>
      </c>
      <c r="B397" s="28" t="s">
        <v>1024</v>
      </c>
      <c r="C397" s="199">
        <v>7.182893554976658E-4</v>
      </c>
      <c r="D397" s="200">
        <v>2.7400999999999998E-2</v>
      </c>
      <c r="E397" s="123">
        <f t="shared" si="10"/>
        <v>1.968184662999154E-5</v>
      </c>
      <c r="F397" s="200">
        <v>8.3030000000000007E-2</v>
      </c>
      <c r="G397" s="123">
        <f t="shared" si="11"/>
        <v>5.9639565186971195E-5</v>
      </c>
      <c r="I397" s="124"/>
      <c r="J397" s="124"/>
    </row>
    <row r="398" spans="1:10">
      <c r="A398" t="s">
        <v>1025</v>
      </c>
      <c r="B398" s="28" t="s">
        <v>1026</v>
      </c>
      <c r="C398" s="199">
        <v>5.8293846984649469E-4</v>
      </c>
      <c r="D398" s="200" t="s">
        <v>1301</v>
      </c>
      <c r="E398" s="123" t="str">
        <f t="shared" si="10"/>
        <v>n/a</v>
      </c>
      <c r="F398" s="200">
        <v>0.124</v>
      </c>
      <c r="G398" s="123">
        <f t="shared" si="11"/>
        <v>7.2284370260965335E-5</v>
      </c>
      <c r="I398" s="124"/>
      <c r="J398" s="124"/>
    </row>
    <row r="399" spans="1:10">
      <c r="A399" t="s">
        <v>1027</v>
      </c>
      <c r="B399" s="28" t="s">
        <v>1028</v>
      </c>
      <c r="C399" s="199">
        <v>3.7221362390554105E-3</v>
      </c>
      <c r="D399" s="200">
        <v>4.4520000000000002E-3</v>
      </c>
      <c r="E399" s="123">
        <f t="shared" si="10"/>
        <v>1.657095053627469E-5</v>
      </c>
      <c r="F399" s="200">
        <v>0.10567</v>
      </c>
      <c r="G399" s="123">
        <f t="shared" si="11"/>
        <v>3.933181363809852E-4</v>
      </c>
      <c r="I399" s="124"/>
      <c r="J399" s="124"/>
    </row>
    <row r="400" spans="1:10">
      <c r="A400" t="s">
        <v>1029</v>
      </c>
      <c r="B400" s="28" t="s">
        <v>1030</v>
      </c>
      <c r="C400" s="199">
        <v>2.6311391085267485E-4</v>
      </c>
      <c r="D400" s="200">
        <v>1.6202999999999999E-2</v>
      </c>
      <c r="E400" s="123">
        <f t="shared" si="10"/>
        <v>4.2632346975458899E-6</v>
      </c>
      <c r="F400" s="200">
        <v>3.8199999999999998E-2</v>
      </c>
      <c r="G400" s="123">
        <f t="shared" si="11"/>
        <v>1.0050951394572179E-5</v>
      </c>
      <c r="I400" s="124"/>
      <c r="J400" s="124"/>
    </row>
    <row r="401" spans="1:10">
      <c r="A401" t="s">
        <v>1031</v>
      </c>
      <c r="B401" s="28" t="s">
        <v>1032</v>
      </c>
      <c r="C401" s="199">
        <v>1.7126250195664315E-3</v>
      </c>
      <c r="D401" s="200">
        <v>1.1480999999999998E-2</v>
      </c>
      <c r="E401" s="123">
        <f t="shared" si="10"/>
        <v>1.9662647849642197E-5</v>
      </c>
      <c r="F401" s="200">
        <v>0.13200000000000001</v>
      </c>
      <c r="G401" s="123">
        <f t="shared" si="11"/>
        <v>2.2606650258276897E-4</v>
      </c>
      <c r="I401" s="124"/>
      <c r="J401" s="124"/>
    </row>
    <row r="402" spans="1:10">
      <c r="A402" t="s">
        <v>1035</v>
      </c>
      <c r="B402" s="28" t="s">
        <v>1036</v>
      </c>
      <c r="C402" s="199">
        <v>5.2094077226041275E-4</v>
      </c>
      <c r="D402" s="200" t="s">
        <v>1301</v>
      </c>
      <c r="E402" s="123" t="str">
        <f t="shared" si="10"/>
        <v>n/a</v>
      </c>
      <c r="F402" s="200">
        <v>8.8749999999999996E-2</v>
      </c>
      <c r="G402" s="123">
        <f t="shared" si="11"/>
        <v>4.6233493538111627E-5</v>
      </c>
      <c r="I402" s="124"/>
      <c r="J402" s="124"/>
    </row>
    <row r="403" spans="1:10">
      <c r="A403" t="s">
        <v>1033</v>
      </c>
      <c r="B403" s="28" t="s">
        <v>1034</v>
      </c>
      <c r="C403" s="199">
        <v>2.5383616340870357E-3</v>
      </c>
      <c r="D403" s="200" t="s">
        <v>1301</v>
      </c>
      <c r="E403" s="123" t="str">
        <f t="shared" si="10"/>
        <v>n/a</v>
      </c>
      <c r="F403" s="200">
        <v>0.12945000000000001</v>
      </c>
      <c r="G403" s="123">
        <f t="shared" si="11"/>
        <v>3.2859091353256678E-4</v>
      </c>
      <c r="I403" s="124"/>
      <c r="J403" s="124"/>
    </row>
    <row r="404" spans="1:10">
      <c r="A404" t="s">
        <v>1037</v>
      </c>
      <c r="B404" s="28" t="s">
        <v>1038</v>
      </c>
      <c r="C404" s="199">
        <v>2.3465243983999319E-4</v>
      </c>
      <c r="D404" s="200">
        <v>1.1434E-2</v>
      </c>
      <c r="E404" s="123">
        <f t="shared" si="10"/>
        <v>2.6830159971304819E-6</v>
      </c>
      <c r="F404" s="200">
        <v>2.8750000000000001E-2</v>
      </c>
      <c r="G404" s="123">
        <f t="shared" si="11"/>
        <v>6.7462576453998043E-6</v>
      </c>
      <c r="I404" s="124"/>
      <c r="J404" s="124"/>
    </row>
    <row r="405" spans="1:10">
      <c r="A405" t="s">
        <v>1039</v>
      </c>
      <c r="B405" s="28" t="s">
        <v>1040</v>
      </c>
      <c r="C405" s="199">
        <v>5.1018744033343296E-4</v>
      </c>
      <c r="D405" s="200" t="s">
        <v>1301</v>
      </c>
      <c r="E405" s="123" t="str">
        <f t="shared" si="10"/>
        <v>n/a</v>
      </c>
      <c r="F405" s="200">
        <v>0.12300000000000001</v>
      </c>
      <c r="G405" s="123">
        <f t="shared" si="11"/>
        <v>6.275305516101226E-5</v>
      </c>
      <c r="I405" s="124"/>
      <c r="J405" s="124"/>
    </row>
    <row r="406" spans="1:10">
      <c r="A406" t="s">
        <v>1041</v>
      </c>
      <c r="B406" s="28" t="s">
        <v>1042</v>
      </c>
      <c r="C406" s="199">
        <v>1.056857109467318E-3</v>
      </c>
      <c r="D406" s="200">
        <v>1.9554000000000002E-2</v>
      </c>
      <c r="E406" s="123">
        <f t="shared" si="10"/>
        <v>2.0665783918523939E-5</v>
      </c>
      <c r="F406" s="200">
        <v>0.11853</v>
      </c>
      <c r="G406" s="123">
        <f t="shared" si="11"/>
        <v>1.2526927318516122E-4</v>
      </c>
      <c r="I406" s="124"/>
      <c r="J406" s="124"/>
    </row>
    <row r="407" spans="1:10">
      <c r="A407" t="s">
        <v>1043</v>
      </c>
      <c r="B407" s="28" t="s">
        <v>1044</v>
      </c>
      <c r="C407" s="199">
        <v>1.3067839119637692E-3</v>
      </c>
      <c r="D407" s="200">
        <v>1.6642000000000001E-2</v>
      </c>
      <c r="E407" s="123">
        <f t="shared" ref="E407:E470" si="12">IFERROR($D407*$C407,"n/a")</f>
        <v>2.1747497862901049E-5</v>
      </c>
      <c r="F407" s="200">
        <v>0.10711999999999999</v>
      </c>
      <c r="G407" s="123">
        <f t="shared" si="11"/>
        <v>1.3998269264955894E-4</v>
      </c>
      <c r="I407" s="124"/>
      <c r="J407" s="124"/>
    </row>
    <row r="408" spans="1:10">
      <c r="A408" t="s">
        <v>1045</v>
      </c>
      <c r="B408" s="28" t="s">
        <v>1046</v>
      </c>
      <c r="C408" s="199">
        <v>3.1264701427861498E-3</v>
      </c>
      <c r="D408" s="200">
        <v>1.6160999999999998E-2</v>
      </c>
      <c r="E408" s="123">
        <f t="shared" si="12"/>
        <v>5.0526883977566965E-5</v>
      </c>
      <c r="F408" s="200">
        <v>7.2649999999999992E-2</v>
      </c>
      <c r="G408" s="123">
        <f t="shared" ref="G408:G471" si="13">IFERROR($F408*$C408,"n/a")</f>
        <v>2.2713805587341374E-4</v>
      </c>
      <c r="I408" s="124"/>
      <c r="J408" s="124"/>
    </row>
    <row r="409" spans="1:10">
      <c r="A409" t="s">
        <v>1049</v>
      </c>
      <c r="B409" s="28" t="s">
        <v>1050</v>
      </c>
      <c r="C409" s="199">
        <v>8.7800952840675175E-4</v>
      </c>
      <c r="D409" s="200" t="s">
        <v>1301</v>
      </c>
      <c r="E409" s="123" t="str">
        <f t="shared" si="12"/>
        <v>n/a</v>
      </c>
      <c r="F409" s="200">
        <v>0.45899999999999996</v>
      </c>
      <c r="G409" s="123">
        <f t="shared" si="13"/>
        <v>4.0300637353869902E-4</v>
      </c>
      <c r="I409" s="124"/>
      <c r="J409" s="124"/>
    </row>
    <row r="410" spans="1:10">
      <c r="A410" t="s">
        <v>1047</v>
      </c>
      <c r="B410" s="28" t="s">
        <v>1048</v>
      </c>
      <c r="C410" s="199">
        <v>1.3588687666541428E-3</v>
      </c>
      <c r="D410" s="200">
        <v>3.0603999999999999E-2</v>
      </c>
      <c r="E410" s="123">
        <f t="shared" si="12"/>
        <v>4.1586819734683383E-5</v>
      </c>
      <c r="F410" s="200">
        <v>9.9600000000000008E-2</v>
      </c>
      <c r="G410" s="123">
        <f t="shared" si="13"/>
        <v>1.3534332915875264E-4</v>
      </c>
      <c r="I410" s="124"/>
      <c r="J410" s="124"/>
    </row>
    <row r="411" spans="1:10">
      <c r="A411" t="s">
        <v>1051</v>
      </c>
      <c r="B411" s="28" t="s">
        <v>1052</v>
      </c>
      <c r="C411" s="199">
        <v>1.2891597799277222E-3</v>
      </c>
      <c r="D411" s="200">
        <v>1.1103E-2</v>
      </c>
      <c r="E411" s="123">
        <f t="shared" si="12"/>
        <v>1.43135410365375E-5</v>
      </c>
      <c r="F411" s="200">
        <v>0.128</v>
      </c>
      <c r="G411" s="123">
        <f t="shared" si="13"/>
        <v>1.6501245183074846E-4</v>
      </c>
      <c r="I411" s="124"/>
      <c r="J411" s="124"/>
    </row>
    <row r="412" spans="1:10">
      <c r="A412" t="s">
        <v>1053</v>
      </c>
      <c r="B412" s="28" t="s">
        <v>1054</v>
      </c>
      <c r="C412" s="199">
        <v>3.6044111366573886E-3</v>
      </c>
      <c r="D412" s="200" t="s">
        <v>1301</v>
      </c>
      <c r="E412" s="123" t="str">
        <f t="shared" si="12"/>
        <v>n/a</v>
      </c>
      <c r="F412" s="200">
        <v>0.15775</v>
      </c>
      <c r="G412" s="123">
        <f t="shared" si="13"/>
        <v>5.685958568077031E-4</v>
      </c>
      <c r="I412" s="124"/>
      <c r="J412" s="124"/>
    </row>
    <row r="413" spans="1:10">
      <c r="A413" t="s">
        <v>1055</v>
      </c>
      <c r="B413" s="28" t="s">
        <v>1056</v>
      </c>
      <c r="C413" s="199">
        <v>4.0997248505407843E-4</v>
      </c>
      <c r="D413" s="200" t="s">
        <v>1301</v>
      </c>
      <c r="E413" s="123" t="str">
        <f t="shared" si="12"/>
        <v>n/a</v>
      </c>
      <c r="F413" s="200">
        <v>9.3850000000000003E-2</v>
      </c>
      <c r="G413" s="123">
        <f t="shared" si="13"/>
        <v>3.8475917722325264E-5</v>
      </c>
      <c r="I413" s="124"/>
      <c r="J413" s="124"/>
    </row>
    <row r="414" spans="1:10">
      <c r="A414" t="s">
        <v>1057</v>
      </c>
      <c r="B414" s="28" t="s">
        <v>1058</v>
      </c>
      <c r="C414" s="199">
        <v>4.5005541941805729E-4</v>
      </c>
      <c r="D414" s="200" t="s">
        <v>1301</v>
      </c>
      <c r="E414" s="123" t="str">
        <f t="shared" si="12"/>
        <v>n/a</v>
      </c>
      <c r="F414" s="200">
        <v>0.16567000000000001</v>
      </c>
      <c r="G414" s="123">
        <f t="shared" si="13"/>
        <v>7.4560681334989558E-5</v>
      </c>
      <c r="I414" s="124"/>
      <c r="J414" s="124"/>
    </row>
    <row r="415" spans="1:10">
      <c r="A415" t="s">
        <v>1059</v>
      </c>
      <c r="B415" s="28" t="s">
        <v>1060</v>
      </c>
      <c r="C415" s="199">
        <v>5.296429546617368E-4</v>
      </c>
      <c r="D415" s="200">
        <v>1.2008000000000001E-2</v>
      </c>
      <c r="E415" s="123">
        <f t="shared" si="12"/>
        <v>6.3599525995781362E-6</v>
      </c>
      <c r="F415" s="200">
        <v>0.10917</v>
      </c>
      <c r="G415" s="123">
        <f t="shared" si="13"/>
        <v>5.7821121360421808E-5</v>
      </c>
      <c r="I415" s="124"/>
      <c r="J415" s="124"/>
    </row>
    <row r="416" spans="1:10">
      <c r="A416" t="s">
        <v>1061</v>
      </c>
      <c r="B416" s="28" t="s">
        <v>1062</v>
      </c>
      <c r="C416" s="199">
        <v>1.4288268502622417E-2</v>
      </c>
      <c r="D416" s="200" t="s">
        <v>1301</v>
      </c>
      <c r="E416" s="123" t="str">
        <f t="shared" si="12"/>
        <v>n/a</v>
      </c>
      <c r="F416" s="200">
        <v>0.17824000000000001</v>
      </c>
      <c r="G416" s="123">
        <f t="shared" si="13"/>
        <v>2.54674097790742E-3</v>
      </c>
      <c r="I416" s="124"/>
      <c r="J416" s="124"/>
    </row>
    <row r="417" spans="1:10">
      <c r="A417" t="s">
        <v>1063</v>
      </c>
      <c r="B417" s="28" t="s">
        <v>1064</v>
      </c>
      <c r="C417" s="199">
        <v>1.3343446525364373E-3</v>
      </c>
      <c r="D417" s="200" t="s">
        <v>1301</v>
      </c>
      <c r="E417" s="123" t="str">
        <f t="shared" si="12"/>
        <v>n/a</v>
      </c>
      <c r="F417" s="200">
        <v>0.184</v>
      </c>
      <c r="G417" s="123">
        <f t="shared" si="13"/>
        <v>2.4551941606670445E-4</v>
      </c>
      <c r="I417" s="124"/>
      <c r="J417" s="124"/>
    </row>
    <row r="418" spans="1:10">
      <c r="A418" t="s">
        <v>1361</v>
      </c>
      <c r="B418" s="28" t="s">
        <v>1362</v>
      </c>
      <c r="C418" s="199">
        <v>5.3382605213800425E-4</v>
      </c>
      <c r="D418" s="200">
        <v>4.973E-3</v>
      </c>
      <c r="E418" s="123">
        <f t="shared" si="12"/>
        <v>2.6547169572822951E-6</v>
      </c>
      <c r="F418" s="200">
        <v>0.1295</v>
      </c>
      <c r="G418" s="123">
        <f t="shared" si="13"/>
        <v>6.9130473751871551E-5</v>
      </c>
      <c r="I418" s="124"/>
      <c r="J418" s="124"/>
    </row>
    <row r="419" spans="1:10">
      <c r="A419" t="s">
        <v>1065</v>
      </c>
      <c r="B419" s="28" t="s">
        <v>1066</v>
      </c>
      <c r="C419" s="199">
        <v>3.4643757990229437E-4</v>
      </c>
      <c r="D419" s="200">
        <v>9.783E-3</v>
      </c>
      <c r="E419" s="123">
        <f t="shared" si="12"/>
        <v>3.3891988441841459E-6</v>
      </c>
      <c r="F419" s="200">
        <v>0.11973</v>
      </c>
      <c r="G419" s="123">
        <f t="shared" si="13"/>
        <v>4.147897144170171E-5</v>
      </c>
      <c r="I419" s="124"/>
      <c r="J419" s="124"/>
    </row>
    <row r="420" spans="1:10">
      <c r="A420" t="s">
        <v>1067</v>
      </c>
      <c r="B420" s="28" t="s">
        <v>1068</v>
      </c>
      <c r="C420" s="199">
        <v>6.2918316278158509E-3</v>
      </c>
      <c r="D420" s="200" t="s">
        <v>1301</v>
      </c>
      <c r="E420" s="123" t="str">
        <f t="shared" si="12"/>
        <v>n/a</v>
      </c>
      <c r="F420" s="200">
        <v>0.36799999999999999</v>
      </c>
      <c r="G420" s="123">
        <f t="shared" si="13"/>
        <v>2.3153940390362331E-3</v>
      </c>
      <c r="I420" s="124"/>
      <c r="J420" s="124"/>
    </row>
    <row r="421" spans="1:10">
      <c r="A421" t="s">
        <v>1069</v>
      </c>
      <c r="B421" s="28" t="s">
        <v>83</v>
      </c>
      <c r="C421" s="199">
        <v>1.0282725141142644E-3</v>
      </c>
      <c r="D421" s="200">
        <v>8.626E-3</v>
      </c>
      <c r="E421" s="123">
        <f t="shared" si="12"/>
        <v>8.8698787067496454E-6</v>
      </c>
      <c r="F421" s="200">
        <v>9.5000000000000001E-2</v>
      </c>
      <c r="G421" s="123">
        <f t="shared" si="13"/>
        <v>9.7685888840855122E-5</v>
      </c>
      <c r="I421" s="124"/>
      <c r="J421" s="124"/>
    </row>
    <row r="422" spans="1:10">
      <c r="A422" t="s">
        <v>1070</v>
      </c>
      <c r="B422" s="28" t="s">
        <v>1071</v>
      </c>
      <c r="C422" s="199">
        <v>3.3265668496188865E-3</v>
      </c>
      <c r="D422" s="200">
        <v>1.0561000000000001E-2</v>
      </c>
      <c r="E422" s="123">
        <f t="shared" si="12"/>
        <v>3.5131872498825067E-5</v>
      </c>
      <c r="F422" s="200">
        <v>0.11137000000000001</v>
      </c>
      <c r="G422" s="123">
        <f t="shared" si="13"/>
        <v>3.7047975004205543E-4</v>
      </c>
      <c r="I422" s="124"/>
      <c r="J422" s="124"/>
    </row>
    <row r="423" spans="1:10">
      <c r="A423" t="s">
        <v>1072</v>
      </c>
      <c r="B423" s="28" t="s">
        <v>1073</v>
      </c>
      <c r="C423" s="199">
        <v>2.7681074924936016E-3</v>
      </c>
      <c r="D423" s="200">
        <v>1.5361E-2</v>
      </c>
      <c r="E423" s="123">
        <f t="shared" si="12"/>
        <v>4.2520899192194214E-5</v>
      </c>
      <c r="F423" s="200">
        <v>0.13780000000000001</v>
      </c>
      <c r="G423" s="123">
        <f t="shared" si="13"/>
        <v>3.8144521246561829E-4</v>
      </c>
      <c r="I423" s="124"/>
      <c r="J423" s="124"/>
    </row>
    <row r="424" spans="1:10">
      <c r="A424" t="s">
        <v>1074</v>
      </c>
      <c r="B424" s="28" t="s">
        <v>1075</v>
      </c>
      <c r="C424" s="199">
        <v>3.800471319759477E-4</v>
      </c>
      <c r="D424" s="200">
        <v>2.9298000000000001E-2</v>
      </c>
      <c r="E424" s="123">
        <f t="shared" si="12"/>
        <v>1.1134620872631316E-5</v>
      </c>
      <c r="F424" s="200">
        <v>8.0670000000000006E-2</v>
      </c>
      <c r="G424" s="123">
        <f t="shared" si="13"/>
        <v>3.0658402136499702E-5</v>
      </c>
      <c r="I424" s="124"/>
      <c r="J424" s="124"/>
    </row>
    <row r="425" spans="1:10">
      <c r="A425" t="s">
        <v>1076</v>
      </c>
      <c r="B425" s="28" t="s">
        <v>1077</v>
      </c>
      <c r="C425" s="199">
        <v>2.7787605475764966E-3</v>
      </c>
      <c r="D425" s="200">
        <v>3.1800999999999996E-2</v>
      </c>
      <c r="E425" s="123">
        <f t="shared" si="12"/>
        <v>8.8367364173480152E-5</v>
      </c>
      <c r="F425" s="200">
        <v>9.2530000000000001E-2</v>
      </c>
      <c r="G425" s="123">
        <f t="shared" si="13"/>
        <v>2.5711871346725324E-4</v>
      </c>
      <c r="I425" s="124"/>
      <c r="J425" s="124"/>
    </row>
    <row r="426" spans="1:10">
      <c r="A426" t="s">
        <v>1078</v>
      </c>
      <c r="B426" s="28" t="s">
        <v>1079</v>
      </c>
      <c r="C426" s="199">
        <v>9.0930143470181973E-4</v>
      </c>
      <c r="D426" s="200">
        <v>3.2101999999999999E-2</v>
      </c>
      <c r="E426" s="123">
        <f t="shared" si="12"/>
        <v>2.9190394656797815E-5</v>
      </c>
      <c r="F426" s="200">
        <v>5.867E-2</v>
      </c>
      <c r="G426" s="123">
        <f t="shared" si="13"/>
        <v>5.3348715173955767E-5</v>
      </c>
      <c r="I426" s="124"/>
      <c r="J426" s="124"/>
    </row>
    <row r="427" spans="1:10">
      <c r="A427" t="s">
        <v>1281</v>
      </c>
      <c r="B427" s="28" t="s">
        <v>1282</v>
      </c>
      <c r="C427" s="199">
        <v>5.4369893303296145E-4</v>
      </c>
      <c r="D427" s="200">
        <v>2.2556E-2</v>
      </c>
      <c r="E427" s="123">
        <f t="shared" si="12"/>
        <v>1.2263673133491478E-5</v>
      </c>
      <c r="F427" s="200">
        <v>7.0499999999999993E-2</v>
      </c>
      <c r="G427" s="123">
        <f t="shared" si="13"/>
        <v>3.8330774778823781E-5</v>
      </c>
      <c r="I427" s="124"/>
      <c r="J427" s="124"/>
    </row>
    <row r="428" spans="1:10">
      <c r="A428" t="s">
        <v>1080</v>
      </c>
      <c r="B428" s="28" t="s">
        <v>1081</v>
      </c>
      <c r="C428" s="199">
        <v>6.1272355181950634E-4</v>
      </c>
      <c r="D428" s="200">
        <v>1.9990999999999998E-2</v>
      </c>
      <c r="E428" s="123">
        <f t="shared" si="12"/>
        <v>1.224895652442375E-5</v>
      </c>
      <c r="F428" s="200">
        <v>8.1600000000000006E-2</v>
      </c>
      <c r="G428" s="123">
        <f t="shared" si="13"/>
        <v>4.9998241828471722E-5</v>
      </c>
      <c r="I428" s="124"/>
      <c r="J428" s="124"/>
    </row>
    <row r="429" spans="1:10">
      <c r="A429" t="s">
        <v>1082</v>
      </c>
      <c r="B429" s="28" t="s">
        <v>1083</v>
      </c>
      <c r="C429" s="199">
        <v>5.062448317191149E-3</v>
      </c>
      <c r="D429" s="200">
        <v>5.9436999999999997E-2</v>
      </c>
      <c r="E429" s="123">
        <f t="shared" si="12"/>
        <v>3.0089674062889029E-4</v>
      </c>
      <c r="F429" s="200">
        <v>8.7669999999999998E-2</v>
      </c>
      <c r="G429" s="123">
        <f t="shared" si="13"/>
        <v>4.4382484396814802E-4</v>
      </c>
      <c r="I429" s="124"/>
      <c r="J429" s="124"/>
    </row>
    <row r="430" spans="1:10">
      <c r="A430" t="s">
        <v>1084</v>
      </c>
      <c r="B430" s="28" t="s">
        <v>1085</v>
      </c>
      <c r="C430" s="199">
        <v>4.9348490816898283E-3</v>
      </c>
      <c r="D430" s="200" t="s">
        <v>1301</v>
      </c>
      <c r="E430" s="123" t="str">
        <f t="shared" si="12"/>
        <v>n/a</v>
      </c>
      <c r="F430" s="200">
        <v>0.23980000000000001</v>
      </c>
      <c r="G430" s="123">
        <f t="shared" si="13"/>
        <v>1.1833768097892208E-3</v>
      </c>
      <c r="I430" s="124"/>
      <c r="J430" s="124"/>
    </row>
    <row r="431" spans="1:10">
      <c r="A431" t="s">
        <v>1086</v>
      </c>
      <c r="B431" s="28" t="s">
        <v>1087</v>
      </c>
      <c r="C431" s="199">
        <v>3.7642033505981017E-4</v>
      </c>
      <c r="D431" s="200">
        <v>1.6663000000000001E-2</v>
      </c>
      <c r="E431" s="123">
        <f t="shared" si="12"/>
        <v>6.272292043101617E-6</v>
      </c>
      <c r="F431" s="200">
        <v>0.4</v>
      </c>
      <c r="G431" s="123">
        <f t="shared" si="13"/>
        <v>1.5056813402392408E-4</v>
      </c>
      <c r="I431" s="124"/>
      <c r="J431" s="124"/>
    </row>
    <row r="432" spans="1:10">
      <c r="A432" t="s">
        <v>1088</v>
      </c>
      <c r="B432" s="28" t="s">
        <v>1089</v>
      </c>
      <c r="C432" s="199">
        <v>1.9130726062132105E-3</v>
      </c>
      <c r="D432" s="200">
        <v>3.6785999999999999E-2</v>
      </c>
      <c r="E432" s="123">
        <f t="shared" si="12"/>
        <v>7.0374288892159165E-5</v>
      </c>
      <c r="F432" s="200">
        <v>0.1336</v>
      </c>
      <c r="G432" s="123">
        <f t="shared" si="13"/>
        <v>2.5558650019008491E-4</v>
      </c>
      <c r="I432" s="124"/>
      <c r="J432" s="124"/>
    </row>
    <row r="433" spans="1:10">
      <c r="A433" t="s">
        <v>372</v>
      </c>
      <c r="B433" s="28" t="s">
        <v>1090</v>
      </c>
      <c r="C433" s="199">
        <v>1.8193699807239369E-4</v>
      </c>
      <c r="D433" s="200" t="s">
        <v>1301</v>
      </c>
      <c r="E433" s="123" t="str">
        <f t="shared" si="12"/>
        <v>n/a</v>
      </c>
      <c r="F433" s="200">
        <v>0.37540000000000001</v>
      </c>
      <c r="G433" s="123">
        <f t="shared" si="13"/>
        <v>6.82991490763766E-5</v>
      </c>
      <c r="I433" s="124"/>
      <c r="J433" s="124"/>
    </row>
    <row r="434" spans="1:10">
      <c r="A434" t="s">
        <v>1091</v>
      </c>
      <c r="B434" s="28" t="s">
        <v>1092</v>
      </c>
      <c r="C434" s="199">
        <v>4.7617888629136545E-4</v>
      </c>
      <c r="D434" s="200">
        <v>3.4874999999999996E-2</v>
      </c>
      <c r="E434" s="123">
        <f t="shared" si="12"/>
        <v>1.6606738659411367E-5</v>
      </c>
      <c r="F434" s="200">
        <v>0.10333000000000001</v>
      </c>
      <c r="G434" s="123">
        <f t="shared" si="13"/>
        <v>4.9203564320486794E-5</v>
      </c>
      <c r="I434" s="124"/>
      <c r="J434" s="124"/>
    </row>
    <row r="435" spans="1:10">
      <c r="A435" t="s">
        <v>1093</v>
      </c>
      <c r="B435" s="28" t="s">
        <v>1094</v>
      </c>
      <c r="C435" s="199">
        <v>2.1836088712287472E-4</v>
      </c>
      <c r="D435" s="200">
        <v>2.2970000000000001E-2</v>
      </c>
      <c r="E435" s="123">
        <f t="shared" si="12"/>
        <v>5.0157495772124323E-6</v>
      </c>
      <c r="F435" s="200">
        <v>0.19233</v>
      </c>
      <c r="G435" s="123">
        <f t="shared" si="13"/>
        <v>4.1997349420342491E-5</v>
      </c>
      <c r="I435" s="124"/>
      <c r="J435" s="124"/>
    </row>
    <row r="436" spans="1:10">
      <c r="A436" t="s">
        <v>1095</v>
      </c>
      <c r="B436" s="28" t="s">
        <v>1096</v>
      </c>
      <c r="C436" s="199">
        <v>2.3549324680484018E-3</v>
      </c>
      <c r="D436" s="200">
        <v>1.3394E-2</v>
      </c>
      <c r="E436" s="123">
        <f t="shared" si="12"/>
        <v>3.1541965477040291E-5</v>
      </c>
      <c r="F436" s="200">
        <v>0.1047</v>
      </c>
      <c r="G436" s="123">
        <f t="shared" si="13"/>
        <v>2.4656142940466765E-4</v>
      </c>
      <c r="I436" s="124"/>
      <c r="J436" s="124"/>
    </row>
    <row r="437" spans="1:10">
      <c r="A437" t="s">
        <v>1097</v>
      </c>
      <c r="B437" s="28" t="s">
        <v>1098</v>
      </c>
      <c r="C437" s="199">
        <v>1.5122487434256664E-3</v>
      </c>
      <c r="D437" s="200" t="s">
        <v>1301</v>
      </c>
      <c r="E437" s="123" t="str">
        <f t="shared" si="12"/>
        <v>n/a</v>
      </c>
      <c r="F437" s="200">
        <v>0.14000000000000001</v>
      </c>
      <c r="G437" s="123">
        <f t="shared" si="13"/>
        <v>2.1171482407959333E-4</v>
      </c>
      <c r="I437" s="124"/>
      <c r="J437" s="124"/>
    </row>
    <row r="438" spans="1:10">
      <c r="A438" t="s">
        <v>1099</v>
      </c>
      <c r="B438" s="28" t="s">
        <v>1100</v>
      </c>
      <c r="C438" s="199">
        <v>7.3246038082873572E-4</v>
      </c>
      <c r="D438" s="200">
        <v>2.8435999999999999E-2</v>
      </c>
      <c r="E438" s="123">
        <f t="shared" si="12"/>
        <v>2.082824338924593E-5</v>
      </c>
      <c r="F438" s="200">
        <v>0.11800000000000001</v>
      </c>
      <c r="G438" s="123">
        <f t="shared" si="13"/>
        <v>8.6430324937790824E-5</v>
      </c>
      <c r="I438" s="124"/>
      <c r="J438" s="124"/>
    </row>
    <row r="439" spans="1:10">
      <c r="A439" t="s">
        <v>1101</v>
      </c>
      <c r="B439" s="28" t="s">
        <v>1102</v>
      </c>
      <c r="C439" s="199">
        <v>4.3985847549355263E-4</v>
      </c>
      <c r="D439" s="200">
        <v>2.2648000000000001E-2</v>
      </c>
      <c r="E439" s="123">
        <f t="shared" si="12"/>
        <v>9.9619147529779804E-6</v>
      </c>
      <c r="F439" s="200">
        <v>5.577E-2</v>
      </c>
      <c r="G439" s="123">
        <f t="shared" si="13"/>
        <v>2.4530907178275429E-5</v>
      </c>
      <c r="I439" s="124"/>
      <c r="J439" s="124"/>
    </row>
    <row r="440" spans="1:10">
      <c r="A440" t="s">
        <v>1103</v>
      </c>
      <c r="B440" s="28" t="s">
        <v>1104</v>
      </c>
      <c r="C440" s="199">
        <v>9.4860557230703774E-4</v>
      </c>
      <c r="D440" s="200">
        <v>8.761999999999999E-3</v>
      </c>
      <c r="E440" s="123">
        <f t="shared" si="12"/>
        <v>8.3116820245542632E-6</v>
      </c>
      <c r="F440" s="200">
        <v>3.85E-2</v>
      </c>
      <c r="G440" s="123">
        <f t="shared" si="13"/>
        <v>3.652131453382095E-5</v>
      </c>
      <c r="I440" s="124"/>
      <c r="J440" s="124"/>
    </row>
    <row r="441" spans="1:10">
      <c r="A441" t="s">
        <v>1105</v>
      </c>
      <c r="B441" s="28" t="s">
        <v>1106</v>
      </c>
      <c r="C441" s="199">
        <v>6.619835484361087E-4</v>
      </c>
      <c r="D441" s="200" t="s">
        <v>1301</v>
      </c>
      <c r="E441" s="123" t="str">
        <f t="shared" si="12"/>
        <v>n/a</v>
      </c>
      <c r="F441" s="200">
        <v>0.11</v>
      </c>
      <c r="G441" s="123">
        <f t="shared" si="13"/>
        <v>7.2818190327971963E-5</v>
      </c>
      <c r="I441" s="124"/>
      <c r="J441" s="124"/>
    </row>
    <row r="442" spans="1:10">
      <c r="A442" t="s">
        <v>1107</v>
      </c>
      <c r="B442" s="28" t="s">
        <v>1108</v>
      </c>
      <c r="C442" s="199">
        <v>9.1322692745334551E-3</v>
      </c>
      <c r="D442" s="200">
        <v>6.2519999999999997E-3</v>
      </c>
      <c r="E442" s="123">
        <f t="shared" si="12"/>
        <v>5.7094947504383159E-5</v>
      </c>
      <c r="F442" s="200">
        <v>0.16683000000000001</v>
      </c>
      <c r="G442" s="123">
        <f t="shared" si="13"/>
        <v>1.5235364830704164E-3</v>
      </c>
      <c r="I442" s="124"/>
      <c r="J442" s="124"/>
    </row>
    <row r="443" spans="1:10">
      <c r="A443" t="s">
        <v>1109</v>
      </c>
      <c r="B443" s="28" t="s">
        <v>1110</v>
      </c>
      <c r="C443" s="199">
        <v>4.2438036283407038E-4</v>
      </c>
      <c r="D443" s="200" t="s">
        <v>1301</v>
      </c>
      <c r="E443" s="123" t="str">
        <f t="shared" si="12"/>
        <v>n/a</v>
      </c>
      <c r="F443" s="200">
        <v>0.12923000000000001</v>
      </c>
      <c r="G443" s="123">
        <f t="shared" si="13"/>
        <v>5.4842674289046922E-5</v>
      </c>
      <c r="I443" s="124"/>
      <c r="J443" s="124"/>
    </row>
    <row r="444" spans="1:10">
      <c r="A444" t="s">
        <v>1111</v>
      </c>
      <c r="B444" s="28" t="s">
        <v>1112</v>
      </c>
      <c r="C444" s="199">
        <v>1.8558690285925801E-3</v>
      </c>
      <c r="D444" s="200">
        <v>1.2506999999999999E-2</v>
      </c>
      <c r="E444" s="123">
        <f t="shared" si="12"/>
        <v>2.3211353940607398E-5</v>
      </c>
      <c r="F444" s="200">
        <v>0.11564999999999999</v>
      </c>
      <c r="G444" s="123">
        <f t="shared" si="13"/>
        <v>2.1463125315673186E-4</v>
      </c>
      <c r="I444" s="124"/>
      <c r="J444" s="124"/>
    </row>
    <row r="445" spans="1:10">
      <c r="A445" t="s">
        <v>1113</v>
      </c>
      <c r="B445" s="28" t="s">
        <v>1114</v>
      </c>
      <c r="C445" s="199">
        <v>1.4530846608822065E-3</v>
      </c>
      <c r="D445" s="200">
        <v>1.3392999999999999E-2</v>
      </c>
      <c r="E445" s="123">
        <f t="shared" si="12"/>
        <v>1.9461162863195388E-5</v>
      </c>
      <c r="F445" s="200">
        <v>0.12</v>
      </c>
      <c r="G445" s="123">
        <f t="shared" si="13"/>
        <v>1.7437015930586478E-4</v>
      </c>
      <c r="I445" s="124"/>
      <c r="J445" s="124"/>
    </row>
    <row r="446" spans="1:10">
      <c r="A446" t="s">
        <v>1115</v>
      </c>
      <c r="B446" s="28" t="s">
        <v>1116</v>
      </c>
      <c r="C446" s="199">
        <v>6.2467253938910581E-4</v>
      </c>
      <c r="D446" s="200" t="s">
        <v>1301</v>
      </c>
      <c r="E446" s="123" t="str">
        <f t="shared" si="12"/>
        <v>n/a</v>
      </c>
      <c r="F446" s="200">
        <v>0.21658000000000002</v>
      </c>
      <c r="G446" s="123">
        <f t="shared" si="13"/>
        <v>1.3529157858089256E-4</v>
      </c>
      <c r="I446" s="124"/>
      <c r="J446" s="124"/>
    </row>
    <row r="447" spans="1:10">
      <c r="A447" t="s">
        <v>1117</v>
      </c>
      <c r="B447" s="28" t="s">
        <v>1118</v>
      </c>
      <c r="C447" s="199">
        <v>5.6778031339767331E-4</v>
      </c>
      <c r="D447" s="200">
        <v>2.4388E-2</v>
      </c>
      <c r="E447" s="123">
        <f t="shared" si="12"/>
        <v>1.3847026283142456E-5</v>
      </c>
      <c r="F447" s="200">
        <v>0.311</v>
      </c>
      <c r="G447" s="123">
        <f t="shared" si="13"/>
        <v>1.765796774666764E-4</v>
      </c>
      <c r="I447" s="124"/>
      <c r="J447" s="124"/>
    </row>
    <row r="448" spans="1:10">
      <c r="A448" t="s">
        <v>1119</v>
      </c>
      <c r="B448" s="28" t="s">
        <v>1120</v>
      </c>
      <c r="C448" s="199">
        <v>2.538962804455666E-4</v>
      </c>
      <c r="D448" s="200">
        <v>2.4899000000000001E-2</v>
      </c>
      <c r="E448" s="123">
        <f t="shared" si="12"/>
        <v>6.3217634868141631E-6</v>
      </c>
      <c r="F448" s="200" t="s">
        <v>1301</v>
      </c>
      <c r="G448" s="123" t="str">
        <f t="shared" si="13"/>
        <v>n/a</v>
      </c>
      <c r="I448" s="124"/>
      <c r="J448" s="124"/>
    </row>
    <row r="449" spans="1:10">
      <c r="A449" t="s">
        <v>1121</v>
      </c>
      <c r="B449" s="28" t="s">
        <v>1122</v>
      </c>
      <c r="C449" s="199">
        <v>5.0347419010670507E-4</v>
      </c>
      <c r="D449" s="200">
        <v>2.9329999999999998E-3</v>
      </c>
      <c r="E449" s="123">
        <f t="shared" si="12"/>
        <v>1.4766897995829659E-6</v>
      </c>
      <c r="F449" s="200">
        <v>0.46029999999999999</v>
      </c>
      <c r="G449" s="123">
        <f t="shared" si="13"/>
        <v>2.3174916970611633E-4</v>
      </c>
      <c r="I449" s="124"/>
      <c r="J449" s="124"/>
    </row>
    <row r="450" spans="1:10">
      <c r="A450" t="s">
        <v>1123</v>
      </c>
      <c r="B450" s="28" t="s">
        <v>1124</v>
      </c>
      <c r="C450" s="199">
        <v>1.3435389910194161E-3</v>
      </c>
      <c r="D450" s="200" t="s">
        <v>1301</v>
      </c>
      <c r="E450" s="123" t="str">
        <f t="shared" si="12"/>
        <v>n/a</v>
      </c>
      <c r="F450" s="200">
        <v>0.154</v>
      </c>
      <c r="G450" s="123">
        <f t="shared" si="13"/>
        <v>2.0690500461699007E-4</v>
      </c>
      <c r="I450" s="124"/>
      <c r="J450" s="124"/>
    </row>
    <row r="451" spans="1:10">
      <c r="A451" t="s">
        <v>1125</v>
      </c>
      <c r="B451" s="28" t="s">
        <v>1126</v>
      </c>
      <c r="C451" s="199">
        <v>6.6574220671103098E-4</v>
      </c>
      <c r="D451" s="200">
        <v>3.6915000000000003E-2</v>
      </c>
      <c r="E451" s="123">
        <f t="shared" si="12"/>
        <v>2.4575873560737711E-5</v>
      </c>
      <c r="F451" s="200">
        <v>0.1452</v>
      </c>
      <c r="G451" s="123">
        <f t="shared" si="13"/>
        <v>9.6665768414441692E-5</v>
      </c>
      <c r="I451" s="124"/>
      <c r="J451" s="124"/>
    </row>
    <row r="452" spans="1:10">
      <c r="A452" t="s">
        <v>1127</v>
      </c>
      <c r="B452" s="28" t="s">
        <v>1128</v>
      </c>
      <c r="C452" s="199">
        <v>5.2817602866882143E-4</v>
      </c>
      <c r="D452" s="200">
        <v>3.0980000000000001E-3</v>
      </c>
      <c r="E452" s="123">
        <f t="shared" si="12"/>
        <v>1.6362893368160089E-6</v>
      </c>
      <c r="F452" s="200">
        <v>7.0000000000000007E-2</v>
      </c>
      <c r="G452" s="123">
        <f t="shared" si="13"/>
        <v>3.6972322006817502E-5</v>
      </c>
      <c r="I452" s="124"/>
      <c r="J452" s="124"/>
    </row>
    <row r="453" spans="1:10">
      <c r="A453" t="s">
        <v>1129</v>
      </c>
      <c r="B453" s="28" t="s">
        <v>1130</v>
      </c>
      <c r="C453" s="199">
        <v>6.8929822370227141E-4</v>
      </c>
      <c r="D453" s="200">
        <v>1.0733999999999999E-2</v>
      </c>
      <c r="E453" s="123">
        <f t="shared" si="12"/>
        <v>7.3989271332201808E-6</v>
      </c>
      <c r="F453" s="200">
        <v>0.17199999999999999</v>
      </c>
      <c r="G453" s="123">
        <f t="shared" si="13"/>
        <v>1.1855929447679068E-4</v>
      </c>
      <c r="I453" s="124"/>
      <c r="J453" s="124"/>
    </row>
    <row r="454" spans="1:10">
      <c r="A454" t="s">
        <v>1131</v>
      </c>
      <c r="B454" s="28" t="s">
        <v>1132</v>
      </c>
      <c r="C454" s="199">
        <v>6.4101354117696214E-4</v>
      </c>
      <c r="D454" s="200">
        <v>3.3147000000000003E-2</v>
      </c>
      <c r="E454" s="123">
        <f t="shared" si="12"/>
        <v>2.1247675849392766E-5</v>
      </c>
      <c r="F454" s="200">
        <v>8.2180000000000003E-2</v>
      </c>
      <c r="G454" s="123">
        <f t="shared" si="13"/>
        <v>5.2678492813922753E-5</v>
      </c>
      <c r="I454" s="124"/>
      <c r="J454" s="124"/>
    </row>
    <row r="455" spans="1:10">
      <c r="A455" t="s">
        <v>1133</v>
      </c>
      <c r="B455" s="28" t="s">
        <v>1134</v>
      </c>
      <c r="C455" s="199">
        <v>1.8882309974293119E-4</v>
      </c>
      <c r="D455" s="200" t="s">
        <v>1301</v>
      </c>
      <c r="E455" s="123" t="str">
        <f t="shared" si="12"/>
        <v>n/a</v>
      </c>
      <c r="F455" s="200">
        <v>0.12300000000000001</v>
      </c>
      <c r="G455" s="123">
        <f t="shared" si="13"/>
        <v>2.3225241268380537E-5</v>
      </c>
      <c r="I455" s="124"/>
      <c r="J455" s="124"/>
    </row>
    <row r="456" spans="1:10">
      <c r="A456" t="s">
        <v>1135</v>
      </c>
      <c r="B456" s="28" t="s">
        <v>1136</v>
      </c>
      <c r="C456" s="199">
        <v>4.2761968955943658E-4</v>
      </c>
      <c r="D456" s="200">
        <v>2.7490999999999998E-2</v>
      </c>
      <c r="E456" s="123">
        <f t="shared" si="12"/>
        <v>1.1755692885678469E-5</v>
      </c>
      <c r="F456" s="200">
        <v>0.16649999999999998</v>
      </c>
      <c r="G456" s="123">
        <f t="shared" si="13"/>
        <v>7.1198678311646182E-5</v>
      </c>
      <c r="I456" s="124"/>
      <c r="J456" s="124"/>
    </row>
    <row r="457" spans="1:10">
      <c r="A457" t="s">
        <v>1137</v>
      </c>
      <c r="B457" s="28" t="s">
        <v>1138</v>
      </c>
      <c r="C457" s="199">
        <v>4.4137780067516588E-4</v>
      </c>
      <c r="D457" s="200">
        <v>2.7191999999999997E-2</v>
      </c>
      <c r="E457" s="123">
        <f t="shared" si="12"/>
        <v>1.2001945155959109E-5</v>
      </c>
      <c r="F457" s="200">
        <v>3.4799999999999998E-2</v>
      </c>
      <c r="G457" s="123">
        <f t="shared" si="13"/>
        <v>1.5359947463495772E-5</v>
      </c>
      <c r="I457" s="124"/>
      <c r="J457" s="124"/>
    </row>
    <row r="458" spans="1:10">
      <c r="A458" t="s">
        <v>1061</v>
      </c>
      <c r="B458" s="28" t="s">
        <v>1139</v>
      </c>
      <c r="C458" s="199">
        <v>1.6567340251954055E-2</v>
      </c>
      <c r="D458" s="200" t="s">
        <v>1301</v>
      </c>
      <c r="E458" s="123" t="str">
        <f t="shared" si="12"/>
        <v>n/a</v>
      </c>
      <c r="F458" s="200">
        <v>0.17824000000000001</v>
      </c>
      <c r="G458" s="123">
        <f t="shared" si="13"/>
        <v>2.952962726508291E-3</v>
      </c>
      <c r="I458" s="124"/>
      <c r="J458" s="124"/>
    </row>
    <row r="459" spans="1:10">
      <c r="A459" t="s">
        <v>1140</v>
      </c>
      <c r="B459" s="28" t="s">
        <v>1141</v>
      </c>
      <c r="C459" s="199">
        <v>1.164351338188476E-3</v>
      </c>
      <c r="D459" s="200">
        <v>2.1741999999999997E-2</v>
      </c>
      <c r="E459" s="123">
        <f t="shared" si="12"/>
        <v>2.5315326794893843E-5</v>
      </c>
      <c r="F459" s="200">
        <v>0.10132999999999999</v>
      </c>
      <c r="G459" s="123">
        <f t="shared" si="13"/>
        <v>1.1798372109863826E-4</v>
      </c>
      <c r="I459" s="124"/>
      <c r="J459" s="124"/>
    </row>
    <row r="460" spans="1:10">
      <c r="A460" t="s">
        <v>1142</v>
      </c>
      <c r="B460" s="28" t="s">
        <v>1143</v>
      </c>
      <c r="C460" s="199">
        <v>5.825490678590564E-4</v>
      </c>
      <c r="D460" s="200">
        <v>2.1499999999999999E-4</v>
      </c>
      <c r="E460" s="123">
        <f t="shared" si="12"/>
        <v>1.2524804958969711E-7</v>
      </c>
      <c r="F460" s="200">
        <v>0.105</v>
      </c>
      <c r="G460" s="123">
        <f t="shared" si="13"/>
        <v>6.1167652125200918E-5</v>
      </c>
      <c r="I460" s="124"/>
      <c r="J460" s="124"/>
    </row>
    <row r="461" spans="1:10">
      <c r="A461" t="s">
        <v>1144</v>
      </c>
      <c r="B461" s="28" t="s">
        <v>1145</v>
      </c>
      <c r="C461" s="199">
        <v>9.4824813856187286E-4</v>
      </c>
      <c r="D461" s="200">
        <v>2.3706999999999999E-2</v>
      </c>
      <c r="E461" s="123">
        <f t="shared" si="12"/>
        <v>2.2480118620886319E-5</v>
      </c>
      <c r="F461" s="200">
        <v>8.7980000000000003E-2</v>
      </c>
      <c r="G461" s="123">
        <f t="shared" si="13"/>
        <v>8.342687123067358E-5</v>
      </c>
      <c r="I461" s="124"/>
      <c r="J461" s="124"/>
    </row>
    <row r="462" spans="1:10">
      <c r="A462" t="s">
        <v>1146</v>
      </c>
      <c r="B462" s="28" t="s">
        <v>1147</v>
      </c>
      <c r="C462" s="199">
        <v>3.0413004096198126E-4</v>
      </c>
      <c r="D462" s="200" t="s">
        <v>1301</v>
      </c>
      <c r="E462" s="123" t="str">
        <f t="shared" si="12"/>
        <v>n/a</v>
      </c>
      <c r="F462" s="200">
        <v>0.17249999999999999</v>
      </c>
      <c r="G462" s="123">
        <f t="shared" si="13"/>
        <v>5.2462432065941761E-5</v>
      </c>
      <c r="I462" s="124"/>
      <c r="J462" s="124"/>
    </row>
    <row r="463" spans="1:10">
      <c r="A463" t="s">
        <v>1148</v>
      </c>
      <c r="B463" s="28" t="s">
        <v>1149</v>
      </c>
      <c r="C463" s="199">
        <v>1.0030035876203991E-2</v>
      </c>
      <c r="D463" s="200">
        <v>7.4070000000000004E-3</v>
      </c>
      <c r="E463" s="123">
        <f t="shared" si="12"/>
        <v>7.4292475735042966E-5</v>
      </c>
      <c r="F463" s="200">
        <v>0.17793</v>
      </c>
      <c r="G463" s="123">
        <f t="shared" si="13"/>
        <v>1.7846442834529761E-3</v>
      </c>
      <c r="I463" s="124"/>
      <c r="J463" s="124"/>
    </row>
    <row r="464" spans="1:10">
      <c r="A464" t="s">
        <v>1150</v>
      </c>
      <c r="B464" s="28" t="s">
        <v>1151</v>
      </c>
      <c r="C464" s="199">
        <v>4.894017598402442E-4</v>
      </c>
      <c r="D464" s="200">
        <v>3.7915000000000004E-2</v>
      </c>
      <c r="E464" s="123">
        <f t="shared" si="12"/>
        <v>1.855566772434286E-5</v>
      </c>
      <c r="F464" s="200" t="s">
        <v>1301</v>
      </c>
      <c r="G464" s="123" t="str">
        <f t="shared" si="13"/>
        <v>n/a</v>
      </c>
      <c r="I464" s="124"/>
      <c r="J464" s="124"/>
    </row>
    <row r="465" spans="1:10">
      <c r="A465" t="s">
        <v>1152</v>
      </c>
      <c r="B465" s="28" t="s">
        <v>1153</v>
      </c>
      <c r="C465" s="199">
        <v>5.4360962638291355E-4</v>
      </c>
      <c r="D465" s="200">
        <v>1.3472E-2</v>
      </c>
      <c r="E465" s="123">
        <f t="shared" si="12"/>
        <v>7.3235088866306115E-6</v>
      </c>
      <c r="F465" s="200">
        <v>0.14566999999999999</v>
      </c>
      <c r="G465" s="123">
        <f t="shared" si="13"/>
        <v>7.9187614275199011E-5</v>
      </c>
      <c r="I465" s="124"/>
      <c r="J465" s="124"/>
    </row>
    <row r="466" spans="1:10">
      <c r="A466" t="s">
        <v>1154</v>
      </c>
      <c r="B466" s="28" t="s">
        <v>1155</v>
      </c>
      <c r="C466" s="199">
        <v>1.9430871734053151E-3</v>
      </c>
      <c r="D466" s="200">
        <v>3.1995000000000003E-2</v>
      </c>
      <c r="E466" s="123">
        <f t="shared" si="12"/>
        <v>6.2169074113103059E-5</v>
      </c>
      <c r="F466" s="200">
        <v>0.16140000000000002</v>
      </c>
      <c r="G466" s="123">
        <f t="shared" si="13"/>
        <v>3.136142697876179E-4</v>
      </c>
      <c r="I466" s="124"/>
      <c r="J466" s="124"/>
    </row>
    <row r="467" spans="1:10">
      <c r="A467" t="s">
        <v>1158</v>
      </c>
      <c r="B467" s="28" t="s">
        <v>1159</v>
      </c>
      <c r="C467" s="199">
        <v>1.0355349073631309E-3</v>
      </c>
      <c r="D467" s="200" t="s">
        <v>1301</v>
      </c>
      <c r="E467" s="123" t="str">
        <f t="shared" si="12"/>
        <v>n/a</v>
      </c>
      <c r="F467" s="200">
        <v>0.15667</v>
      </c>
      <c r="G467" s="123">
        <f t="shared" si="13"/>
        <v>1.6223725393658172E-4</v>
      </c>
      <c r="I467" s="124"/>
      <c r="J467" s="124"/>
    </row>
    <row r="468" spans="1:10">
      <c r="A468" t="s">
        <v>1156</v>
      </c>
      <c r="B468" s="28" t="s">
        <v>1157</v>
      </c>
      <c r="C468" s="199">
        <v>4.4250102052217194E-4</v>
      </c>
      <c r="D468" s="200">
        <v>1.452E-2</v>
      </c>
      <c r="E468" s="123">
        <f t="shared" si="12"/>
        <v>6.4251148179819369E-6</v>
      </c>
      <c r="F468" s="200">
        <v>0.12759999999999999</v>
      </c>
      <c r="G468" s="123">
        <f t="shared" si="13"/>
        <v>5.6463130218629138E-5</v>
      </c>
      <c r="I468" s="124"/>
      <c r="J468" s="124"/>
    </row>
    <row r="469" spans="1:10">
      <c r="A469" t="s">
        <v>1160</v>
      </c>
      <c r="B469" s="28" t="s">
        <v>1161</v>
      </c>
      <c r="C469" s="199">
        <v>5.7566458259847449E-4</v>
      </c>
      <c r="D469" s="200">
        <v>1.5550999999999999E-2</v>
      </c>
      <c r="E469" s="123">
        <f t="shared" si="12"/>
        <v>8.9521599239888754E-6</v>
      </c>
      <c r="F469" s="200">
        <v>0.125</v>
      </c>
      <c r="G469" s="123">
        <f t="shared" si="13"/>
        <v>7.1958072824809311E-5</v>
      </c>
      <c r="I469" s="124"/>
      <c r="J469" s="124"/>
    </row>
    <row r="470" spans="1:10">
      <c r="A470" t="s">
        <v>1162</v>
      </c>
      <c r="B470" s="28" t="s">
        <v>1163</v>
      </c>
      <c r="C470" s="199">
        <v>6.7843023108988426E-4</v>
      </c>
      <c r="D470" s="200" t="s">
        <v>1301</v>
      </c>
      <c r="E470" s="123" t="str">
        <f t="shared" si="12"/>
        <v>n/a</v>
      </c>
      <c r="F470" s="200">
        <v>0.13005</v>
      </c>
      <c r="G470" s="123">
        <f t="shared" si="13"/>
        <v>8.8229851553239447E-5</v>
      </c>
      <c r="I470" s="124"/>
      <c r="J470" s="124"/>
    </row>
    <row r="471" spans="1:10">
      <c r="A471" t="s">
        <v>1164</v>
      </c>
      <c r="B471" s="28" t="s">
        <v>1165</v>
      </c>
      <c r="C471" s="199">
        <v>5.0292844587514294E-4</v>
      </c>
      <c r="D471" s="200" t="s">
        <v>1301</v>
      </c>
      <c r="E471" s="123" t="str">
        <f t="shared" ref="E471:E526" si="14">IFERROR($D471*$C471,"n/a")</f>
        <v>n/a</v>
      </c>
      <c r="F471" s="200">
        <v>0.1</v>
      </c>
      <c r="G471" s="123">
        <f t="shared" si="13"/>
        <v>5.0292844587514298E-5</v>
      </c>
      <c r="I471" s="124"/>
      <c r="J471" s="124"/>
    </row>
    <row r="472" spans="1:10">
      <c r="A472" t="s">
        <v>1168</v>
      </c>
      <c r="B472" s="28" t="s">
        <v>1169</v>
      </c>
      <c r="C472" s="199">
        <v>5.5374057510746029E-4</v>
      </c>
      <c r="D472" s="200" t="s">
        <v>1301</v>
      </c>
      <c r="E472" s="123" t="str">
        <f t="shared" si="14"/>
        <v>n/a</v>
      </c>
      <c r="F472" s="200">
        <v>0.19219999999999998</v>
      </c>
      <c r="G472" s="123">
        <f t="shared" ref="G472:G526" si="15">IFERROR($F472*$C472,"n/a")</f>
        <v>1.0642893853565386E-4</v>
      </c>
      <c r="I472" s="124"/>
      <c r="J472" s="124"/>
    </row>
    <row r="473" spans="1:10">
      <c r="A473" t="s">
        <v>1166</v>
      </c>
      <c r="B473" s="28" t="s">
        <v>1167</v>
      </c>
      <c r="C473" s="199">
        <v>3.6394736706412263E-4</v>
      </c>
      <c r="D473" s="200">
        <v>1.6598999999999999E-2</v>
      </c>
      <c r="E473" s="123">
        <f t="shared" si="14"/>
        <v>6.0411623458973712E-6</v>
      </c>
      <c r="F473" s="200">
        <v>9.8080000000000001E-2</v>
      </c>
      <c r="G473" s="123">
        <f t="shared" si="15"/>
        <v>3.5695957761649147E-5</v>
      </c>
      <c r="I473" s="124"/>
      <c r="J473" s="124"/>
    </row>
    <row r="474" spans="1:10">
      <c r="A474" t="s">
        <v>1170</v>
      </c>
      <c r="B474" s="28" t="s">
        <v>1171</v>
      </c>
      <c r="C474" s="199">
        <v>7.6052886429334469E-4</v>
      </c>
      <c r="D474" s="200">
        <v>2.7434E-2</v>
      </c>
      <c r="E474" s="123">
        <f t="shared" si="14"/>
        <v>2.0864348863023619E-5</v>
      </c>
      <c r="F474" s="200">
        <v>6.1449999999999998E-2</v>
      </c>
      <c r="G474" s="123">
        <f t="shared" si="15"/>
        <v>4.673449871082603E-5</v>
      </c>
      <c r="I474" s="124"/>
      <c r="J474" s="124"/>
    </row>
    <row r="475" spans="1:10">
      <c r="A475" t="s">
        <v>1172</v>
      </c>
      <c r="B475" s="28" t="s">
        <v>1173</v>
      </c>
      <c r="C475" s="199">
        <v>8.6048013590705053E-4</v>
      </c>
      <c r="D475" s="200">
        <v>3.9393999999999998E-2</v>
      </c>
      <c r="E475" s="123">
        <f t="shared" si="14"/>
        <v>3.3897754473922347E-5</v>
      </c>
      <c r="F475" s="200">
        <v>6.59E-2</v>
      </c>
      <c r="G475" s="123">
        <f t="shared" si="15"/>
        <v>5.6705640956274628E-5</v>
      </c>
      <c r="I475" s="124"/>
      <c r="J475" s="124"/>
    </row>
    <row r="476" spans="1:10">
      <c r="A476" t="s">
        <v>1174</v>
      </c>
      <c r="B476" s="28" t="s">
        <v>1175</v>
      </c>
      <c r="C476" s="199">
        <v>5.3793937741437024E-4</v>
      </c>
      <c r="D476" s="200">
        <v>5.6911000000000003E-2</v>
      </c>
      <c r="E476" s="123">
        <f t="shared" si="14"/>
        <v>3.0614667908029226E-5</v>
      </c>
      <c r="F476" s="200">
        <v>3.585E-2</v>
      </c>
      <c r="G476" s="123">
        <f t="shared" si="15"/>
        <v>1.9285126680305175E-5</v>
      </c>
      <c r="I476" s="124"/>
      <c r="J476" s="124"/>
    </row>
    <row r="477" spans="1:10">
      <c r="A477" t="s">
        <v>1176</v>
      </c>
      <c r="B477" s="28" t="s">
        <v>1177</v>
      </c>
      <c r="C477" s="199">
        <v>4.4187557344183454E-4</v>
      </c>
      <c r="D477" s="200">
        <v>4.4706000000000003E-2</v>
      </c>
      <c r="E477" s="123">
        <f t="shared" si="14"/>
        <v>1.9754489386290655E-5</v>
      </c>
      <c r="F477" s="200">
        <v>4.7249999999999993E-2</v>
      </c>
      <c r="G477" s="123">
        <f t="shared" si="15"/>
        <v>2.0878620845126678E-5</v>
      </c>
      <c r="I477" s="124"/>
      <c r="J477" s="124"/>
    </row>
    <row r="478" spans="1:10">
      <c r="A478" t="s">
        <v>1178</v>
      </c>
      <c r="B478" s="28" t="s">
        <v>1179</v>
      </c>
      <c r="C478" s="199">
        <v>8.7573641243026583E-4</v>
      </c>
      <c r="D478" s="200" t="s">
        <v>1301</v>
      </c>
      <c r="E478" s="123" t="str">
        <f t="shared" si="14"/>
        <v>n/a</v>
      </c>
      <c r="F478" s="200">
        <v>0.11207</v>
      </c>
      <c r="G478" s="123">
        <f t="shared" si="15"/>
        <v>9.8143779741059899E-5</v>
      </c>
      <c r="I478" s="124"/>
      <c r="J478" s="124"/>
    </row>
    <row r="479" spans="1:10">
      <c r="A479" t="s">
        <v>1180</v>
      </c>
      <c r="B479" s="28" t="s">
        <v>1181</v>
      </c>
      <c r="C479" s="199">
        <v>5.52721822969952E-4</v>
      </c>
      <c r="D479" s="200">
        <v>4.4454E-2</v>
      </c>
      <c r="E479" s="123">
        <f t="shared" si="14"/>
        <v>2.4570695918306248E-5</v>
      </c>
      <c r="F479" s="200">
        <v>2.7179999999999999E-2</v>
      </c>
      <c r="G479" s="123">
        <f t="shared" si="15"/>
        <v>1.5022979148323295E-5</v>
      </c>
      <c r="I479" s="124"/>
      <c r="J479" s="124"/>
    </row>
    <row r="480" spans="1:10">
      <c r="A480" t="s">
        <v>1182</v>
      </c>
      <c r="B480" s="28" t="s">
        <v>1183</v>
      </c>
      <c r="C480" s="199">
        <v>6.7509466455523449E-3</v>
      </c>
      <c r="D480" s="200">
        <v>3.2927999999999999E-2</v>
      </c>
      <c r="E480" s="123">
        <f t="shared" si="14"/>
        <v>2.2229517114474761E-4</v>
      </c>
      <c r="F480" s="200">
        <v>6.6830000000000001E-2</v>
      </c>
      <c r="G480" s="123">
        <f t="shared" si="15"/>
        <v>4.511657643222632E-4</v>
      </c>
      <c r="I480" s="124"/>
      <c r="J480" s="124"/>
    </row>
    <row r="481" spans="1:10">
      <c r="A481" t="s">
        <v>1184</v>
      </c>
      <c r="B481" s="28" t="s">
        <v>1185</v>
      </c>
      <c r="C481" s="199">
        <v>7.182346658288944E-4</v>
      </c>
      <c r="D481" s="200">
        <v>4.849E-3</v>
      </c>
      <c r="E481" s="123">
        <f t="shared" si="14"/>
        <v>3.482719894604309E-6</v>
      </c>
      <c r="F481" s="200">
        <v>0.15259999999999999</v>
      </c>
      <c r="G481" s="123">
        <f t="shared" si="15"/>
        <v>1.0960261000548928E-4</v>
      </c>
      <c r="I481" s="124"/>
      <c r="J481" s="124"/>
    </row>
    <row r="482" spans="1:10">
      <c r="A482" t="s">
        <v>1186</v>
      </c>
      <c r="B482" s="28" t="s">
        <v>1187</v>
      </c>
      <c r="C482" s="199">
        <v>3.1107482323784562E-4</v>
      </c>
      <c r="D482" s="200" t="s">
        <v>1301</v>
      </c>
      <c r="E482" s="123" t="str">
        <f t="shared" si="14"/>
        <v>n/a</v>
      </c>
      <c r="F482" s="200" t="s">
        <v>1301</v>
      </c>
      <c r="G482" s="123" t="str">
        <f t="shared" si="15"/>
        <v>n/a</v>
      </c>
      <c r="I482" s="124"/>
      <c r="J482" s="124"/>
    </row>
    <row r="483" spans="1:10">
      <c r="A483" t="s">
        <v>1188</v>
      </c>
      <c r="B483" s="28" t="s">
        <v>1189</v>
      </c>
      <c r="C483" s="199">
        <v>6.3825309712481793E-4</v>
      </c>
      <c r="D483" s="200">
        <v>3.3904999999999998E-2</v>
      </c>
      <c r="E483" s="123">
        <f t="shared" si="14"/>
        <v>2.1639971258016949E-5</v>
      </c>
      <c r="F483" s="200">
        <v>8.9329999999999993E-2</v>
      </c>
      <c r="G483" s="123">
        <f t="shared" si="15"/>
        <v>5.7015149166159983E-5</v>
      </c>
      <c r="I483" s="124"/>
      <c r="J483" s="124"/>
    </row>
    <row r="484" spans="1:10">
      <c r="A484" t="s">
        <v>1190</v>
      </c>
      <c r="B484" s="28" t="s">
        <v>1191</v>
      </c>
      <c r="C484" s="199">
        <v>6.753059470795893E-4</v>
      </c>
      <c r="D484" s="200">
        <v>1.3465E-2</v>
      </c>
      <c r="E484" s="123">
        <f t="shared" si="14"/>
        <v>9.0929945774266693E-6</v>
      </c>
      <c r="F484" s="200">
        <v>9.0730000000000005E-2</v>
      </c>
      <c r="G484" s="123">
        <f t="shared" si="15"/>
        <v>6.1270508578531137E-5</v>
      </c>
      <c r="I484" s="124"/>
      <c r="J484" s="124"/>
    </row>
    <row r="485" spans="1:10">
      <c r="A485" t="s">
        <v>1192</v>
      </c>
      <c r="B485" s="28" t="s">
        <v>1193</v>
      </c>
      <c r="C485" s="199">
        <v>4.447354848596536E-4</v>
      </c>
      <c r="D485" s="200">
        <v>2.9412000000000004E-2</v>
      </c>
      <c r="E485" s="123">
        <f t="shared" si="14"/>
        <v>1.3080560080692133E-5</v>
      </c>
      <c r="F485" s="200">
        <v>4.8100000000000004E-2</v>
      </c>
      <c r="G485" s="123">
        <f t="shared" si="15"/>
        <v>2.1391776821749341E-5</v>
      </c>
      <c r="I485" s="124"/>
      <c r="J485" s="124"/>
    </row>
    <row r="486" spans="1:10">
      <c r="A486" t="s">
        <v>1194</v>
      </c>
      <c r="B486" s="28" t="s">
        <v>1195</v>
      </c>
      <c r="C486" s="199">
        <v>4.1564903454073402E-4</v>
      </c>
      <c r="D486" s="200">
        <v>3.0775999999999998E-2</v>
      </c>
      <c r="E486" s="123">
        <f t="shared" si="14"/>
        <v>1.2792014687025629E-5</v>
      </c>
      <c r="F486" s="200">
        <v>4.2500000000000003E-2</v>
      </c>
      <c r="G486" s="123">
        <f t="shared" si="15"/>
        <v>1.7665083967981197E-5</v>
      </c>
      <c r="I486" s="124"/>
      <c r="J486" s="124"/>
    </row>
    <row r="487" spans="1:10">
      <c r="A487" t="s">
        <v>1196</v>
      </c>
      <c r="B487" s="28" t="s">
        <v>1197</v>
      </c>
      <c r="C487" s="199">
        <v>6.7090575785100283E-4</v>
      </c>
      <c r="D487" s="200">
        <v>1.6303999999999999E-2</v>
      </c>
      <c r="E487" s="123">
        <f t="shared" si="14"/>
        <v>1.093844747600275E-5</v>
      </c>
      <c r="F487" s="200">
        <v>2.257E-2</v>
      </c>
      <c r="G487" s="123">
        <f t="shared" si="15"/>
        <v>1.5142342954697134E-5</v>
      </c>
      <c r="I487" s="124"/>
      <c r="J487" s="124"/>
    </row>
    <row r="488" spans="1:10">
      <c r="A488" t="s">
        <v>628</v>
      </c>
      <c r="B488" s="28" t="s">
        <v>1198</v>
      </c>
      <c r="C488" s="199">
        <v>1.6629089194320321E-3</v>
      </c>
      <c r="D488" s="200">
        <v>7.3379999999999999E-3</v>
      </c>
      <c r="E488" s="123">
        <f t="shared" si="14"/>
        <v>1.2202425650792251E-5</v>
      </c>
      <c r="F488" s="200">
        <v>9.2200000000000004E-2</v>
      </c>
      <c r="G488" s="123">
        <f t="shared" si="15"/>
        <v>1.5332020237163337E-4</v>
      </c>
      <c r="I488" s="124"/>
      <c r="J488" s="124"/>
    </row>
    <row r="489" spans="1:10">
      <c r="A489" t="s">
        <v>1201</v>
      </c>
      <c r="B489" s="28" t="s">
        <v>1202</v>
      </c>
      <c r="C489" s="199">
        <v>4.9605274347653367E-4</v>
      </c>
      <c r="D489" s="200">
        <v>9.7160000000000007E-3</v>
      </c>
      <c r="E489" s="123">
        <f t="shared" si="14"/>
        <v>4.8196484556180017E-6</v>
      </c>
      <c r="F489" s="200">
        <v>0.18774999999999997</v>
      </c>
      <c r="G489" s="123">
        <f t="shared" si="15"/>
        <v>9.3133902587719182E-5</v>
      </c>
      <c r="I489" s="124"/>
      <c r="J489" s="124"/>
    </row>
    <row r="490" spans="1:10">
      <c r="A490" t="s">
        <v>1203</v>
      </c>
      <c r="B490" s="28" t="s">
        <v>1204</v>
      </c>
      <c r="C490" s="199">
        <v>1.0984083336701123E-3</v>
      </c>
      <c r="D490" s="200">
        <v>2.5945999999999997E-2</v>
      </c>
      <c r="E490" s="123">
        <f t="shared" si="14"/>
        <v>2.8499302625404729E-5</v>
      </c>
      <c r="F490" s="200">
        <v>-4.15E-3</v>
      </c>
      <c r="G490" s="123">
        <f t="shared" si="15"/>
        <v>-4.5583945847309658E-6</v>
      </c>
      <c r="I490" s="124"/>
      <c r="J490" s="124"/>
    </row>
    <row r="491" spans="1:10">
      <c r="A491" t="s">
        <v>1205</v>
      </c>
      <c r="B491" s="28" t="s">
        <v>1206</v>
      </c>
      <c r="C491" s="199">
        <v>4.0563439432287816E-4</v>
      </c>
      <c r="D491" s="200" t="s">
        <v>1301</v>
      </c>
      <c r="E491" s="123" t="str">
        <f t="shared" si="14"/>
        <v>n/a</v>
      </c>
      <c r="F491" s="200">
        <v>4.9530000000000005E-2</v>
      </c>
      <c r="G491" s="123">
        <f t="shared" si="15"/>
        <v>2.0091071550812158E-5</v>
      </c>
      <c r="I491" s="124"/>
      <c r="J491" s="124"/>
    </row>
    <row r="492" spans="1:10">
      <c r="A492" t="s">
        <v>1207</v>
      </c>
      <c r="B492" s="28" t="s">
        <v>1208</v>
      </c>
      <c r="C492" s="199">
        <v>3.0352788198547657E-4</v>
      </c>
      <c r="D492" s="200">
        <v>1.7479999999999999E-2</v>
      </c>
      <c r="E492" s="123">
        <f t="shared" si="14"/>
        <v>5.3056673771061303E-6</v>
      </c>
      <c r="F492" s="200">
        <v>0.10223</v>
      </c>
      <c r="G492" s="123">
        <f t="shared" si="15"/>
        <v>3.102965537537527E-5</v>
      </c>
      <c r="I492" s="124"/>
      <c r="J492" s="124"/>
    </row>
    <row r="493" spans="1:10">
      <c r="A493" t="s">
        <v>1209</v>
      </c>
      <c r="B493" s="28" t="s">
        <v>1210</v>
      </c>
      <c r="C493" s="199">
        <v>2.0709648856098253E-3</v>
      </c>
      <c r="D493" s="200" t="s">
        <v>1301</v>
      </c>
      <c r="E493" s="123" t="str">
        <f t="shared" si="14"/>
        <v>n/a</v>
      </c>
      <c r="F493" s="200">
        <v>0.46021999999999996</v>
      </c>
      <c r="G493" s="123">
        <f t="shared" si="15"/>
        <v>9.5309945965535371E-4</v>
      </c>
      <c r="I493" s="124"/>
      <c r="J493" s="124"/>
    </row>
    <row r="494" spans="1:10">
      <c r="A494" t="s">
        <v>1211</v>
      </c>
      <c r="B494" s="28" t="s">
        <v>1212</v>
      </c>
      <c r="C494" s="199">
        <v>1.687911741592955E-2</v>
      </c>
      <c r="D494" s="200" t="s">
        <v>1301</v>
      </c>
      <c r="E494" s="123" t="str">
        <f t="shared" si="14"/>
        <v>n/a</v>
      </c>
      <c r="F494" s="200">
        <v>0.21883</v>
      </c>
      <c r="G494" s="123">
        <f t="shared" si="15"/>
        <v>3.6936572641278636E-3</v>
      </c>
      <c r="I494" s="124"/>
      <c r="J494" s="124"/>
    </row>
    <row r="495" spans="1:10">
      <c r="A495" t="s">
        <v>1213</v>
      </c>
      <c r="B495" s="28" t="s">
        <v>1214</v>
      </c>
      <c r="C495" s="199">
        <v>4.2318566269008789E-4</v>
      </c>
      <c r="D495" s="200" t="s">
        <v>1301</v>
      </c>
      <c r="E495" s="123" t="str">
        <f t="shared" si="14"/>
        <v>n/a</v>
      </c>
      <c r="F495" s="200">
        <v>0.17760000000000001</v>
      </c>
      <c r="G495" s="123">
        <f t="shared" si="15"/>
        <v>7.5157773693759611E-5</v>
      </c>
      <c r="I495" s="124"/>
      <c r="J495" s="124"/>
    </row>
    <row r="496" spans="1:10">
      <c r="A496" t="s">
        <v>1215</v>
      </c>
      <c r="B496" s="28" t="s">
        <v>1216</v>
      </c>
      <c r="C496" s="199">
        <v>6.0116107979099598E-4</v>
      </c>
      <c r="D496" s="200">
        <v>2.9458999999999999E-2</v>
      </c>
      <c r="E496" s="123">
        <f t="shared" si="14"/>
        <v>1.7709604249562949E-5</v>
      </c>
      <c r="F496" s="200">
        <v>5.6399999999999999E-2</v>
      </c>
      <c r="G496" s="123">
        <f t="shared" si="15"/>
        <v>3.3905484900212175E-5</v>
      </c>
      <c r="I496" s="124"/>
      <c r="J496" s="124"/>
    </row>
    <row r="497" spans="1:10">
      <c r="A497" t="s">
        <v>1217</v>
      </c>
      <c r="B497" s="28" t="s">
        <v>1218</v>
      </c>
      <c r="C497" s="199">
        <v>6.714600939297054E-4</v>
      </c>
      <c r="D497" s="200" t="s">
        <v>1301</v>
      </c>
      <c r="E497" s="123" t="str">
        <f t="shared" si="14"/>
        <v>n/a</v>
      </c>
      <c r="F497" s="200">
        <v>0.28999999999999998</v>
      </c>
      <c r="G497" s="123">
        <f t="shared" si="15"/>
        <v>1.9472342723961456E-4</v>
      </c>
      <c r="I497" s="124"/>
      <c r="J497" s="124"/>
    </row>
    <row r="498" spans="1:10">
      <c r="A498" t="s">
        <v>1219</v>
      </c>
      <c r="B498" s="28" t="s">
        <v>1220</v>
      </c>
      <c r="C498" s="199">
        <v>1.438560170245225E-3</v>
      </c>
      <c r="D498" s="200">
        <v>2.8323000000000001E-2</v>
      </c>
      <c r="E498" s="123">
        <f t="shared" si="14"/>
        <v>4.0744339701855507E-5</v>
      </c>
      <c r="F498" s="200">
        <v>0.13064999999999999</v>
      </c>
      <c r="G498" s="123">
        <f t="shared" si="15"/>
        <v>1.8794788624253863E-4</v>
      </c>
      <c r="I498" s="124"/>
      <c r="J498" s="124"/>
    </row>
    <row r="499" spans="1:10">
      <c r="A499" t="s">
        <v>1221</v>
      </c>
      <c r="B499" s="28" t="s">
        <v>1222</v>
      </c>
      <c r="C499" s="199">
        <v>1.0093195398583569E-3</v>
      </c>
      <c r="D499" s="200" t="s">
        <v>1301</v>
      </c>
      <c r="E499" s="123" t="str">
        <f t="shared" si="14"/>
        <v>n/a</v>
      </c>
      <c r="F499" s="200">
        <v>0.14169999999999999</v>
      </c>
      <c r="G499" s="123">
        <f t="shared" si="15"/>
        <v>1.4302057879792915E-4</v>
      </c>
      <c r="I499" s="124"/>
      <c r="J499" s="124"/>
    </row>
    <row r="500" spans="1:10">
      <c r="A500" t="s">
        <v>1223</v>
      </c>
      <c r="B500" s="28" t="s">
        <v>1224</v>
      </c>
      <c r="C500" s="199">
        <v>1.0956678251992615E-4</v>
      </c>
      <c r="D500" s="200">
        <v>1.5467999999999999E-2</v>
      </c>
      <c r="E500" s="123">
        <f t="shared" si="14"/>
        <v>1.6947789920182176E-6</v>
      </c>
      <c r="F500" s="200">
        <v>0.188</v>
      </c>
      <c r="G500" s="123">
        <f t="shared" si="15"/>
        <v>2.0598555113746116E-5</v>
      </c>
      <c r="I500" s="124"/>
      <c r="J500" s="124"/>
    </row>
    <row r="501" spans="1:10">
      <c r="A501" t="s">
        <v>1225</v>
      </c>
      <c r="B501" s="28" t="s">
        <v>1226</v>
      </c>
      <c r="C501" s="199">
        <v>1.1427545042974282E-3</v>
      </c>
      <c r="D501" s="200" t="s">
        <v>1301</v>
      </c>
      <c r="E501" s="123" t="str">
        <f t="shared" si="14"/>
        <v>n/a</v>
      </c>
      <c r="F501" s="200">
        <v>0.17507</v>
      </c>
      <c r="G501" s="123">
        <f t="shared" si="15"/>
        <v>2.0006203106735077E-4</v>
      </c>
      <c r="I501" s="124"/>
      <c r="J501" s="124"/>
    </row>
    <row r="502" spans="1:10">
      <c r="A502" t="s">
        <v>1227</v>
      </c>
      <c r="B502" s="28" t="s">
        <v>1228</v>
      </c>
      <c r="C502" s="199">
        <v>2.7637359423310066E-4</v>
      </c>
      <c r="D502" s="200">
        <v>6.4991000000000007E-2</v>
      </c>
      <c r="E502" s="123">
        <f t="shared" si="14"/>
        <v>1.7961796262803448E-5</v>
      </c>
      <c r="F502" s="200">
        <v>2.58E-2</v>
      </c>
      <c r="G502" s="123">
        <f t="shared" si="15"/>
        <v>7.1304387312139973E-6</v>
      </c>
      <c r="I502" s="124"/>
      <c r="J502" s="124"/>
    </row>
    <row r="503" spans="1:10">
      <c r="A503" t="s">
        <v>1229</v>
      </c>
      <c r="B503" s="28" t="s">
        <v>1230</v>
      </c>
      <c r="C503" s="199">
        <v>4.7031910306806821E-4</v>
      </c>
      <c r="D503" s="200">
        <v>1.0867E-2</v>
      </c>
      <c r="E503" s="123">
        <f t="shared" si="14"/>
        <v>5.110957693040697E-6</v>
      </c>
      <c r="F503" s="200">
        <v>0.12230000000000001</v>
      </c>
      <c r="G503" s="123">
        <f t="shared" si="15"/>
        <v>5.7520026305224747E-5</v>
      </c>
      <c r="I503" s="124"/>
      <c r="J503" s="124"/>
    </row>
    <row r="504" spans="1:10">
      <c r="A504" t="s">
        <v>1231</v>
      </c>
      <c r="B504" s="28" t="s">
        <v>1232</v>
      </c>
      <c r="C504" s="199">
        <v>4.4232345313440042E-3</v>
      </c>
      <c r="D504" s="200" t="s">
        <v>1301</v>
      </c>
      <c r="E504" s="123" t="str">
        <f t="shared" si="14"/>
        <v>n/a</v>
      </c>
      <c r="F504" s="200">
        <v>0.22123000000000001</v>
      </c>
      <c r="G504" s="123">
        <f t="shared" si="15"/>
        <v>9.7855217536923405E-4</v>
      </c>
      <c r="I504" s="124"/>
      <c r="J504" s="124"/>
    </row>
    <row r="505" spans="1:10">
      <c r="A505" t="s">
        <v>1233</v>
      </c>
      <c r="B505" s="28" t="s">
        <v>1234</v>
      </c>
      <c r="C505" s="199">
        <v>2.4739994835989954E-4</v>
      </c>
      <c r="D505" s="200">
        <v>6.4433000000000004E-2</v>
      </c>
      <c r="E505" s="123">
        <f t="shared" si="14"/>
        <v>1.594072087267341E-5</v>
      </c>
      <c r="F505" s="200">
        <v>8.7780000000000011E-2</v>
      </c>
      <c r="G505" s="123">
        <f t="shared" si="15"/>
        <v>2.1716767467031983E-5</v>
      </c>
      <c r="I505" s="124"/>
      <c r="J505" s="124"/>
    </row>
    <row r="506" spans="1:10">
      <c r="A506" t="s">
        <v>1235</v>
      </c>
      <c r="B506" s="28" t="s">
        <v>1236</v>
      </c>
      <c r="C506" s="199">
        <v>2.9843988103183381E-4</v>
      </c>
      <c r="D506" s="200" t="s">
        <v>1301</v>
      </c>
      <c r="E506" s="123" t="str">
        <f t="shared" si="14"/>
        <v>n/a</v>
      </c>
      <c r="F506" s="200">
        <v>-0.20679999999999998</v>
      </c>
      <c r="G506" s="123">
        <f t="shared" si="15"/>
        <v>-6.1717367397383233E-5</v>
      </c>
      <c r="I506" s="124"/>
      <c r="J506" s="124"/>
    </row>
    <row r="507" spans="1:10">
      <c r="A507" t="s">
        <v>1237</v>
      </c>
      <c r="B507" s="28" t="s">
        <v>1238</v>
      </c>
      <c r="C507" s="199">
        <v>1.1644267177348885E-3</v>
      </c>
      <c r="D507" s="200" t="s">
        <v>1301</v>
      </c>
      <c r="E507" s="123" t="str">
        <f t="shared" si="14"/>
        <v>n/a</v>
      </c>
      <c r="F507" s="200">
        <v>0.16414000000000001</v>
      </c>
      <c r="G507" s="123">
        <f t="shared" si="15"/>
        <v>1.911290014490046E-4</v>
      </c>
      <c r="I507" s="124"/>
      <c r="J507" s="124"/>
    </row>
    <row r="508" spans="1:10">
      <c r="A508" t="s">
        <v>1239</v>
      </c>
      <c r="B508" s="28" t="s">
        <v>1240</v>
      </c>
      <c r="C508" s="199">
        <v>3.7795232070448448E-4</v>
      </c>
      <c r="D508" s="200">
        <v>2.5564999999999997E-2</v>
      </c>
      <c r="E508" s="123">
        <f t="shared" si="14"/>
        <v>9.6623510788101445E-6</v>
      </c>
      <c r="F508" s="200">
        <v>0.1</v>
      </c>
      <c r="G508" s="123">
        <f t="shared" si="15"/>
        <v>3.779523207044845E-5</v>
      </c>
      <c r="I508" s="124"/>
      <c r="J508" s="124"/>
    </row>
    <row r="509" spans="1:10">
      <c r="A509" t="s">
        <v>1241</v>
      </c>
      <c r="B509" s="28" t="s">
        <v>1242</v>
      </c>
      <c r="C509" s="199">
        <v>5.8670367610985598E-4</v>
      </c>
      <c r="D509" s="200" t="s">
        <v>1301</v>
      </c>
      <c r="E509" s="123" t="str">
        <f t="shared" si="14"/>
        <v>n/a</v>
      </c>
      <c r="F509" s="200">
        <v>0.18457000000000001</v>
      </c>
      <c r="G509" s="123">
        <f t="shared" si="15"/>
        <v>1.0828789749959613E-4</v>
      </c>
      <c r="I509" s="124"/>
      <c r="J509" s="124"/>
    </row>
    <row r="510" spans="1:10">
      <c r="A510" t="s">
        <v>1223</v>
      </c>
      <c r="B510" s="28" t="s">
        <v>1243</v>
      </c>
      <c r="C510" s="199">
        <v>2.0978982621621978E-4</v>
      </c>
      <c r="D510" s="200">
        <v>1.5587999999999999E-2</v>
      </c>
      <c r="E510" s="123">
        <f t="shared" si="14"/>
        <v>3.2702038110584338E-6</v>
      </c>
      <c r="F510" s="200">
        <v>0.188</v>
      </c>
      <c r="G510" s="123">
        <f t="shared" si="15"/>
        <v>3.944048732864932E-5</v>
      </c>
      <c r="I510" s="124"/>
      <c r="J510" s="124"/>
    </row>
    <row r="511" spans="1:10">
      <c r="A511" t="s">
        <v>1244</v>
      </c>
      <c r="B511" s="28" t="s">
        <v>1245</v>
      </c>
      <c r="C511" s="199">
        <v>7.5404826758505557E-4</v>
      </c>
      <c r="D511" s="200">
        <v>3.5599999999999998E-4</v>
      </c>
      <c r="E511" s="123">
        <f t="shared" si="14"/>
        <v>2.6844118326027977E-7</v>
      </c>
      <c r="F511" s="200">
        <v>0.14666999999999999</v>
      </c>
      <c r="G511" s="123">
        <f t="shared" si="15"/>
        <v>1.105962594067001E-4</v>
      </c>
      <c r="I511" s="124"/>
      <c r="J511" s="124"/>
    </row>
    <row r="512" spans="1:10">
      <c r="A512" t="s">
        <v>1246</v>
      </c>
      <c r="B512" s="28" t="s">
        <v>1247</v>
      </c>
      <c r="C512" s="199">
        <v>2.0621069853706394E-3</v>
      </c>
      <c r="D512" s="200">
        <v>3.8441999999999997E-2</v>
      </c>
      <c r="E512" s="123">
        <f t="shared" si="14"/>
        <v>7.9271516731618114E-5</v>
      </c>
      <c r="F512" s="200">
        <v>0.18232999999999999</v>
      </c>
      <c r="G512" s="123">
        <f t="shared" si="15"/>
        <v>3.7598396664262866E-4</v>
      </c>
      <c r="I512" s="124"/>
      <c r="J512" s="124"/>
    </row>
    <row r="513" spans="1:10">
      <c r="A513" t="s">
        <v>1248</v>
      </c>
      <c r="B513" s="28" t="s">
        <v>1249</v>
      </c>
      <c r="C513" s="199">
        <v>8.8497338712164317E-4</v>
      </c>
      <c r="D513" s="200">
        <v>1.1121000000000001E-2</v>
      </c>
      <c r="E513" s="123">
        <f t="shared" si="14"/>
        <v>9.8417890381797944E-6</v>
      </c>
      <c r="F513" s="200">
        <v>0.10393000000000001</v>
      </c>
      <c r="G513" s="123">
        <f t="shared" si="15"/>
        <v>9.1975284123552376E-5</v>
      </c>
      <c r="I513" s="124"/>
      <c r="J513" s="124"/>
    </row>
    <row r="514" spans="1:10">
      <c r="A514" t="s">
        <v>1250</v>
      </c>
      <c r="B514" s="28" t="s">
        <v>1251</v>
      </c>
      <c r="C514" s="199">
        <v>4.9259434608518943E-4</v>
      </c>
      <c r="D514" s="200">
        <v>1.5079999999999998E-3</v>
      </c>
      <c r="E514" s="123">
        <f t="shared" si="14"/>
        <v>7.4283227389646555E-7</v>
      </c>
      <c r="F514" s="200">
        <v>0.17367999999999997</v>
      </c>
      <c r="G514" s="123">
        <f t="shared" si="15"/>
        <v>8.5553786028075689E-5</v>
      </c>
      <c r="I514" s="124"/>
      <c r="J514" s="124"/>
    </row>
    <row r="515" spans="1:10">
      <c r="A515" t="s">
        <v>1283</v>
      </c>
      <c r="B515" s="28" t="s">
        <v>1284</v>
      </c>
      <c r="C515" s="199">
        <v>2.7089714297036003E-4</v>
      </c>
      <c r="D515" s="200" t="s">
        <v>1301</v>
      </c>
      <c r="E515" s="123" t="str">
        <f t="shared" si="14"/>
        <v>n/a</v>
      </c>
      <c r="F515" s="200">
        <v>6.2699999999999992E-2</v>
      </c>
      <c r="G515" s="123">
        <f t="shared" si="15"/>
        <v>1.6985250864241572E-5</v>
      </c>
      <c r="I515" s="124"/>
      <c r="J515" s="124"/>
    </row>
    <row r="516" spans="1:10">
      <c r="A516" t="s">
        <v>1252</v>
      </c>
      <c r="B516" s="28" t="s">
        <v>1253</v>
      </c>
      <c r="C516" s="199">
        <v>8.4522012058685825E-4</v>
      </c>
      <c r="D516" s="200" t="s">
        <v>1301</v>
      </c>
      <c r="E516" s="123" t="str">
        <f t="shared" si="14"/>
        <v>n/a</v>
      </c>
      <c r="F516" s="200">
        <v>0.23193000000000003</v>
      </c>
      <c r="G516" s="123">
        <f t="shared" si="15"/>
        <v>1.9603190256771004E-4</v>
      </c>
      <c r="I516" s="124"/>
      <c r="J516" s="124"/>
    </row>
    <row r="517" spans="1:10">
      <c r="A517" t="s">
        <v>1254</v>
      </c>
      <c r="B517" s="28" t="s">
        <v>1255</v>
      </c>
      <c r="C517" s="199">
        <v>1.7684276485660532E-3</v>
      </c>
      <c r="D517" s="200" t="s">
        <v>1301</v>
      </c>
      <c r="E517" s="123" t="str">
        <f t="shared" si="14"/>
        <v>n/a</v>
      </c>
      <c r="F517" s="200">
        <v>0.25159999999999999</v>
      </c>
      <c r="G517" s="123">
        <f t="shared" si="15"/>
        <v>4.44936396379219E-4</v>
      </c>
      <c r="I517" s="124"/>
      <c r="J517" s="124"/>
    </row>
    <row r="518" spans="1:10">
      <c r="A518" t="s">
        <v>1256</v>
      </c>
      <c r="B518" s="28" t="s">
        <v>1257</v>
      </c>
      <c r="C518" s="199">
        <v>4.1064103951273331E-4</v>
      </c>
      <c r="D518" s="200">
        <v>1.2839E-2</v>
      </c>
      <c r="E518" s="123">
        <f t="shared" si="14"/>
        <v>5.272220306303983E-6</v>
      </c>
      <c r="F518" s="200">
        <v>0.12176000000000001</v>
      </c>
      <c r="G518" s="123">
        <f t="shared" si="15"/>
        <v>4.9999652971070409E-5</v>
      </c>
      <c r="I518" s="124"/>
      <c r="J518" s="124"/>
    </row>
    <row r="519" spans="1:10">
      <c r="A519" t="s">
        <v>1258</v>
      </c>
      <c r="B519" s="28" t="s">
        <v>1259</v>
      </c>
      <c r="C519" s="199">
        <v>3.5415349669529428E-4</v>
      </c>
      <c r="D519" s="200" t="s">
        <v>1301</v>
      </c>
      <c r="E519" s="123" t="str">
        <f t="shared" si="14"/>
        <v>n/a</v>
      </c>
      <c r="F519" s="200">
        <v>0.13849999999999998</v>
      </c>
      <c r="G519" s="123">
        <f t="shared" si="15"/>
        <v>4.9050259292298251E-5</v>
      </c>
      <c r="I519" s="124"/>
      <c r="J519" s="124"/>
    </row>
    <row r="520" spans="1:10">
      <c r="A520" t="s">
        <v>1260</v>
      </c>
      <c r="B520" s="28" t="s">
        <v>1261</v>
      </c>
      <c r="C520" s="199">
        <v>3.8719731292507462E-4</v>
      </c>
      <c r="D520" s="200">
        <v>5.4516999999999996E-2</v>
      </c>
      <c r="E520" s="123">
        <f t="shared" si="14"/>
        <v>2.1108835908736291E-5</v>
      </c>
      <c r="F520" s="200" t="s">
        <v>1301</v>
      </c>
      <c r="G520" s="123" t="str">
        <f t="shared" si="15"/>
        <v>n/a</v>
      </c>
      <c r="I520" s="124"/>
      <c r="J520" s="124"/>
    </row>
    <row r="521" spans="1:10">
      <c r="A521" t="s">
        <v>1262</v>
      </c>
      <c r="B521" s="28" t="s">
        <v>1263</v>
      </c>
      <c r="C521" s="199">
        <v>5.5444417696747959E-4</v>
      </c>
      <c r="D521" s="200">
        <v>3.0644999999999999E-2</v>
      </c>
      <c r="E521" s="123">
        <f t="shared" si="14"/>
        <v>1.699094180316841E-5</v>
      </c>
      <c r="F521" s="200">
        <v>6.0250000000000005E-2</v>
      </c>
      <c r="G521" s="123">
        <f t="shared" si="15"/>
        <v>3.3405261662290647E-5</v>
      </c>
      <c r="I521" s="124"/>
      <c r="J521" s="124"/>
    </row>
    <row r="522" spans="1:10">
      <c r="A522" t="s">
        <v>1264</v>
      </c>
      <c r="B522" s="28" t="s">
        <v>1265</v>
      </c>
      <c r="C522" s="199">
        <v>3.0579078248875051E-4</v>
      </c>
      <c r="D522" s="200">
        <v>9.5569999999999995E-3</v>
      </c>
      <c r="E522" s="123">
        <f t="shared" si="14"/>
        <v>2.9224425082449884E-6</v>
      </c>
      <c r="F522" s="200">
        <v>0.63180000000000003</v>
      </c>
      <c r="G522" s="123">
        <f t="shared" si="15"/>
        <v>1.9319861637639258E-4</v>
      </c>
      <c r="I522" s="124"/>
      <c r="J522" s="124"/>
    </row>
    <row r="523" spans="1:10">
      <c r="A523" t="s">
        <v>1266</v>
      </c>
      <c r="B523" s="28" t="s">
        <v>1267</v>
      </c>
      <c r="C523" s="199">
        <v>1.7571521525517981E-3</v>
      </c>
      <c r="D523" s="200">
        <v>7.6139999999999992E-3</v>
      </c>
      <c r="E523" s="123">
        <f t="shared" si="14"/>
        <v>1.337895648952939E-5</v>
      </c>
      <c r="F523" s="200">
        <v>0.16183</v>
      </c>
      <c r="G523" s="123">
        <f t="shared" si="15"/>
        <v>2.8435993284745752E-4</v>
      </c>
      <c r="I523" s="124"/>
      <c r="J523" s="124"/>
    </row>
    <row r="524" spans="1:10">
      <c r="A524" t="s">
        <v>1268</v>
      </c>
      <c r="B524" s="28" t="s">
        <v>1269</v>
      </c>
      <c r="C524" s="199">
        <v>9.4864722712367777E-4</v>
      </c>
      <c r="D524" s="200">
        <v>3.7290000000000004E-2</v>
      </c>
      <c r="E524" s="123">
        <f t="shared" si="14"/>
        <v>3.5375055099441949E-5</v>
      </c>
      <c r="F524" s="200">
        <v>0.17986999999999997</v>
      </c>
      <c r="G524" s="123">
        <f t="shared" si="15"/>
        <v>1.706331767427359E-4</v>
      </c>
      <c r="I524" s="124"/>
      <c r="J524" s="124"/>
    </row>
    <row r="525" spans="1:10">
      <c r="A525" t="s">
        <v>1270</v>
      </c>
      <c r="B525" s="28" t="s">
        <v>1271</v>
      </c>
      <c r="C525" s="199">
        <v>1.3444752981841173E-3</v>
      </c>
      <c r="D525" s="200">
        <v>2.3147000000000001E-2</v>
      </c>
      <c r="E525" s="123">
        <f t="shared" si="14"/>
        <v>3.1120569727067762E-5</v>
      </c>
      <c r="F525" s="200">
        <v>0.19397999999999999</v>
      </c>
      <c r="G525" s="123">
        <f t="shared" si="15"/>
        <v>2.6080131834175504E-4</v>
      </c>
      <c r="I525" s="124"/>
      <c r="J525" s="124"/>
    </row>
    <row r="526" spans="1:10">
      <c r="A526" t="s">
        <v>1133</v>
      </c>
      <c r="B526" s="28" t="s">
        <v>1272</v>
      </c>
      <c r="C526" s="199">
        <v>4.075207736055476E-4</v>
      </c>
      <c r="D526" s="200" t="s">
        <v>1301</v>
      </c>
      <c r="E526" s="123" t="str">
        <f t="shared" si="14"/>
        <v>n/a</v>
      </c>
      <c r="F526" s="200">
        <v>0.12300000000000001</v>
      </c>
      <c r="G526" s="123">
        <f t="shared" si="15"/>
        <v>5.0125055153482359E-5</v>
      </c>
      <c r="I526" s="124"/>
      <c r="J526" s="124"/>
    </row>
    <row r="527" spans="1:10">
      <c r="A527" s="44"/>
      <c r="B527" s="122"/>
      <c r="C527" s="123"/>
      <c r="D527" s="123"/>
      <c r="E527" s="123"/>
      <c r="F527" s="123"/>
      <c r="G527" s="123"/>
    </row>
    <row r="528" spans="1:10">
      <c r="A528" s="44"/>
      <c r="B528" s="122"/>
      <c r="C528" s="123"/>
      <c r="D528" s="123"/>
      <c r="E528" s="123"/>
      <c r="F528" s="123"/>
      <c r="G528" s="123"/>
    </row>
    <row r="529" spans="1:7">
      <c r="A529" s="125" t="s">
        <v>27</v>
      </c>
      <c r="B529" s="122"/>
      <c r="C529" s="123"/>
      <c r="D529" s="123"/>
      <c r="E529" s="123"/>
      <c r="F529" s="123"/>
      <c r="G529" s="123"/>
    </row>
    <row r="530" spans="1:7">
      <c r="A530" s="109" t="s">
        <v>1273</v>
      </c>
      <c r="E530" s="44"/>
    </row>
    <row r="531" spans="1:7">
      <c r="A531" s="109" t="s">
        <v>1274</v>
      </c>
    </row>
    <row r="532" spans="1:7">
      <c r="A532" s="109" t="s">
        <v>1275</v>
      </c>
    </row>
    <row r="533" spans="1:7">
      <c r="A533" s="109" t="s">
        <v>1458</v>
      </c>
    </row>
    <row r="534" spans="1:7">
      <c r="A534" s="109" t="s">
        <v>1276</v>
      </c>
    </row>
    <row r="535" spans="1:7">
      <c r="A535" s="109" t="s">
        <v>1277</v>
      </c>
    </row>
    <row r="536" spans="1:7">
      <c r="A536" s="201" t="s">
        <v>1363</v>
      </c>
    </row>
    <row r="537" spans="1:7">
      <c r="A537" s="201" t="s">
        <v>1278</v>
      </c>
    </row>
    <row r="538" spans="1:7">
      <c r="A538" s="201" t="s">
        <v>1364</v>
      </c>
    </row>
    <row r="539" spans="1:7">
      <c r="A539" s="109" t="s">
        <v>1279</v>
      </c>
    </row>
  </sheetData>
  <mergeCells count="4">
    <mergeCell ref="A1:G1"/>
    <mergeCell ref="B4:D4"/>
    <mergeCell ref="B6:D6"/>
    <mergeCell ref="B8:D8"/>
  </mergeCells>
  <printOptions horizontalCentered="1"/>
  <pageMargins left="0.7" right="0.7" top="1.25" bottom="0.75" header="0.3" footer="0.3"/>
  <pageSetup scale="68" firstPageNumber="2" fitToHeight="6" orientation="portrait" useFirstPageNumber="1" r:id="rId1"/>
  <headerFooter>
    <oddHeader>&amp;RDocket No. UG-19____
Cascade Natural Gas Corp.
Exhibit No.___(AEB-2)
Schedule 5
Page &amp;P of 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R133"/>
  <sheetViews>
    <sheetView zoomScale="85" zoomScaleNormal="85" workbookViewId="0">
      <selection sqref="A1:XFD1048576"/>
    </sheetView>
  </sheetViews>
  <sheetFormatPr defaultColWidth="9" defaultRowHeight="12.75"/>
  <cols>
    <col min="1" max="1" width="2.28515625" style="47" customWidth="1"/>
    <col min="2" max="2" width="9.85546875" style="47" customWidth="1"/>
    <col min="3" max="3" width="9.85546875" style="47" bestFit="1" customWidth="1"/>
    <col min="4" max="4" width="9.85546875" style="47" customWidth="1"/>
    <col min="5" max="5" width="11" style="47" customWidth="1"/>
    <col min="6" max="6" width="9" style="47"/>
    <col min="7" max="7" width="40.28515625" style="47" customWidth="1"/>
    <col min="8" max="8" width="12.5703125" style="47" bestFit="1" customWidth="1"/>
    <col min="9" max="9" width="13.85546875" style="47" bestFit="1" customWidth="1"/>
    <col min="10" max="10" width="11.85546875" style="47" bestFit="1" customWidth="1"/>
    <col min="11" max="11" width="13.7109375" style="47" bestFit="1" customWidth="1"/>
    <col min="12" max="12" width="13.85546875" style="47" bestFit="1" customWidth="1"/>
    <col min="13" max="13" width="11" style="47" bestFit="1" customWidth="1"/>
    <col min="14" max="15" width="12.28515625" style="47" bestFit="1" customWidth="1"/>
    <col min="16" max="16" width="3.28515625" style="47" customWidth="1"/>
    <col min="17" max="16384" width="9" style="47"/>
  </cols>
  <sheetData>
    <row r="1" spans="2:18" ht="12.75" customHeight="1">
      <c r="B1" s="202"/>
      <c r="C1" s="202"/>
      <c r="D1" s="202"/>
      <c r="E1" s="202"/>
    </row>
    <row r="2" spans="2:18">
      <c r="B2" s="450" t="s">
        <v>1319</v>
      </c>
      <c r="C2" s="450"/>
      <c r="D2" s="450"/>
      <c r="E2" s="450"/>
    </row>
    <row r="4" spans="2:18" ht="13.5" thickBot="1">
      <c r="C4" s="50" t="s">
        <v>4</v>
      </c>
      <c r="D4" s="50" t="s">
        <v>5</v>
      </c>
      <c r="E4" s="50" t="s">
        <v>6</v>
      </c>
    </row>
    <row r="5" spans="2:18" ht="38.25">
      <c r="B5" s="203"/>
      <c r="C5" s="204" t="s">
        <v>33</v>
      </c>
      <c r="D5" s="204" t="s">
        <v>107</v>
      </c>
      <c r="E5" s="204" t="s">
        <v>32</v>
      </c>
    </row>
    <row r="6" spans="2:18">
      <c r="B6" s="49" t="s">
        <v>119</v>
      </c>
      <c r="C6" s="205">
        <v>0.12418</v>
      </c>
      <c r="D6" s="206">
        <v>7.8020624999999968E-2</v>
      </c>
      <c r="E6" s="205">
        <f>C6-D6</f>
        <v>4.615937500000003E-2</v>
      </c>
      <c r="Q6" s="207"/>
      <c r="R6" s="48"/>
    </row>
    <row r="7" spans="2:18">
      <c r="B7" s="49" t="s">
        <v>120</v>
      </c>
      <c r="C7" s="205">
        <v>0.11983333333333333</v>
      </c>
      <c r="D7" s="205">
        <v>7.8934374999999987E-2</v>
      </c>
      <c r="E7" s="205">
        <f t="shared" ref="E7:E70" si="0">C7-D7</f>
        <v>4.0898958333333346E-2</v>
      </c>
      <c r="Q7" s="207"/>
      <c r="R7" s="48"/>
    </row>
    <row r="8" spans="2:18">
      <c r="B8" s="49" t="s">
        <v>121</v>
      </c>
      <c r="C8" s="205">
        <v>0.11865999999999999</v>
      </c>
      <c r="D8" s="205">
        <v>7.4454461538461553E-2</v>
      </c>
      <c r="E8" s="205">
        <f t="shared" si="0"/>
        <v>4.4205538461538435E-2</v>
      </c>
      <c r="Q8" s="207"/>
      <c r="R8" s="48"/>
    </row>
    <row r="9" spans="2:18">
      <c r="B9" s="49" t="s">
        <v>122</v>
      </c>
      <c r="C9" s="205">
        <v>0.11939999999999999</v>
      </c>
      <c r="D9" s="205">
        <v>7.5184696969696943E-2</v>
      </c>
      <c r="E9" s="205">
        <f t="shared" si="0"/>
        <v>4.4215303030303049E-2</v>
      </c>
      <c r="Q9" s="207"/>
      <c r="R9" s="48"/>
    </row>
    <row r="10" spans="2:18">
      <c r="B10" s="49" t="s">
        <v>123</v>
      </c>
      <c r="C10" s="205">
        <v>0.11749999999999999</v>
      </c>
      <c r="D10" s="205">
        <v>7.0683968253968263E-2</v>
      </c>
      <c r="E10" s="205">
        <f t="shared" si="0"/>
        <v>4.681603174603173E-2</v>
      </c>
      <c r="Q10" s="207"/>
      <c r="R10" s="48"/>
    </row>
    <row r="11" spans="2:18">
      <c r="B11" s="49" t="s">
        <v>124</v>
      </c>
      <c r="C11" s="205">
        <v>0.11708333333333333</v>
      </c>
      <c r="D11" s="205">
        <v>6.8553230769230741E-2</v>
      </c>
      <c r="E11" s="205">
        <f t="shared" si="0"/>
        <v>4.853010256410259E-2</v>
      </c>
      <c r="Q11" s="207"/>
      <c r="R11" s="48"/>
    </row>
    <row r="12" spans="2:18">
      <c r="B12" s="50" t="s">
        <v>125</v>
      </c>
      <c r="C12" s="205">
        <v>0.11387499999999999</v>
      </c>
      <c r="D12" s="205">
        <v>6.3142727272727309E-2</v>
      </c>
      <c r="E12" s="205">
        <f t="shared" si="0"/>
        <v>5.0732272727272681E-2</v>
      </c>
      <c r="Q12" s="207"/>
      <c r="R12" s="48"/>
    </row>
    <row r="13" spans="2:18">
      <c r="B13" s="50" t="s">
        <v>126</v>
      </c>
      <c r="C13" s="205">
        <v>0.11155555555555557</v>
      </c>
      <c r="D13" s="205">
        <v>6.1389999999999986E-2</v>
      </c>
      <c r="E13" s="205">
        <f t="shared" si="0"/>
        <v>5.0165555555555588E-2</v>
      </c>
      <c r="Q13" s="207"/>
      <c r="R13" s="48"/>
    </row>
    <row r="14" spans="2:18">
      <c r="B14" s="50" t="s">
        <v>127</v>
      </c>
      <c r="C14" s="205">
        <v>0.11120000000000001</v>
      </c>
      <c r="D14" s="205">
        <v>6.5745156249999992E-2</v>
      </c>
      <c r="E14" s="205">
        <f t="shared" si="0"/>
        <v>4.5454843750000015E-2</v>
      </c>
      <c r="Q14" s="207"/>
      <c r="R14" s="48"/>
    </row>
    <row r="15" spans="2:18">
      <c r="B15" s="50" t="s">
        <v>128</v>
      </c>
      <c r="C15" s="205">
        <v>0.10834999999999999</v>
      </c>
      <c r="D15" s="205">
        <v>7.3526307692307669E-2</v>
      </c>
      <c r="E15" s="205">
        <f t="shared" si="0"/>
        <v>3.4823692307692319E-2</v>
      </c>
      <c r="Q15" s="207"/>
      <c r="R15" s="48"/>
    </row>
    <row r="16" spans="2:18">
      <c r="B16" s="50" t="s">
        <v>129</v>
      </c>
      <c r="C16" s="205">
        <v>0.10866666666666668</v>
      </c>
      <c r="D16" s="205">
        <v>7.5847727272727289E-2</v>
      </c>
      <c r="E16" s="205">
        <f t="shared" si="0"/>
        <v>3.2818939393939386E-2</v>
      </c>
      <c r="Q16" s="207"/>
      <c r="R16" s="48"/>
    </row>
    <row r="17" spans="2:18">
      <c r="B17" s="50" t="s">
        <v>130</v>
      </c>
      <c r="C17" s="205">
        <v>0.11525833333333334</v>
      </c>
      <c r="D17" s="205">
        <v>7.9568461538461532E-2</v>
      </c>
      <c r="E17" s="205">
        <f t="shared" si="0"/>
        <v>3.5689871794871805E-2</v>
      </c>
      <c r="Q17" s="207"/>
      <c r="R17" s="48"/>
    </row>
    <row r="18" spans="2:18">
      <c r="B18" s="50" t="s">
        <v>131</v>
      </c>
      <c r="C18" s="205">
        <v>0.11</v>
      </c>
      <c r="D18" s="205">
        <v>6.9425846153846171E-2</v>
      </c>
      <c r="E18" s="205">
        <f t="shared" si="0"/>
        <v>4.0574153846153829E-2</v>
      </c>
      <c r="Q18" s="207"/>
      <c r="R18" s="48"/>
    </row>
    <row r="19" spans="2:18">
      <c r="B19" s="50" t="s">
        <v>132</v>
      </c>
      <c r="C19" s="205">
        <v>0.11066666666666668</v>
      </c>
      <c r="D19" s="205">
        <v>6.7118615384615374E-2</v>
      </c>
      <c r="E19" s="205">
        <f t="shared" si="0"/>
        <v>4.3548051282051303E-2</v>
      </c>
      <c r="Q19" s="207"/>
      <c r="R19" s="48"/>
    </row>
    <row r="20" spans="2:18">
      <c r="B20" s="50" t="s">
        <v>133</v>
      </c>
      <c r="C20" s="205">
        <v>0.11606666666666667</v>
      </c>
      <c r="D20" s="205">
        <v>6.2348153846153817E-2</v>
      </c>
      <c r="E20" s="205">
        <f t="shared" si="0"/>
        <v>5.3718512820512848E-2</v>
      </c>
      <c r="Q20" s="207"/>
      <c r="R20" s="48"/>
    </row>
    <row r="21" spans="2:18">
      <c r="B21" s="50" t="s">
        <v>134</v>
      </c>
      <c r="C21" s="205">
        <v>0.11449999999999999</v>
      </c>
      <c r="D21" s="205">
        <v>6.2925692307692321E-2</v>
      </c>
      <c r="E21" s="205">
        <f t="shared" si="0"/>
        <v>5.1574307692307669E-2</v>
      </c>
      <c r="Q21" s="207"/>
      <c r="R21" s="48"/>
    </row>
    <row r="22" spans="2:18">
      <c r="B22" s="50" t="s">
        <v>135</v>
      </c>
      <c r="C22" s="205">
        <v>0.10875</v>
      </c>
      <c r="D22" s="205">
        <v>6.9183230769230789E-2</v>
      </c>
      <c r="E22" s="205">
        <f t="shared" si="0"/>
        <v>3.9566769230769211E-2</v>
      </c>
      <c r="Q22" s="207"/>
      <c r="R22" s="48"/>
    </row>
    <row r="23" spans="2:18">
      <c r="B23" s="50" t="s">
        <v>136</v>
      </c>
      <c r="C23" s="205">
        <v>0.1125</v>
      </c>
      <c r="D23" s="205">
        <v>6.9644696969696968E-2</v>
      </c>
      <c r="E23" s="205">
        <f t="shared" si="0"/>
        <v>4.2855303030303035E-2</v>
      </c>
      <c r="Q23" s="207"/>
      <c r="R23" s="48"/>
    </row>
    <row r="24" spans="2:18">
      <c r="B24" s="50" t="s">
        <v>137</v>
      </c>
      <c r="C24" s="205">
        <v>0.11194285714285715</v>
      </c>
      <c r="D24" s="205">
        <v>6.6189999999999999E-2</v>
      </c>
      <c r="E24" s="205">
        <f t="shared" si="0"/>
        <v>4.5752857142857151E-2</v>
      </c>
      <c r="R24" s="48"/>
    </row>
    <row r="25" spans="2:18">
      <c r="B25" s="50" t="s">
        <v>138</v>
      </c>
      <c r="C25" s="205">
        <v>0.11307142857142857</v>
      </c>
      <c r="D25" s="205">
        <v>6.8133281250000011E-2</v>
      </c>
      <c r="E25" s="205">
        <f t="shared" si="0"/>
        <v>4.4938147321428562E-2</v>
      </c>
      <c r="G25" s="13" t="s">
        <v>35</v>
      </c>
      <c r="H25" s="13"/>
      <c r="I25" s="13"/>
      <c r="J25" s="13"/>
      <c r="K25" s="13"/>
      <c r="L25" s="13"/>
      <c r="M25" s="13"/>
      <c r="N25" s="13"/>
      <c r="O25" s="13"/>
      <c r="R25" s="48"/>
    </row>
    <row r="26" spans="2:18" ht="13.5" thickBot="1">
      <c r="B26" s="50" t="s">
        <v>139</v>
      </c>
      <c r="C26" s="205">
        <v>0.11699999999999999</v>
      </c>
      <c r="D26" s="205">
        <v>6.9324153846153841E-2</v>
      </c>
      <c r="E26" s="205">
        <f t="shared" si="0"/>
        <v>4.7675846153846152E-2</v>
      </c>
      <c r="G26" s="13"/>
      <c r="H26" s="13"/>
      <c r="I26" s="13"/>
      <c r="J26" s="13"/>
      <c r="K26" s="13"/>
      <c r="L26" s="13"/>
      <c r="M26" s="13"/>
      <c r="N26" s="13"/>
      <c r="O26" s="13"/>
      <c r="R26" s="48"/>
    </row>
    <row r="27" spans="2:18">
      <c r="B27" s="50" t="s">
        <v>140</v>
      </c>
      <c r="C27" s="205">
        <v>0.12</v>
      </c>
      <c r="D27" s="205">
        <v>6.5281666666666668E-2</v>
      </c>
      <c r="E27" s="205">
        <f t="shared" si="0"/>
        <v>5.4718333333333327E-2</v>
      </c>
      <c r="G27" s="208" t="s">
        <v>36</v>
      </c>
      <c r="H27" s="208"/>
      <c r="I27" s="13"/>
      <c r="J27" s="13"/>
      <c r="K27" s="13"/>
      <c r="L27" s="13"/>
      <c r="M27" s="13"/>
      <c r="N27" s="13"/>
      <c r="O27" s="13"/>
      <c r="R27" s="48"/>
    </row>
    <row r="28" spans="2:18">
      <c r="B28" s="49" t="s">
        <v>141</v>
      </c>
      <c r="C28" s="205">
        <v>0.10916666666666668</v>
      </c>
      <c r="D28" s="205">
        <v>6.1372272727272741E-2</v>
      </c>
      <c r="E28" s="205">
        <f t="shared" si="0"/>
        <v>4.7794393939393935E-2</v>
      </c>
      <c r="G28" s="13" t="s">
        <v>37</v>
      </c>
      <c r="H28" s="209">
        <v>0.90366057309223524</v>
      </c>
      <c r="I28" s="13"/>
      <c r="J28" s="13"/>
      <c r="K28" s="13"/>
      <c r="L28" s="13"/>
      <c r="M28" s="13"/>
      <c r="N28" s="13"/>
      <c r="O28" s="13"/>
      <c r="R28" s="48"/>
    </row>
    <row r="29" spans="2:18">
      <c r="B29" s="50" t="s">
        <v>142</v>
      </c>
      <c r="C29" s="205">
        <v>0.11366666666666665</v>
      </c>
      <c r="D29" s="205">
        <v>5.8462461538461553E-2</v>
      </c>
      <c r="E29" s="205">
        <f t="shared" si="0"/>
        <v>5.5204205128205099E-2</v>
      </c>
      <c r="G29" s="13" t="s">
        <v>38</v>
      </c>
      <c r="H29" s="209">
        <v>0.8166024313613871</v>
      </c>
      <c r="I29" s="13"/>
      <c r="J29" s="13"/>
      <c r="K29" s="13"/>
      <c r="L29" s="13"/>
      <c r="M29" s="13"/>
      <c r="N29" s="13"/>
      <c r="O29" s="13"/>
      <c r="R29" s="48"/>
    </row>
    <row r="30" spans="2:18">
      <c r="B30" s="50" t="s">
        <v>143</v>
      </c>
      <c r="C30" s="205">
        <v>0.11409999999999999</v>
      </c>
      <c r="D30" s="205">
        <v>5.4731969696969689E-2</v>
      </c>
      <c r="E30" s="205">
        <f t="shared" si="0"/>
        <v>5.9368030303030304E-2</v>
      </c>
      <c r="G30" s="13" t="s">
        <v>39</v>
      </c>
      <c r="H30" s="209">
        <v>0.81482187244256565</v>
      </c>
      <c r="I30" s="13"/>
      <c r="J30" s="13"/>
      <c r="K30" s="13"/>
      <c r="L30" s="13"/>
      <c r="M30" s="13"/>
      <c r="N30" s="13"/>
      <c r="O30" s="13"/>
      <c r="R30" s="48"/>
    </row>
    <row r="31" spans="2:18">
      <c r="B31" s="50" t="s">
        <v>144</v>
      </c>
      <c r="C31" s="205">
        <v>0.1169</v>
      </c>
      <c r="D31" s="205">
        <v>5.1047272727272747E-2</v>
      </c>
      <c r="E31" s="205">
        <f t="shared" si="0"/>
        <v>6.5852727272727257E-2</v>
      </c>
      <c r="G31" s="13" t="s">
        <v>40</v>
      </c>
      <c r="H31" s="209">
        <v>3.9420345889640352E-3</v>
      </c>
      <c r="I31" s="13"/>
      <c r="J31" s="13"/>
      <c r="K31" s="13"/>
      <c r="L31" s="13"/>
      <c r="M31" s="13"/>
      <c r="N31" s="13"/>
      <c r="O31" s="13"/>
      <c r="R31" s="48"/>
    </row>
    <row r="32" spans="2:18" ht="13.5" thickBot="1">
      <c r="B32" s="49" t="s">
        <v>145</v>
      </c>
      <c r="C32" s="205">
        <v>0.10816666666666667</v>
      </c>
      <c r="D32" s="205">
        <v>5.3729687500000019E-2</v>
      </c>
      <c r="E32" s="205">
        <f t="shared" si="0"/>
        <v>5.4436979166666656E-2</v>
      </c>
      <c r="G32" s="210" t="s">
        <v>41</v>
      </c>
      <c r="H32" s="210">
        <v>105</v>
      </c>
      <c r="I32" s="13"/>
      <c r="J32" s="13"/>
      <c r="K32" s="13"/>
      <c r="L32" s="13"/>
      <c r="M32" s="13"/>
      <c r="N32" s="13"/>
      <c r="O32" s="13"/>
      <c r="R32" s="48"/>
    </row>
    <row r="33" spans="2:18">
      <c r="B33" s="49" t="s">
        <v>146</v>
      </c>
      <c r="C33" s="205">
        <v>0.1125</v>
      </c>
      <c r="D33" s="205">
        <v>5.794030769230768E-2</v>
      </c>
      <c r="E33" s="205">
        <f t="shared" si="0"/>
        <v>5.4559692307692323E-2</v>
      </c>
      <c r="G33" s="13"/>
      <c r="H33" s="13"/>
      <c r="I33" s="13"/>
      <c r="J33" s="13"/>
      <c r="K33" s="13"/>
      <c r="L33" s="13"/>
      <c r="M33" s="13"/>
      <c r="N33" s="13"/>
      <c r="O33" s="13"/>
      <c r="R33" s="48"/>
    </row>
    <row r="34" spans="2:18" ht="13.5" thickBot="1">
      <c r="B34" s="49" t="s">
        <v>147</v>
      </c>
      <c r="C34" s="205">
        <v>0.10375</v>
      </c>
      <c r="D34" s="205">
        <v>6.2528484848484861E-2</v>
      </c>
      <c r="E34" s="205">
        <f t="shared" si="0"/>
        <v>4.1221515151515134E-2</v>
      </c>
      <c r="G34" s="13" t="s">
        <v>42</v>
      </c>
      <c r="H34" s="13"/>
      <c r="I34" s="13"/>
      <c r="J34" s="13"/>
      <c r="K34" s="13"/>
      <c r="L34" s="13"/>
      <c r="M34" s="13"/>
      <c r="N34" s="13"/>
      <c r="O34" s="13"/>
      <c r="R34" s="48"/>
    </row>
    <row r="35" spans="2:18">
      <c r="B35" s="50" t="s">
        <v>148</v>
      </c>
      <c r="C35" s="205">
        <v>0.10655000000000001</v>
      </c>
      <c r="D35" s="205">
        <v>6.2912615384615386E-2</v>
      </c>
      <c r="E35" s="205">
        <f t="shared" si="0"/>
        <v>4.363738461538462E-2</v>
      </c>
      <c r="G35" s="211"/>
      <c r="H35" s="211" t="s">
        <v>43</v>
      </c>
      <c r="I35" s="211" t="s">
        <v>44</v>
      </c>
      <c r="J35" s="211" t="s">
        <v>29</v>
      </c>
      <c r="K35" s="211" t="s">
        <v>28</v>
      </c>
      <c r="L35" s="211" t="s">
        <v>45</v>
      </c>
      <c r="M35" s="13"/>
      <c r="N35" s="13"/>
      <c r="O35" s="13"/>
      <c r="R35" s="48"/>
    </row>
    <row r="36" spans="2:18">
      <c r="B36" s="49" t="s">
        <v>149</v>
      </c>
      <c r="C36" s="205">
        <v>0.11033333333333334</v>
      </c>
      <c r="D36" s="205">
        <v>5.9723230769230765E-2</v>
      </c>
      <c r="E36" s="205">
        <f t="shared" si="0"/>
        <v>5.0610102564102574E-2</v>
      </c>
      <c r="G36" s="13" t="s">
        <v>46</v>
      </c>
      <c r="H36" s="13">
        <v>1</v>
      </c>
      <c r="I36" s="209">
        <v>7.1268100022056895E-3</v>
      </c>
      <c r="J36" s="209">
        <v>7.1268100022056895E-3</v>
      </c>
      <c r="K36" s="209">
        <v>458.6214040599566</v>
      </c>
      <c r="L36" s="209">
        <v>1.0053260978683413E-39</v>
      </c>
      <c r="M36" s="13"/>
      <c r="N36" s="13"/>
      <c r="O36" s="13"/>
      <c r="R36" s="48"/>
    </row>
    <row r="37" spans="2:18">
      <c r="B37" s="50" t="s">
        <v>150</v>
      </c>
      <c r="C37" s="205">
        <v>0.11334</v>
      </c>
      <c r="D37" s="205">
        <v>5.7871875000000017E-2</v>
      </c>
      <c r="E37" s="205">
        <f t="shared" si="0"/>
        <v>5.5468124999999979E-2</v>
      </c>
      <c r="G37" s="13" t="s">
        <v>47</v>
      </c>
      <c r="H37" s="13">
        <v>103</v>
      </c>
      <c r="I37" s="209">
        <v>1.6005825801606516E-3</v>
      </c>
      <c r="J37" s="209">
        <v>1.553963670058885E-5</v>
      </c>
      <c r="K37" s="209"/>
      <c r="L37" s="209"/>
      <c r="M37" s="13"/>
      <c r="N37" s="13"/>
      <c r="O37" s="13"/>
      <c r="R37" s="48"/>
    </row>
    <row r="38" spans="2:18" ht="13.5" thickBot="1">
      <c r="B38" s="50" t="s">
        <v>151</v>
      </c>
      <c r="C38" s="205">
        <v>0.121</v>
      </c>
      <c r="D38" s="205">
        <v>5.686107692307691E-2</v>
      </c>
      <c r="E38" s="205">
        <f t="shared" si="0"/>
        <v>6.4138923076923093E-2</v>
      </c>
      <c r="G38" s="210" t="s">
        <v>3</v>
      </c>
      <c r="H38" s="210">
        <v>104</v>
      </c>
      <c r="I38" s="212">
        <v>8.7273925823663414E-3</v>
      </c>
      <c r="J38" s="212"/>
      <c r="K38" s="212"/>
      <c r="L38" s="212"/>
      <c r="M38" s="13"/>
      <c r="N38" s="13"/>
      <c r="O38" s="13"/>
      <c r="R38" s="48"/>
    </row>
    <row r="39" spans="2:18" ht="13.5" thickBot="1">
      <c r="B39" s="49" t="s">
        <v>152</v>
      </c>
      <c r="C39" s="205">
        <v>0.11375</v>
      </c>
      <c r="D39" s="205">
        <v>5.4425937500000014E-2</v>
      </c>
      <c r="E39" s="205">
        <f t="shared" si="0"/>
        <v>5.932406249999999E-2</v>
      </c>
      <c r="G39" s="13"/>
      <c r="H39" s="13"/>
      <c r="I39" s="13"/>
      <c r="J39" s="13"/>
      <c r="K39" s="13"/>
      <c r="L39" s="13"/>
      <c r="M39" s="13"/>
      <c r="N39" s="13"/>
      <c r="O39" s="13"/>
      <c r="R39" s="48"/>
    </row>
    <row r="40" spans="2:18">
      <c r="B40" s="50" t="s">
        <v>153</v>
      </c>
      <c r="C40" s="205">
        <v>0.1075</v>
      </c>
      <c r="D40" s="205">
        <v>5.699338461538464E-2</v>
      </c>
      <c r="E40" s="205">
        <f t="shared" si="0"/>
        <v>5.0506615384615358E-2</v>
      </c>
      <c r="G40" s="211"/>
      <c r="H40" s="211" t="s">
        <v>48</v>
      </c>
      <c r="I40" s="211" t="s">
        <v>40</v>
      </c>
      <c r="J40" s="211" t="s">
        <v>49</v>
      </c>
      <c r="K40" s="211" t="s">
        <v>50</v>
      </c>
      <c r="L40" s="211" t="s">
        <v>51</v>
      </c>
      <c r="M40" s="211" t="s">
        <v>52</v>
      </c>
      <c r="N40" s="211" t="s">
        <v>88</v>
      </c>
      <c r="O40" s="211" t="s">
        <v>89</v>
      </c>
      <c r="R40" s="48"/>
    </row>
    <row r="41" spans="2:18">
      <c r="B41" s="50" t="s">
        <v>154</v>
      </c>
      <c r="C41" s="205">
        <v>0.10650000000000001</v>
      </c>
      <c r="D41" s="205">
        <v>5.2970909090909089E-2</v>
      </c>
      <c r="E41" s="205">
        <f t="shared" si="0"/>
        <v>5.3529090909090922E-2</v>
      </c>
      <c r="G41" s="13" t="s">
        <v>53</v>
      </c>
      <c r="H41" s="213">
        <v>8.3918530054620966E-2</v>
      </c>
      <c r="I41" s="209">
        <v>1.3034953729863508E-3</v>
      </c>
      <c r="J41" s="214">
        <v>64.379614836960144</v>
      </c>
      <c r="K41" s="209">
        <v>5.1369598437764384E-85</v>
      </c>
      <c r="L41" s="209">
        <v>8.1333354418499024E-2</v>
      </c>
      <c r="M41" s="209">
        <v>8.6503705690742907E-2</v>
      </c>
      <c r="N41" s="209">
        <v>8.1333354418499024E-2</v>
      </c>
      <c r="O41" s="209">
        <v>8.6503705690742907E-2</v>
      </c>
      <c r="R41" s="48"/>
    </row>
    <row r="42" spans="2:18" ht="13.5" thickBot="1">
      <c r="B42" s="49" t="s">
        <v>155</v>
      </c>
      <c r="C42" s="205">
        <v>0.10666666666666667</v>
      </c>
      <c r="D42" s="205">
        <v>5.5132187499999999E-2</v>
      </c>
      <c r="E42" s="205">
        <f t="shared" si="0"/>
        <v>5.1534479166666675E-2</v>
      </c>
      <c r="G42" s="210" t="s">
        <v>107</v>
      </c>
      <c r="H42" s="215">
        <v>-0.55428266926183822</v>
      </c>
      <c r="I42" s="212">
        <v>2.588237587599538E-2</v>
      </c>
      <c r="J42" s="216">
        <v>-21.415447790320822</v>
      </c>
      <c r="K42" s="212">
        <v>1.0053260978682983E-39</v>
      </c>
      <c r="L42" s="212">
        <v>-0.60561425731824947</v>
      </c>
      <c r="M42" s="212">
        <v>-0.50295108120542698</v>
      </c>
      <c r="N42" s="212">
        <v>-0.60561425731824947</v>
      </c>
      <c r="O42" s="212">
        <v>-0.50295108120542698</v>
      </c>
      <c r="R42" s="48"/>
    </row>
    <row r="43" spans="2:18">
      <c r="B43" s="50" t="s">
        <v>156</v>
      </c>
      <c r="C43" s="205">
        <v>0.116425</v>
      </c>
      <c r="D43" s="205">
        <v>5.6129153846153849E-2</v>
      </c>
      <c r="E43" s="205">
        <f t="shared" si="0"/>
        <v>6.0295846153846151E-2</v>
      </c>
      <c r="G43" s="13"/>
      <c r="H43" s="13"/>
      <c r="I43" s="13"/>
      <c r="J43" s="13"/>
      <c r="K43" s="13"/>
      <c r="L43" s="13"/>
      <c r="M43" s="13"/>
      <c r="N43" s="13"/>
      <c r="O43" s="13"/>
      <c r="R43" s="48"/>
    </row>
    <row r="44" spans="2:18">
      <c r="B44" s="50" t="s">
        <v>157</v>
      </c>
      <c r="C44" s="205">
        <v>0.11499999999999999</v>
      </c>
      <c r="D44" s="205">
        <v>5.0848590909090899E-2</v>
      </c>
      <c r="E44" s="205">
        <f t="shared" si="0"/>
        <v>6.4151409090909092E-2</v>
      </c>
      <c r="G44" s="13"/>
      <c r="H44" s="13"/>
      <c r="I44" s="13"/>
      <c r="J44" s="13"/>
      <c r="K44" s="13"/>
      <c r="L44" s="13"/>
      <c r="M44" s="13"/>
      <c r="N44" s="13"/>
      <c r="O44" s="13"/>
      <c r="R44" s="48"/>
    </row>
    <row r="45" spans="2:18">
      <c r="B45" s="49" t="s">
        <v>158</v>
      </c>
      <c r="C45" s="205">
        <v>0.1101111111111111</v>
      </c>
      <c r="D45" s="205">
        <v>4.9307318181818195E-2</v>
      </c>
      <c r="E45" s="205">
        <f t="shared" si="0"/>
        <v>6.0803792929292909E-2</v>
      </c>
      <c r="G45" s="13"/>
      <c r="H45" s="13"/>
      <c r="I45" s="13"/>
      <c r="J45" s="13"/>
      <c r="K45" s="13"/>
      <c r="L45" s="13"/>
      <c r="M45" s="13"/>
      <c r="N45" s="13"/>
      <c r="O45" s="13"/>
      <c r="R45" s="48"/>
    </row>
    <row r="46" spans="2:18" ht="13.5" thickBot="1">
      <c r="B46" s="50" t="s">
        <v>159</v>
      </c>
      <c r="C46" s="205">
        <v>0.11381999999999999</v>
      </c>
      <c r="D46" s="205">
        <v>4.8490953125E-2</v>
      </c>
      <c r="E46" s="205">
        <f t="shared" si="0"/>
        <v>6.5329046874999991E-2</v>
      </c>
      <c r="G46" s="13"/>
      <c r="H46" s="13"/>
      <c r="I46" s="13"/>
      <c r="J46" s="217" t="s">
        <v>10</v>
      </c>
      <c r="K46" s="217" t="s">
        <v>11</v>
      </c>
      <c r="L46" s="217" t="s">
        <v>12</v>
      </c>
      <c r="R46" s="48"/>
    </row>
    <row r="47" spans="2:18">
      <c r="B47" s="50" t="s">
        <v>160</v>
      </c>
      <c r="C47" s="205">
        <v>0.113625</v>
      </c>
      <c r="D47" s="205">
        <v>4.5979046153846168E-2</v>
      </c>
      <c r="E47" s="205">
        <f t="shared" si="0"/>
        <v>6.7645953846153836E-2</v>
      </c>
      <c r="G47" s="51"/>
      <c r="H47" s="51"/>
      <c r="I47" s="51"/>
      <c r="J47" s="52" t="s">
        <v>90</v>
      </c>
      <c r="K47" s="52"/>
      <c r="L47" s="52"/>
      <c r="R47" s="48"/>
    </row>
    <row r="48" spans="2:18">
      <c r="B48" s="50" t="s">
        <v>161</v>
      </c>
      <c r="C48" s="205">
        <v>0.10612000000000002</v>
      </c>
      <c r="D48" s="205">
        <v>5.1104863636363636E-2</v>
      </c>
      <c r="E48" s="205">
        <f t="shared" si="0"/>
        <v>5.5015136363636384E-2</v>
      </c>
      <c r="J48" s="50" t="s">
        <v>91</v>
      </c>
      <c r="K48" s="50" t="s">
        <v>54</v>
      </c>
      <c r="L48" s="50"/>
      <c r="R48" s="48"/>
    </row>
    <row r="49" spans="2:18">
      <c r="B49" s="50" t="s">
        <v>162</v>
      </c>
      <c r="C49" s="205">
        <v>0.10841818181818183</v>
      </c>
      <c r="D49" s="205">
        <v>5.1142196969696983E-2</v>
      </c>
      <c r="E49" s="205">
        <f t="shared" si="0"/>
        <v>5.7275984848484847E-2</v>
      </c>
      <c r="G49" s="53"/>
      <c r="H49" s="53"/>
      <c r="I49" s="53"/>
      <c r="J49" s="54" t="s">
        <v>92</v>
      </c>
      <c r="K49" s="54" t="s">
        <v>55</v>
      </c>
      <c r="L49" s="54" t="s">
        <v>56</v>
      </c>
      <c r="R49" s="48"/>
    </row>
    <row r="50" spans="2:18">
      <c r="B50" s="50" t="s">
        <v>163</v>
      </c>
      <c r="C50" s="205">
        <v>0.11059999999999999</v>
      </c>
      <c r="D50" s="205">
        <v>4.8753138461538476E-2</v>
      </c>
      <c r="E50" s="205">
        <f t="shared" si="0"/>
        <v>6.1846861538461514E-2</v>
      </c>
      <c r="R50" s="48"/>
    </row>
    <row r="51" spans="2:18">
      <c r="B51" s="50" t="s">
        <v>164</v>
      </c>
      <c r="C51" s="205">
        <v>0.10573333333333335</v>
      </c>
      <c r="D51" s="205">
        <v>5.3192861538461533E-2</v>
      </c>
      <c r="E51" s="205">
        <f t="shared" si="0"/>
        <v>5.2540471794871813E-2</v>
      </c>
      <c r="G51" s="47" t="s">
        <v>1320</v>
      </c>
      <c r="J51" s="198">
        <f>'Schedule-5 CAPM'!C11</f>
        <v>3.0343333333333337E-2</v>
      </c>
      <c r="K51" s="205">
        <f>$H$41+($H$42*J51)</f>
        <v>6.7099746260319254E-2</v>
      </c>
      <c r="L51" s="205">
        <f>SUM(J51:K51)</f>
        <v>9.7443079593652587E-2</v>
      </c>
      <c r="R51" s="48"/>
    </row>
    <row r="52" spans="2:18">
      <c r="B52" s="50" t="s">
        <v>165</v>
      </c>
      <c r="C52" s="205">
        <v>0.10368749999999999</v>
      </c>
      <c r="D52" s="205">
        <v>5.0588015151515148E-2</v>
      </c>
      <c r="E52" s="205">
        <f t="shared" si="0"/>
        <v>5.309948484848484E-2</v>
      </c>
      <c r="G52" s="47" t="s">
        <v>1321</v>
      </c>
      <c r="J52" s="198">
        <f>'Schedule-5 CAPM'!C12</f>
        <v>3.3800000000000004E-2</v>
      </c>
      <c r="K52" s="205">
        <f>$H$41+($H$42*J52)</f>
        <v>6.5183775833570837E-2</v>
      </c>
      <c r="L52" s="205">
        <f>SUM(J52:K52)</f>
        <v>9.8983775833570847E-2</v>
      </c>
      <c r="R52" s="48"/>
    </row>
    <row r="53" spans="2:18">
      <c r="B53" s="50" t="s">
        <v>166</v>
      </c>
      <c r="C53" s="205">
        <v>0.10658333333333332</v>
      </c>
      <c r="D53" s="205">
        <v>4.864845454545455E-2</v>
      </c>
      <c r="E53" s="205">
        <f t="shared" si="0"/>
        <v>5.7934878787878771E-2</v>
      </c>
      <c r="G53" s="53" t="s">
        <v>1322</v>
      </c>
      <c r="H53" s="53"/>
      <c r="I53" s="53"/>
      <c r="J53" s="198">
        <f>'Schedule-5 CAPM'!C13</f>
        <v>3.9E-2</v>
      </c>
      <c r="K53" s="218">
        <f>$H$41+($H$42*J53)</f>
        <v>6.2301505953409275E-2</v>
      </c>
      <c r="L53" s="218">
        <f>SUM(J53:K53)</f>
        <v>0.10130150595340928</v>
      </c>
      <c r="R53" s="48"/>
    </row>
    <row r="54" spans="2:18" ht="13.5" thickBot="1">
      <c r="B54" s="50" t="s">
        <v>167</v>
      </c>
      <c r="C54" s="205">
        <v>0.10650000000000001</v>
      </c>
      <c r="D54" s="205">
        <v>4.6927312499999985E-2</v>
      </c>
      <c r="E54" s="205">
        <f t="shared" si="0"/>
        <v>5.9572687500000027E-2</v>
      </c>
      <c r="G54" s="219" t="s">
        <v>34</v>
      </c>
      <c r="H54" s="219"/>
      <c r="I54" s="219"/>
      <c r="J54" s="220"/>
      <c r="K54" s="221"/>
      <c r="L54" s="221">
        <f>AVERAGE(L51:L53)</f>
        <v>9.9242787126877577E-2</v>
      </c>
      <c r="R54" s="48"/>
    </row>
    <row r="55" spans="2:18">
      <c r="B55" s="49" t="s">
        <v>168</v>
      </c>
      <c r="C55" s="205">
        <v>0.10536000000000001</v>
      </c>
      <c r="D55" s="205">
        <v>4.4650938461538468E-2</v>
      </c>
      <c r="E55" s="205">
        <f t="shared" si="0"/>
        <v>6.0709061538461541E-2</v>
      </c>
      <c r="L55" s="222"/>
      <c r="R55" s="48"/>
    </row>
    <row r="56" spans="2:18">
      <c r="B56" s="50" t="s">
        <v>169</v>
      </c>
      <c r="C56" s="205">
        <v>0.10471999999999999</v>
      </c>
      <c r="D56" s="205">
        <v>4.4381742424242414E-2</v>
      </c>
      <c r="E56" s="205">
        <f t="shared" si="0"/>
        <v>6.033825757575758E-2</v>
      </c>
      <c r="R56" s="48"/>
    </row>
    <row r="57" spans="2:18">
      <c r="B57" s="50" t="s">
        <v>170</v>
      </c>
      <c r="C57" s="205">
        <v>0.10316428571428572</v>
      </c>
      <c r="D57" s="205">
        <v>4.6829078125E-2</v>
      </c>
      <c r="E57" s="205">
        <f t="shared" si="0"/>
        <v>5.6335207589285723E-2</v>
      </c>
      <c r="G57" s="223" t="s">
        <v>27</v>
      </c>
      <c r="Q57" s="207"/>
      <c r="R57" s="48"/>
    </row>
    <row r="58" spans="2:18">
      <c r="B58" s="50" t="s">
        <v>171</v>
      </c>
      <c r="C58" s="205">
        <v>0.10680000000000001</v>
      </c>
      <c r="D58" s="205">
        <v>4.633183076923076E-2</v>
      </c>
      <c r="E58" s="205">
        <f t="shared" si="0"/>
        <v>6.0468169230769246E-2</v>
      </c>
      <c r="G58" s="224" t="s">
        <v>1365</v>
      </c>
      <c r="Q58" s="207"/>
      <c r="R58" s="48"/>
    </row>
    <row r="59" spans="2:18">
      <c r="B59" s="50" t="s">
        <v>173</v>
      </c>
      <c r="C59" s="205">
        <v>0.106</v>
      </c>
      <c r="D59" s="205">
        <v>5.1406507692307687E-2</v>
      </c>
      <c r="E59" s="205">
        <f t="shared" si="0"/>
        <v>5.459349230769231E-2</v>
      </c>
      <c r="G59" s="224" t="s">
        <v>172</v>
      </c>
      <c r="Q59" s="207"/>
      <c r="R59" s="48"/>
    </row>
    <row r="60" spans="2:18">
      <c r="B60" s="50" t="s">
        <v>174</v>
      </c>
      <c r="C60" s="205">
        <v>0.10337499999999999</v>
      </c>
      <c r="D60" s="205">
        <v>4.9925692307692303E-2</v>
      </c>
      <c r="E60" s="205">
        <f t="shared" si="0"/>
        <v>5.3449307692307692E-2</v>
      </c>
      <c r="G60" s="224" t="s">
        <v>93</v>
      </c>
      <c r="Q60" s="207"/>
      <c r="R60" s="48"/>
    </row>
    <row r="61" spans="2:18">
      <c r="B61" s="50" t="s">
        <v>175</v>
      </c>
      <c r="C61" s="205">
        <v>0.10142</v>
      </c>
      <c r="D61" s="205">
        <v>4.739560000000001E-2</v>
      </c>
      <c r="E61" s="205">
        <f t="shared" si="0"/>
        <v>5.4024399999999986E-2</v>
      </c>
      <c r="G61" s="224" t="s">
        <v>1366</v>
      </c>
      <c r="Q61" s="207"/>
      <c r="R61" s="48"/>
    </row>
    <row r="62" spans="2:18">
      <c r="B62" s="50" t="s">
        <v>176</v>
      </c>
      <c r="C62" s="205">
        <v>0.10518181818181817</v>
      </c>
      <c r="D62" s="205">
        <v>4.7964107692307696E-2</v>
      </c>
      <c r="E62" s="205">
        <f t="shared" si="0"/>
        <v>5.7217710489510472E-2</v>
      </c>
      <c r="G62" s="13" t="s">
        <v>1367</v>
      </c>
      <c r="Q62" s="207"/>
      <c r="R62" s="48"/>
    </row>
    <row r="63" spans="2:18">
      <c r="B63" s="50" t="s">
        <v>177</v>
      </c>
      <c r="C63" s="205">
        <v>0.10126666666666666</v>
      </c>
      <c r="D63" s="205">
        <v>4.9891384615384615E-2</v>
      </c>
      <c r="E63" s="205">
        <f t="shared" si="0"/>
        <v>5.1375282051282042E-2</v>
      </c>
      <c r="G63" s="13" t="s">
        <v>1368</v>
      </c>
      <c r="Q63" s="207"/>
      <c r="R63" s="48"/>
    </row>
    <row r="64" spans="2:18">
      <c r="B64" s="50" t="s">
        <v>178</v>
      </c>
      <c r="C64" s="205">
        <v>0.10026249999999999</v>
      </c>
      <c r="D64" s="205">
        <v>4.9470430769230793E-2</v>
      </c>
      <c r="E64" s="205">
        <f t="shared" si="0"/>
        <v>5.0792069230769198E-2</v>
      </c>
      <c r="G64" s="13" t="s">
        <v>1323</v>
      </c>
      <c r="Q64" s="207"/>
      <c r="R64" s="48"/>
    </row>
    <row r="65" spans="2:18">
      <c r="B65" s="50" t="s">
        <v>179</v>
      </c>
      <c r="C65" s="205">
        <v>0.10117692307692307</v>
      </c>
      <c r="D65" s="205">
        <v>4.6137848484848476E-2</v>
      </c>
      <c r="E65" s="205">
        <f t="shared" si="0"/>
        <v>5.5039074592074591E-2</v>
      </c>
      <c r="G65" s="225" t="str">
        <f>"[8] Equals "&amp;TEXT(H41,"0.000000")&amp;" + ("&amp;TEXT(H42,"0.000000")&amp;" x Column [7])"</f>
        <v>[8] Equals 0.083919 + (-0.554283 x Column [7])</v>
      </c>
      <c r="Q65" s="207"/>
      <c r="R65" s="48"/>
    </row>
    <row r="66" spans="2:18">
      <c r="B66" s="50" t="s">
        <v>180</v>
      </c>
      <c r="C66" s="205">
        <v>0.10375714285714287</v>
      </c>
      <c r="D66" s="205">
        <v>4.4057984615384606E-2</v>
      </c>
      <c r="E66" s="205">
        <f t="shared" si="0"/>
        <v>5.9699158241758261E-2</v>
      </c>
      <c r="G66" s="224" t="s">
        <v>1324</v>
      </c>
      <c r="Q66" s="207"/>
      <c r="R66" s="48"/>
    </row>
    <row r="67" spans="2:18">
      <c r="B67" s="50" t="s">
        <v>181</v>
      </c>
      <c r="C67" s="205">
        <v>0.10166666666666668</v>
      </c>
      <c r="D67" s="205">
        <v>4.5697861538461525E-2</v>
      </c>
      <c r="E67" s="205">
        <f t="shared" si="0"/>
        <v>5.5968805128205158E-2</v>
      </c>
      <c r="Q67" s="207"/>
      <c r="R67" s="48"/>
    </row>
    <row r="68" spans="2:18">
      <c r="B68" s="50" t="s">
        <v>182</v>
      </c>
      <c r="C68" s="205">
        <v>0.10551111111111111</v>
      </c>
      <c r="D68" s="205">
        <v>4.4448575757575763E-2</v>
      </c>
      <c r="E68" s="205">
        <f t="shared" si="0"/>
        <v>6.1062535353535348E-2</v>
      </c>
      <c r="Q68" s="207"/>
      <c r="R68" s="48"/>
    </row>
    <row r="69" spans="2:18">
      <c r="B69" s="50" t="s">
        <v>183</v>
      </c>
      <c r="C69" s="205">
        <v>0.10338461538461538</v>
      </c>
      <c r="D69" s="205">
        <v>3.648545454545455E-2</v>
      </c>
      <c r="E69" s="205">
        <f t="shared" si="0"/>
        <v>6.6899160839160837E-2</v>
      </c>
      <c r="Q69" s="207"/>
      <c r="R69" s="48"/>
    </row>
    <row r="70" spans="2:18">
      <c r="B70" s="50" t="s">
        <v>184</v>
      </c>
      <c r="C70" s="205">
        <v>0.10242499999999999</v>
      </c>
      <c r="D70" s="205">
        <v>3.4371828125000004E-2</v>
      </c>
      <c r="E70" s="205">
        <f t="shared" si="0"/>
        <v>6.8053171874999985E-2</v>
      </c>
      <c r="Q70" s="207"/>
      <c r="R70" s="48"/>
    </row>
    <row r="71" spans="2:18">
      <c r="B71" s="50" t="s">
        <v>185</v>
      </c>
      <c r="C71" s="205">
        <v>0.101075</v>
      </c>
      <c r="D71" s="205">
        <v>4.1675338461538453E-2</v>
      </c>
      <c r="E71" s="205">
        <f t="shared" ref="E71:E110" si="1">C71-D71</f>
        <v>5.9399661538461546E-2</v>
      </c>
      <c r="Q71" s="207"/>
      <c r="R71" s="48"/>
    </row>
    <row r="72" spans="2:18">
      <c r="B72" s="50" t="s">
        <v>186</v>
      </c>
      <c r="C72" s="205">
        <v>9.8799999999999999E-2</v>
      </c>
      <c r="D72" s="205">
        <v>4.3207924242424235E-2</v>
      </c>
      <c r="E72" s="205">
        <f t="shared" si="1"/>
        <v>5.5592075757575764E-2</v>
      </c>
      <c r="Q72" s="207"/>
      <c r="R72" s="48"/>
    </row>
    <row r="73" spans="2:18">
      <c r="B73" s="50" t="s">
        <v>187</v>
      </c>
      <c r="C73" s="205">
        <v>0.10305000000000003</v>
      </c>
      <c r="D73" s="205">
        <v>4.3369015151515151E-2</v>
      </c>
      <c r="E73" s="205">
        <f t="shared" si="1"/>
        <v>5.9680984848484879E-2</v>
      </c>
      <c r="Q73" s="207"/>
      <c r="R73" s="48"/>
    </row>
    <row r="74" spans="2:18">
      <c r="B74" s="50" t="s">
        <v>188</v>
      </c>
      <c r="C74" s="205">
        <v>0.10236666666666666</v>
      </c>
      <c r="D74" s="205">
        <v>4.6233281250000008E-2</v>
      </c>
      <c r="E74" s="205">
        <f t="shared" si="1"/>
        <v>5.6133385416666653E-2</v>
      </c>
      <c r="Q74" s="207"/>
      <c r="R74" s="48"/>
    </row>
    <row r="75" spans="2:18">
      <c r="B75" s="50" t="s">
        <v>189</v>
      </c>
      <c r="C75" s="205">
        <v>9.985454545454546E-2</v>
      </c>
      <c r="D75" s="205">
        <v>4.3635553846153849E-2</v>
      </c>
      <c r="E75" s="205">
        <f t="shared" si="1"/>
        <v>5.6218991608391611E-2</v>
      </c>
      <c r="Q75" s="207"/>
      <c r="R75" s="48"/>
    </row>
    <row r="76" spans="2:18">
      <c r="B76" s="50" t="s">
        <v>190</v>
      </c>
      <c r="C76" s="205">
        <v>0.10425</v>
      </c>
      <c r="D76" s="205">
        <v>3.855463636363636E-2</v>
      </c>
      <c r="E76" s="205">
        <f t="shared" si="1"/>
        <v>6.5695363636363635E-2</v>
      </c>
      <c r="Q76" s="207"/>
      <c r="R76" s="48"/>
    </row>
    <row r="77" spans="2:18">
      <c r="B77" s="50" t="s">
        <v>191</v>
      </c>
      <c r="C77" s="205">
        <v>0.10092307692307692</v>
      </c>
      <c r="D77" s="205">
        <v>4.1662787878787896E-2</v>
      </c>
      <c r="E77" s="205">
        <f t="shared" si="1"/>
        <v>5.9260289044289025E-2</v>
      </c>
      <c r="Q77" s="207"/>
      <c r="R77" s="48"/>
    </row>
    <row r="78" spans="2:18">
      <c r="B78" s="50" t="s">
        <v>192</v>
      </c>
      <c r="C78" s="205">
        <v>0.10100000000000001</v>
      </c>
      <c r="D78" s="205">
        <v>4.5583796874999978E-2</v>
      </c>
      <c r="E78" s="205">
        <f t="shared" si="1"/>
        <v>5.5416203125000028E-2</v>
      </c>
      <c r="Q78" s="207"/>
      <c r="R78" s="48"/>
    </row>
    <row r="79" spans="2:18">
      <c r="B79" s="49" t="s">
        <v>193</v>
      </c>
      <c r="C79" s="205">
        <v>9.845000000000001E-2</v>
      </c>
      <c r="D79" s="205">
        <v>4.3380446153846154E-2</v>
      </c>
      <c r="E79" s="205">
        <f t="shared" si="1"/>
        <v>5.5069553846153856E-2</v>
      </c>
      <c r="Q79" s="207"/>
      <c r="R79" s="48"/>
    </row>
    <row r="80" spans="2:18">
      <c r="B80" s="49" t="s">
        <v>194</v>
      </c>
      <c r="C80" s="205">
        <v>9.6500000000000002E-2</v>
      </c>
      <c r="D80" s="205">
        <v>3.692825757575758E-2</v>
      </c>
      <c r="E80" s="205">
        <f t="shared" si="1"/>
        <v>5.9571742424242423E-2</v>
      </c>
      <c r="Q80" s="207"/>
      <c r="R80" s="48"/>
    </row>
    <row r="81" spans="2:18">
      <c r="B81" s="49" t="s">
        <v>195</v>
      </c>
      <c r="C81" s="205">
        <v>9.8750000000000004E-2</v>
      </c>
      <c r="D81" s="205">
        <v>3.0392815384615392E-2</v>
      </c>
      <c r="E81" s="205">
        <f t="shared" si="1"/>
        <v>6.835718461538462E-2</v>
      </c>
      <c r="Q81" s="207"/>
      <c r="R81" s="48"/>
    </row>
    <row r="82" spans="2:18">
      <c r="B82" s="49" t="s">
        <v>196</v>
      </c>
      <c r="C82" s="205">
        <v>9.6319999999999989E-2</v>
      </c>
      <c r="D82" s="205">
        <v>3.1351338461538467E-2</v>
      </c>
      <c r="E82" s="205">
        <f t="shared" si="1"/>
        <v>6.4968661538461522E-2</v>
      </c>
      <c r="Q82" s="207"/>
      <c r="R82" s="48"/>
    </row>
    <row r="83" spans="2:18">
      <c r="B83" s="49" t="s">
        <v>197</v>
      </c>
      <c r="C83" s="205">
        <v>9.8312499999999983E-2</v>
      </c>
      <c r="D83" s="205">
        <v>2.9340830769230764E-2</v>
      </c>
      <c r="E83" s="205">
        <f t="shared" si="1"/>
        <v>6.8971669230769223E-2</v>
      </c>
      <c r="Q83" s="207"/>
      <c r="R83" s="48"/>
    </row>
    <row r="84" spans="2:18">
      <c r="B84" s="49" t="s">
        <v>198</v>
      </c>
      <c r="C84" s="205">
        <v>9.7500000000000003E-2</v>
      </c>
      <c r="D84" s="205">
        <v>2.7412938461538462E-2</v>
      </c>
      <c r="E84" s="205">
        <f t="shared" si="1"/>
        <v>7.0087061538461545E-2</v>
      </c>
      <c r="Q84" s="207"/>
      <c r="R84" s="48"/>
    </row>
    <row r="85" spans="2:18">
      <c r="B85" s="49" t="s">
        <v>199</v>
      </c>
      <c r="C85" s="205">
        <v>0.10055</v>
      </c>
      <c r="D85" s="205">
        <v>2.8642166666666666E-2</v>
      </c>
      <c r="E85" s="205">
        <f t="shared" si="1"/>
        <v>7.1907833333333337E-2</v>
      </c>
      <c r="Q85" s="207"/>
      <c r="R85" s="48"/>
    </row>
    <row r="86" spans="2:18">
      <c r="B86" s="49" t="s">
        <v>200</v>
      </c>
      <c r="C86" s="205">
        <v>9.5666666666666678E-2</v>
      </c>
      <c r="D86" s="205">
        <v>3.1295609374999998E-2</v>
      </c>
      <c r="E86" s="205">
        <f t="shared" si="1"/>
        <v>6.4371057291666672E-2</v>
      </c>
      <c r="Q86" s="207"/>
      <c r="R86" s="48"/>
    </row>
    <row r="87" spans="2:18">
      <c r="B87" s="49" t="s">
        <v>201</v>
      </c>
      <c r="C87" s="205">
        <v>9.4683333333333328E-2</v>
      </c>
      <c r="D87" s="205">
        <v>3.1398800000000004E-2</v>
      </c>
      <c r="E87" s="205">
        <f t="shared" si="1"/>
        <v>6.3284533333333323E-2</v>
      </c>
      <c r="Q87" s="207"/>
      <c r="R87" s="48"/>
    </row>
    <row r="88" spans="2:18">
      <c r="B88" s="49" t="s">
        <v>202</v>
      </c>
      <c r="C88" s="205">
        <v>9.6000000000000002E-2</v>
      </c>
      <c r="D88" s="205">
        <v>3.7113621212121202E-2</v>
      </c>
      <c r="E88" s="205">
        <f t="shared" si="1"/>
        <v>5.88863787878788E-2</v>
      </c>
      <c r="Q88" s="207"/>
      <c r="R88" s="48"/>
    </row>
    <row r="89" spans="2:18">
      <c r="B89" s="49" t="s">
        <v>203</v>
      </c>
      <c r="C89" s="205">
        <v>9.8290909090909082E-2</v>
      </c>
      <c r="D89" s="205">
        <v>3.7872272727272713E-2</v>
      </c>
      <c r="E89" s="205">
        <f t="shared" si="1"/>
        <v>6.0418636363636369E-2</v>
      </c>
      <c r="Q89" s="207"/>
      <c r="R89" s="48"/>
    </row>
    <row r="90" spans="2:18">
      <c r="B90" s="49" t="s">
        <v>204</v>
      </c>
      <c r="C90" s="205">
        <v>9.5416666666666664E-2</v>
      </c>
      <c r="D90" s="205">
        <v>3.6892906249999989E-2</v>
      </c>
      <c r="E90" s="205">
        <f t="shared" si="1"/>
        <v>5.8523760416666674E-2</v>
      </c>
      <c r="Q90" s="207"/>
    </row>
    <row r="91" spans="2:18">
      <c r="B91" s="49" t="s">
        <v>205</v>
      </c>
      <c r="C91" s="205">
        <v>9.8362499999999992E-2</v>
      </c>
      <c r="D91" s="205">
        <v>3.4420169230769224E-2</v>
      </c>
      <c r="E91" s="205">
        <f t="shared" si="1"/>
        <v>6.3942330769230768E-2</v>
      </c>
      <c r="Q91" s="207"/>
    </row>
    <row r="92" spans="2:18">
      <c r="B92" s="49" t="s">
        <v>206</v>
      </c>
      <c r="C92" s="205">
        <v>9.4500000000000015E-2</v>
      </c>
      <c r="D92" s="205">
        <v>3.2637651515151515E-2</v>
      </c>
      <c r="E92" s="205">
        <f t="shared" si="1"/>
        <v>6.1862348484848499E-2</v>
      </c>
      <c r="Q92" s="207"/>
    </row>
    <row r="93" spans="2:18">
      <c r="B93" s="49" t="s">
        <v>207</v>
      </c>
      <c r="C93" s="205">
        <v>0.10283333333333333</v>
      </c>
      <c r="D93" s="205">
        <v>2.9634439393939404E-2</v>
      </c>
      <c r="E93" s="205">
        <f t="shared" si="1"/>
        <v>7.3198893939393925E-2</v>
      </c>
      <c r="Q93" s="207"/>
    </row>
    <row r="94" spans="2:18">
      <c r="B94" s="49" t="s">
        <v>208</v>
      </c>
      <c r="C94" s="205">
        <v>9.4666666666666677E-2</v>
      </c>
      <c r="D94" s="205">
        <v>2.5536187500000005E-2</v>
      </c>
      <c r="E94" s="205">
        <f t="shared" si="1"/>
        <v>6.9130479166666675E-2</v>
      </c>
      <c r="Q94" s="207"/>
    </row>
    <row r="95" spans="2:18">
      <c r="B95" s="49" t="s">
        <v>209</v>
      </c>
      <c r="C95" s="205">
        <v>9.4333333333333338E-2</v>
      </c>
      <c r="D95" s="205">
        <v>2.8846923076923076E-2</v>
      </c>
      <c r="E95" s="205">
        <f t="shared" si="1"/>
        <v>6.5486410256410263E-2</v>
      </c>
      <c r="Q95" s="207"/>
    </row>
    <row r="96" spans="2:18">
      <c r="B96" s="49" t="s">
        <v>210</v>
      </c>
      <c r="C96" s="205">
        <v>9.7500000000000003E-2</v>
      </c>
      <c r="D96" s="205">
        <v>2.9591227272727273E-2</v>
      </c>
      <c r="E96" s="205">
        <f t="shared" si="1"/>
        <v>6.7908772727272734E-2</v>
      </c>
      <c r="Q96" s="207"/>
    </row>
    <row r="97" spans="2:17">
      <c r="B97" s="49" t="s">
        <v>211</v>
      </c>
      <c r="C97" s="205">
        <v>9.6777777777777768E-2</v>
      </c>
      <c r="D97" s="205">
        <v>2.9592590909090898E-2</v>
      </c>
      <c r="E97" s="205">
        <f t="shared" si="1"/>
        <v>6.7185186868686866E-2</v>
      </c>
      <c r="Q97" s="207"/>
    </row>
    <row r="98" spans="2:17">
      <c r="B98" s="49" t="s">
        <v>212</v>
      </c>
      <c r="C98" s="205">
        <v>9.4833333333333325E-2</v>
      </c>
      <c r="D98" s="205">
        <v>2.7197200000000001E-2</v>
      </c>
      <c r="E98" s="205">
        <f t="shared" si="1"/>
        <v>6.763613333333332E-2</v>
      </c>
      <c r="Q98" s="207"/>
    </row>
    <row r="99" spans="2:17">
      <c r="B99" s="49" t="s">
        <v>213</v>
      </c>
      <c r="C99" s="205">
        <v>9.4149999999999998E-2</v>
      </c>
      <c r="D99" s="205">
        <v>2.5666046153846152E-2</v>
      </c>
      <c r="E99" s="205">
        <f t="shared" si="1"/>
        <v>6.8483953846153842E-2</v>
      </c>
      <c r="Q99" s="207"/>
    </row>
    <row r="100" spans="2:17">
      <c r="B100" s="49" t="s">
        <v>214</v>
      </c>
      <c r="C100" s="205">
        <v>9.4649999999999984E-2</v>
      </c>
      <c r="D100" s="205">
        <v>2.2773333333333333E-2</v>
      </c>
      <c r="E100" s="205">
        <f t="shared" si="1"/>
        <v>7.1876666666666644E-2</v>
      </c>
      <c r="Q100" s="207"/>
    </row>
    <row r="101" spans="2:17">
      <c r="B101" s="49" t="s">
        <v>215</v>
      </c>
      <c r="C101" s="205">
        <v>9.6722222222222209E-2</v>
      </c>
      <c r="D101" s="205">
        <v>2.8326507692307684E-2</v>
      </c>
      <c r="E101" s="205">
        <f t="shared" si="1"/>
        <v>6.8395714529914525E-2</v>
      </c>
      <c r="Q101" s="207"/>
    </row>
    <row r="102" spans="2:17">
      <c r="B102" s="49" t="s">
        <v>216</v>
      </c>
      <c r="C102" s="205">
        <v>9.6000000000000016E-2</v>
      </c>
      <c r="D102" s="205">
        <v>3.0435492307692304E-2</v>
      </c>
      <c r="E102" s="205">
        <f t="shared" si="1"/>
        <v>6.5564507692307705E-2</v>
      </c>
    </row>
    <row r="103" spans="2:17">
      <c r="B103" s="49" t="s">
        <v>217</v>
      </c>
      <c r="C103" s="205">
        <v>9.4714285714285709E-2</v>
      </c>
      <c r="D103" s="205">
        <v>2.8955353846153841E-2</v>
      </c>
      <c r="E103" s="205">
        <f t="shared" si="1"/>
        <v>6.5758931868131865E-2</v>
      </c>
    </row>
    <row r="104" spans="2:17">
      <c r="B104" s="49" t="s">
        <v>218</v>
      </c>
      <c r="C104" s="205">
        <v>0.10138333333333333</v>
      </c>
      <c r="D104" s="205">
        <v>2.8157476923076918E-2</v>
      </c>
      <c r="E104" s="205">
        <f t="shared" si="1"/>
        <v>7.3225856410256404E-2</v>
      </c>
    </row>
    <row r="105" spans="2:17">
      <c r="B105" s="49" t="s">
        <v>219</v>
      </c>
      <c r="C105" s="205">
        <v>9.6999999999999989E-2</v>
      </c>
      <c r="D105" s="205">
        <v>2.8170630769230768E-2</v>
      </c>
      <c r="E105" s="205">
        <f t="shared" si="1"/>
        <v>6.8829369230769225E-2</v>
      </c>
    </row>
    <row r="106" spans="2:17">
      <c r="B106" s="49" t="s">
        <v>220</v>
      </c>
      <c r="C106" s="205">
        <v>9.6816666666666662E-2</v>
      </c>
      <c r="D106" s="205">
        <v>3.0233969230769233E-2</v>
      </c>
      <c r="E106" s="205">
        <f t="shared" si="1"/>
        <v>6.6582697435897426E-2</v>
      </c>
    </row>
    <row r="107" spans="2:17">
      <c r="B107" s="49" t="s">
        <v>221</v>
      </c>
      <c r="C107" s="205">
        <v>9.4285714285714292E-2</v>
      </c>
      <c r="D107" s="205">
        <v>3.0863630769230772E-2</v>
      </c>
      <c r="E107" s="205">
        <f t="shared" si="1"/>
        <v>6.3422083516483513E-2</v>
      </c>
    </row>
    <row r="108" spans="2:17">
      <c r="B108" s="49" t="s">
        <v>222</v>
      </c>
      <c r="C108" s="205">
        <v>9.7108333333333338E-2</v>
      </c>
      <c r="D108" s="205">
        <v>3.0584523076923074E-2</v>
      </c>
      <c r="E108" s="205">
        <f t="shared" si="1"/>
        <v>6.6523810256410271E-2</v>
      </c>
    </row>
    <row r="109" spans="2:17">
      <c r="B109" s="49" t="s">
        <v>1369</v>
      </c>
      <c r="C109" s="205">
        <v>9.5486666666666678E-2</v>
      </c>
      <c r="D109" s="205">
        <v>3.270189393939394E-2</v>
      </c>
      <c r="E109" s="205">
        <f t="shared" si="1"/>
        <v>6.2784772727272731E-2</v>
      </c>
    </row>
    <row r="110" spans="2:17">
      <c r="B110" s="49" t="s">
        <v>1370</v>
      </c>
      <c r="C110" s="205">
        <v>9.7500000000000003E-2</v>
      </c>
      <c r="D110" s="205">
        <v>3.0332130434782605E-2</v>
      </c>
      <c r="E110" s="205">
        <f t="shared" si="1"/>
        <v>6.7167869565217392E-2</v>
      </c>
    </row>
    <row r="111" spans="2:17">
      <c r="B111" s="49"/>
      <c r="C111" s="205"/>
      <c r="D111" s="205"/>
      <c r="E111" s="205"/>
    </row>
    <row r="112" spans="2:17">
      <c r="B112" s="226" t="s">
        <v>34</v>
      </c>
      <c r="C112" s="227">
        <f>AVERAGE(C6:C110)</f>
        <v>0.10536598630470062</v>
      </c>
      <c r="D112" s="227">
        <f>AVERAGE(D6:D110)</f>
        <v>4.8118964130382962E-2</v>
      </c>
      <c r="E112" s="227">
        <f>AVERAGE(E6:E110)</f>
        <v>5.7247022174317652E-2</v>
      </c>
    </row>
    <row r="113" spans="2:5" ht="13.5" thickBot="1">
      <c r="B113" s="228" t="s">
        <v>63</v>
      </c>
      <c r="C113" s="229">
        <f>MEDIAN(C6:C110)</f>
        <v>0.10471999999999999</v>
      </c>
      <c r="D113" s="229">
        <f>MEDIAN(D6:D110)</f>
        <v>4.739560000000001E-2</v>
      </c>
      <c r="E113" s="229">
        <f>MEDIAN(E6:E110)</f>
        <v>5.8523760416666674E-2</v>
      </c>
    </row>
    <row r="114" spans="2:5">
      <c r="B114" s="49"/>
      <c r="C114" s="13"/>
      <c r="D114" s="205"/>
    </row>
    <row r="115" spans="2:5">
      <c r="C115" s="13"/>
      <c r="D115" s="205"/>
    </row>
    <row r="116" spans="2:5">
      <c r="B116" s="49"/>
      <c r="D116" s="205"/>
    </row>
    <row r="117" spans="2:5">
      <c r="B117" s="49"/>
      <c r="C117" s="230"/>
      <c r="D117" s="231"/>
      <c r="E117" s="230"/>
    </row>
    <row r="118" spans="2:5">
      <c r="C118" s="230"/>
      <c r="D118" s="231"/>
      <c r="E118" s="230"/>
    </row>
    <row r="119" spans="2:5">
      <c r="C119" s="230"/>
      <c r="D119" s="231"/>
      <c r="E119" s="230"/>
    </row>
    <row r="120" spans="2:5">
      <c r="C120" s="230"/>
      <c r="D120" s="231"/>
      <c r="E120" s="230"/>
    </row>
    <row r="121" spans="2:5">
      <c r="C121" s="230"/>
      <c r="D121" s="231"/>
      <c r="E121" s="230"/>
    </row>
    <row r="122" spans="2:5">
      <c r="C122" s="230"/>
      <c r="D122" s="231"/>
      <c r="E122" s="230"/>
    </row>
    <row r="133" spans="4:4">
      <c r="D133" s="232"/>
    </row>
  </sheetData>
  <mergeCells count="1">
    <mergeCell ref="B2:E2"/>
  </mergeCells>
  <printOptions horizontalCentered="1"/>
  <pageMargins left="0.7" right="0.7" top="1.25" bottom="0.75" header="0.3" footer="0.3"/>
  <pageSetup scale="63" fitToWidth="0" orientation="portrait" useFirstPageNumber="1" r:id="rId1"/>
  <headerFooter>
    <oddHeader>&amp;RDocket No. UG-19____
Cascade Natural Gas Corp.
Exhibit No.___(AEB-2)
Schedule 6
Page &amp;P of 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2A143B775EEB47B26371B22E6028EB" ma:contentTypeVersion="48" ma:contentTypeDescription="" ma:contentTypeScope="" ma:versionID="57225535d4ae0bfbfa2efb1b5fb9ed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190210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B5D466-1C58-48B7-9769-31F29FBCDD82}"/>
</file>

<file path=customXml/itemProps2.xml><?xml version="1.0" encoding="utf-8"?>
<ds:datastoreItem xmlns:ds="http://schemas.openxmlformats.org/officeDocument/2006/customXml" ds:itemID="{3AD6105B-CCD6-4069-A7FB-FBFF12648E01}"/>
</file>

<file path=customXml/itemProps3.xml><?xml version="1.0" encoding="utf-8"?>
<ds:datastoreItem xmlns:ds="http://schemas.openxmlformats.org/officeDocument/2006/customXml" ds:itemID="{D8CCDDE2-8053-449E-92FB-A0FFE29C8F4A}"/>
</file>

<file path=customXml/itemProps4.xml><?xml version="1.0" encoding="utf-8"?>
<ds:datastoreItem xmlns:ds="http://schemas.openxmlformats.org/officeDocument/2006/customXml" ds:itemID="{43C09477-BCA9-4327-98F3-3BE1C7051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 Page AEB-2</vt:lpstr>
      <vt:lpstr>Index</vt:lpstr>
      <vt:lpstr>Schedule-1 Summary</vt:lpstr>
      <vt:lpstr>Schedule-2 Proxy Selection</vt:lpstr>
      <vt:lpstr>Schedule-3 Constant DCF</vt:lpstr>
      <vt:lpstr>Schedule-4 Beta</vt:lpstr>
      <vt:lpstr>Schedule-5 CAPM</vt:lpstr>
      <vt:lpstr>Schedule-5 CAPM 2</vt:lpstr>
      <vt:lpstr>Schedule-6 Risk Premium</vt:lpstr>
      <vt:lpstr>Schedule-7 Expected Earnings</vt:lpstr>
      <vt:lpstr>Schedule-8 Size Premium</vt:lpstr>
      <vt:lpstr>Schedule-9 Flotation Cost</vt:lpstr>
      <vt:lpstr>Schedule-10 CapEx 1</vt:lpstr>
      <vt:lpstr>Schedule-10 CapEx 2</vt:lpstr>
      <vt:lpstr>Schedule-11 Reg Risk</vt:lpstr>
      <vt:lpstr>Schedule-12 Capital Structure </vt:lpstr>
      <vt:lpstr>'Schedule-1 Summary'!Print_Area</vt:lpstr>
      <vt:lpstr>'Schedule-10 CapEx 1'!Print_Area</vt:lpstr>
      <vt:lpstr>'Schedule-10 CapEx 2'!Print_Area</vt:lpstr>
      <vt:lpstr>'Schedule-11 Reg Risk'!Print_Area</vt:lpstr>
      <vt:lpstr>'Schedule-12 Capital Structure '!Print_Area</vt:lpstr>
      <vt:lpstr>'Schedule-2 Proxy Selection'!Print_Area</vt:lpstr>
      <vt:lpstr>'Schedule-4 Beta'!Print_Area</vt:lpstr>
      <vt:lpstr>'Schedule-5 CAPM'!Print_Area</vt:lpstr>
      <vt:lpstr>'Schedule-5 CAPM 2'!Print_Area</vt:lpstr>
      <vt:lpstr>'Schedule-6 Risk Premium'!Print_Area</vt:lpstr>
      <vt:lpstr>'Schedule-7 Expected Earnings'!Print_Area</vt:lpstr>
      <vt:lpstr>'Schedule-9 Flotation Cost'!Print_Area</vt:lpstr>
      <vt:lpstr>'Schedule-10 CapEx 1'!Print_Titles</vt:lpstr>
      <vt:lpstr>'Schedule-11 Reg Risk'!Print_Titles</vt:lpstr>
      <vt:lpstr>'Schedule-5 CAPM 2'!Print_Titles</vt:lpstr>
      <vt:lpstr>'Schedule-6 Risk Premium'!Print_Titles</vt:lpstr>
    </vt:vector>
  </TitlesOfParts>
  <Company>Concentric Energy Advisors,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Lieberman</dc:creator>
  <cp:lastModifiedBy>Peters, Maryalice</cp:lastModifiedBy>
  <cp:lastPrinted>2019-02-28T03:24:58Z</cp:lastPrinted>
  <dcterms:created xsi:type="dcterms:W3CDTF">2006-02-15T16:19:06Z</dcterms:created>
  <dcterms:modified xsi:type="dcterms:W3CDTF">2019-03-29T16:16:18Z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{4833D309-3112-4A1E-9746-2AF6BD669EDC}</vt:lpwstr>
  </property>
  <property fmtid="{D5CDD505-2E9C-101B-9397-08002B2CF9AE}" pid="3" name="ContentTypeId">
    <vt:lpwstr>0x0101006E56B4D1795A2E4DB2F0B01679ED314A004C2A143B775EEB47B26371B22E6028EB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