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5.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worksheets/sheet1.xml" ContentType="application/vnd.openxmlformats-officedocument.spreadsheetml.worksheet+xml"/>
  <Override PartName="/xl/charts/chart7.xml" ContentType="application/vnd.openxmlformats-officedocument.drawingml.chart+xml"/>
  <Override PartName="/xl/charts/chart1.xml" ContentType="application/vnd.openxmlformats-officedocument.drawingml.chart+xml"/>
  <Override PartName="/xl/worksheets/sheet19.xml" ContentType="application/vnd.openxmlformats-officedocument.spreadsheetml.worksheet+xml"/>
  <Override PartName="/xl/worksheets/sheet17.xml" ContentType="application/vnd.openxmlformats-officedocument.spreadsheetml.worksheet+xml"/>
  <Override PartName="/xl/drawings/drawing2.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charts/chart2.xml" ContentType="application/vnd.openxmlformats-officedocument.drawingml.char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worksheets/sheet23.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worksheets/sheet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charts/chart3.xml" ContentType="application/vnd.openxmlformats-officedocument.drawingml.char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8.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C:\wrk\30_ava\3046-9 - 2018 GRC\dir\_wps\_fnl\"/>
    </mc:Choice>
  </mc:AlternateContent>
  <bookViews>
    <workbookView xWindow="0" yWindow="0" windowWidth="20850" windowHeight="8775" tabRatio="744"/>
  </bookViews>
  <sheets>
    <sheet name="1.01) 2018 Summary" sheetId="9" r:id="rId1"/>
    <sheet name="1.02) 2019 Summary" sheetId="39" r:id="rId2"/>
    <sheet name="1.03) 2020 Summary" sheetId="40" r:id="rId3"/>
    <sheet name="2) ROR" sheetId="7" r:id="rId4"/>
    <sheet name="3.01) Attrition 2016 to 2018" sheetId="5" r:id="rId5"/>
    <sheet name="3.02) Attrition 2016 to 2019" sheetId="37" r:id="rId6"/>
    <sheet name="3.03) Attrition 2016 to 2020" sheetId="38" r:id="rId7"/>
    <sheet name="4.01" sheetId="20" r:id="rId8"/>
    <sheet name="4.02" sheetId="21" r:id="rId9"/>
    <sheet name="4.03" sheetId="22" r:id="rId10"/>
    <sheet name="4.04" sheetId="23" r:id="rId11"/>
    <sheet name="4.05" sheetId="24" r:id="rId12"/>
    <sheet name="4.06" sheetId="25" r:id="rId13"/>
    <sheet name="4.07" sheetId="26" r:id="rId14"/>
    <sheet name="4.08" sheetId="27" r:id="rId15"/>
    <sheet name="4.09" sheetId="28" r:id="rId16"/>
    <sheet name="4.10" sheetId="29" r:id="rId17"/>
    <sheet name="4.11" sheetId="30" r:id="rId18"/>
    <sheet name="4.12" sheetId="31" r:id="rId19"/>
    <sheet name="4.13" sheetId="32" r:id="rId20"/>
    <sheet name="4.14" sheetId="33" r:id="rId21"/>
    <sheet name="4.15" sheetId="34" r:id="rId22"/>
    <sheet name="Cost Trends" sheetId="1" r:id="rId23"/>
    <sheet name="Riders and Gas Cost Revenue" sheetId="2" r:id="rId24"/>
    <sheet name="Reg Amort and Other RB" sheetId="6"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ctuals_Mo">[1]Tables!$B$19</definedName>
    <definedName name="Base1_Billing2" localSheetId="1">#REF!</definedName>
    <definedName name="Base1_Billing2" localSheetId="2">#REF!</definedName>
    <definedName name="Base1_Billing2" localSheetId="5">#REF!</definedName>
    <definedName name="Base1_Billing2" localSheetId="6">#REF!</definedName>
    <definedName name="Base1_Billing2" localSheetId="7">#REF!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 localSheetId="18">#REF!</definedName>
    <definedName name="Base1_Billing2" localSheetId="19">#REF!</definedName>
    <definedName name="Base1_Billing2" localSheetId="20">#REF!</definedName>
    <definedName name="Base1_Billing2" localSheetId="21">#REF!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1">#REF!</definedName>
    <definedName name="ID" localSheetId="2">#REF!</definedName>
    <definedName name="ID" localSheetId="5">#REF!</definedName>
    <definedName name="ID" localSheetId="6">#REF!</definedName>
    <definedName name="ID" localSheetId="7">#REF!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 localSheetId="18">#REF!</definedName>
    <definedName name="ID" localSheetId="19">#REF!</definedName>
    <definedName name="ID" localSheetId="20">#REF!</definedName>
    <definedName name="ID" localSheetId="21">#REF!</definedName>
    <definedName name="ID">#REF!</definedName>
    <definedName name="ID_001b" localSheetId="1">#REF!</definedName>
    <definedName name="ID_001b" localSheetId="2">#REF!</definedName>
    <definedName name="ID_001b" localSheetId="5">#REF!</definedName>
    <definedName name="ID_001b" localSheetId="6">#REF!</definedName>
    <definedName name="ID_001b" localSheetId="7">#REF!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 localSheetId="18">#REF!</definedName>
    <definedName name="ID_001b" localSheetId="19">#REF!</definedName>
    <definedName name="ID_001b" localSheetId="20">#REF!</definedName>
    <definedName name="ID_001b" localSheetId="21">#REF!</definedName>
    <definedName name="ID_001b">#REF!</definedName>
    <definedName name="ID_011b" localSheetId="1">#REF!</definedName>
    <definedName name="ID_011b" localSheetId="2">#REF!</definedName>
    <definedName name="ID_011b" localSheetId="5">#REF!</definedName>
    <definedName name="ID_011b" localSheetId="6">#REF!</definedName>
    <definedName name="ID_011b" localSheetId="7">#REF!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 localSheetId="18">#REF!</definedName>
    <definedName name="ID_011b" localSheetId="19">#REF!</definedName>
    <definedName name="ID_011b" localSheetId="20">#REF!</definedName>
    <definedName name="ID_011b" localSheetId="21">#REF!</definedName>
    <definedName name="ID_011b">#REF!</definedName>
    <definedName name="ID_012b" localSheetId="1">#REF!</definedName>
    <definedName name="ID_012b" localSheetId="2">#REF!</definedName>
    <definedName name="ID_012b" localSheetId="5">#REF!</definedName>
    <definedName name="ID_012b" localSheetId="6">#REF!</definedName>
    <definedName name="ID_012b" localSheetId="7">#REF!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 localSheetId="18">#REF!</definedName>
    <definedName name="ID_012b" localSheetId="19">#REF!</definedName>
    <definedName name="ID_012b" localSheetId="20">#REF!</definedName>
    <definedName name="ID_012b" localSheetId="21">#REF!</definedName>
    <definedName name="ID_012b">#REF!</definedName>
    <definedName name="ID_021b" localSheetId="1">#REF!</definedName>
    <definedName name="ID_021b" localSheetId="2">#REF!</definedName>
    <definedName name="ID_021b" localSheetId="5">#REF!</definedName>
    <definedName name="ID_021b" localSheetId="6">#REF!</definedName>
    <definedName name="ID_021b" localSheetId="7">#REF!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 localSheetId="18">#REF!</definedName>
    <definedName name="ID_021b" localSheetId="19">#REF!</definedName>
    <definedName name="ID_021b" localSheetId="20">#REF!</definedName>
    <definedName name="ID_021b" localSheetId="21">#REF!</definedName>
    <definedName name="ID_021b">#REF!</definedName>
    <definedName name="ID_Elec" localSheetId="1">#REF!</definedName>
    <definedName name="ID_Elec" localSheetId="2">#REF!</definedName>
    <definedName name="ID_Elec" localSheetId="5">#REF!</definedName>
    <definedName name="ID_Elec" localSheetId="6">#REF!</definedName>
    <definedName name="ID_Elec" localSheetId="8">#REF!</definedName>
    <definedName name="ID_Elec" localSheetId="9">#REF!</definedName>
    <definedName name="ID_Elec" localSheetId="10">#REF!</definedName>
    <definedName name="ID_Elec" localSheetId="11">#REF!</definedName>
    <definedName name="ID_Elec" localSheetId="12">#REF!</definedName>
    <definedName name="ID_Elec" localSheetId="13">#REF!</definedName>
    <definedName name="ID_Elec" localSheetId="14">#REF!</definedName>
    <definedName name="ID_Elec" localSheetId="15">#REF!</definedName>
    <definedName name="ID_Elec" localSheetId="16">#REF!</definedName>
    <definedName name="ID_Elec" localSheetId="17">#REF!</definedName>
    <definedName name="ID_Elec" localSheetId="18">#REF!</definedName>
    <definedName name="ID_Elec" localSheetId="19">#REF!</definedName>
    <definedName name="ID_Elec" localSheetId="20">#REF!</definedName>
    <definedName name="ID_Elec" localSheetId="21">#REF!</definedName>
    <definedName name="ID_Elec">#REF!</definedName>
    <definedName name="ID_Gas" localSheetId="1">#REF!</definedName>
    <definedName name="ID_Gas" localSheetId="2">#REF!</definedName>
    <definedName name="ID_Gas" localSheetId="5">#REF!</definedName>
    <definedName name="ID_Gas" localSheetId="6">#REF!</definedName>
    <definedName name="ID_Gas" localSheetId="7">'[4]DEBT CALC'!#REF!</definedName>
    <definedName name="ID_Gas" localSheetId="8">'[4]DEBT CALC'!#REF!</definedName>
    <definedName name="ID_Gas" localSheetId="9">'[4]DEBT CALC'!#REF!</definedName>
    <definedName name="ID_Gas" localSheetId="10">'[4]DEBT CALC'!#REF!</definedName>
    <definedName name="ID_Gas" localSheetId="11">'[4]DEBT CALC'!#REF!</definedName>
    <definedName name="ID_Gas" localSheetId="12">'[4]DEBT CALC'!#REF!</definedName>
    <definedName name="ID_Gas" localSheetId="13">'[4]DEBT CALC'!#REF!</definedName>
    <definedName name="ID_Gas" localSheetId="14">'[4]DEBT CALC'!#REF!</definedName>
    <definedName name="ID_Gas" localSheetId="15">'[4]DEBT CALC'!#REF!</definedName>
    <definedName name="ID_Gas" localSheetId="16">'[4]DEBT CALC'!#REF!</definedName>
    <definedName name="ID_Gas" localSheetId="17">'[4]DEBT CALC'!#REF!</definedName>
    <definedName name="ID_Gas" localSheetId="18">'[4]DEBT CALC'!#REF!</definedName>
    <definedName name="ID_Gas" localSheetId="19">'[4]DEBT CALC'!#REF!</definedName>
    <definedName name="ID_Gas" localSheetId="20">'[4]DEBT CALC'!#REF!</definedName>
    <definedName name="ID_Gas" localSheetId="21">'[4]DEBT CALC'!#REF!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0">'1.01) 2018 Summary'!$A$1:$H$34</definedName>
    <definedName name="_xlnm.Print_Area" localSheetId="1">'1.02) 2019 Summary'!$A$1:$H$38</definedName>
    <definedName name="_xlnm.Print_Area" localSheetId="2">'1.03) 2020 Summary'!$A$1:$H$40</definedName>
    <definedName name="_xlnm.Print_Area" localSheetId="3">'2) ROR'!$A$1:$O$26</definedName>
    <definedName name="_xlnm.Print_Area" localSheetId="4">'3.01) Attrition 2016 to 2018'!$A$1:$S$99</definedName>
    <definedName name="_xlnm.Print_Area" localSheetId="5">'3.02) Attrition 2016 to 2019'!$A$1:$S$99</definedName>
    <definedName name="_xlnm.Print_Area" localSheetId="6">'3.03) Attrition 2016 to 2020'!$A$1:$S$99</definedName>
    <definedName name="_xlnm.Print_Area" localSheetId="7">'4.01'!$A$1:$R$61</definedName>
    <definedName name="_xlnm.Print_Area" localSheetId="8">'4.02'!$A$1:$R$61</definedName>
    <definedName name="_xlnm.Print_Area" localSheetId="9">'4.03'!$A$1:$R$61</definedName>
    <definedName name="_xlnm.Print_Area" localSheetId="10">'4.04'!$A$1:$R$61</definedName>
    <definedName name="_xlnm.Print_Area" localSheetId="11">'4.05'!$A$1:$R$61</definedName>
    <definedName name="_xlnm.Print_Area" localSheetId="12">'4.06'!$A$1:$R$61</definedName>
    <definedName name="_xlnm.Print_Area" localSheetId="13">'4.07'!$A$1:$R$61</definedName>
    <definedName name="_xlnm.Print_Area" localSheetId="14">'4.08'!$A$1:$R$61</definedName>
    <definedName name="_xlnm.Print_Area" localSheetId="15">'4.09'!$A$1:$R$61</definedName>
    <definedName name="_xlnm.Print_Area" localSheetId="16">'4.10'!$A$1:$R$61</definedName>
    <definedName name="_xlnm.Print_Area" localSheetId="17">'4.11'!$A$1:$R$61</definedName>
    <definedName name="_xlnm.Print_Area" localSheetId="18">'4.12'!$A$1:$R$60</definedName>
    <definedName name="_xlnm.Print_Area" localSheetId="19">'4.13'!$A$1:$R$60</definedName>
    <definedName name="_xlnm.Print_Area" localSheetId="20">'4.14'!$A$1:$R$60</definedName>
    <definedName name="_xlnm.Print_Area" localSheetId="21">'4.15'!$A$1:$R$60</definedName>
    <definedName name="_xlnm.Print_Area" localSheetId="22">'Cost Trends'!$A$2:$V$151</definedName>
    <definedName name="_xlnm.Print_Area" localSheetId="23">'Riders and Gas Cost Revenue'!$A$1:$AO$65</definedName>
    <definedName name="Print_for_CBReport" localSheetId="1">#REF!</definedName>
    <definedName name="Print_for_CBReport" localSheetId="2">#REF!</definedName>
    <definedName name="Print_for_CBReport" localSheetId="5">#REF!</definedName>
    <definedName name="Print_for_CBReport" localSheetId="6">#REF!</definedName>
    <definedName name="Print_for_CBReport" localSheetId="8">#REF!</definedName>
    <definedName name="Print_for_CBReport" localSheetId="9">#REF!</definedName>
    <definedName name="Print_for_CBReport" localSheetId="10">#REF!</definedName>
    <definedName name="Print_for_CBReport" localSheetId="11">#REF!</definedName>
    <definedName name="Print_for_CBReport" localSheetId="12">#REF!</definedName>
    <definedName name="Print_for_CBReport" localSheetId="13">#REF!</definedName>
    <definedName name="Print_for_CBReport" localSheetId="14">#REF!</definedName>
    <definedName name="Print_for_CBReport" localSheetId="15">#REF!</definedName>
    <definedName name="Print_for_CBReport" localSheetId="16">#REF!</definedName>
    <definedName name="Print_for_CBReport" localSheetId="17">#REF!</definedName>
    <definedName name="Print_for_CBReport" localSheetId="18">#REF!</definedName>
    <definedName name="Print_for_CBReport" localSheetId="19">#REF!</definedName>
    <definedName name="Print_for_CBReport" localSheetId="20">#REF!</definedName>
    <definedName name="Print_for_CBReport" localSheetId="21">#REF!</definedName>
    <definedName name="Print_for_CBReport">#REF!</definedName>
    <definedName name="Print_for_Checking" localSheetId="1">#REF!</definedName>
    <definedName name="Print_for_Checking" localSheetId="2">#REF!</definedName>
    <definedName name="Print_for_Checking" localSheetId="5">#REF!</definedName>
    <definedName name="Print_for_Checking" localSheetId="6">#REF!</definedName>
    <definedName name="Print_for_Checking" localSheetId="7">'[4]ADJ SUMMARY'!#REF!:'[4]ADJ SUMMARY'!#REF!</definedName>
    <definedName name="Print_for_Checking" localSheetId="8">'[4]ADJ SUMMARY'!#REF!:'[4]ADJ SUMMARY'!#REF!</definedName>
    <definedName name="Print_for_Checking" localSheetId="9">'[4]ADJ SUMMARY'!#REF!:'[4]ADJ SUMMARY'!#REF!</definedName>
    <definedName name="Print_for_Checking" localSheetId="10">'[4]ADJ SUMMARY'!#REF!:'[4]ADJ SUMMARY'!#REF!</definedName>
    <definedName name="Print_for_Checking" localSheetId="11">'[4]ADJ SUMMARY'!#REF!:'[4]ADJ SUMMARY'!#REF!</definedName>
    <definedName name="Print_for_Checking" localSheetId="12">'[4]ADJ SUMMARY'!#REF!:'[4]ADJ SUMMARY'!#REF!</definedName>
    <definedName name="Print_for_Checking" localSheetId="13">'[4]ADJ SUMMARY'!#REF!:'[4]ADJ SUMMARY'!#REF!</definedName>
    <definedName name="Print_for_Checking" localSheetId="14">'[4]ADJ SUMMARY'!#REF!:'[4]ADJ SUMMARY'!#REF!</definedName>
    <definedName name="Print_for_Checking" localSheetId="15">'[4]ADJ SUMMARY'!#REF!:'[4]ADJ SUMMARY'!#REF!</definedName>
    <definedName name="Print_for_Checking" localSheetId="16">'[4]ADJ SUMMARY'!#REF!:'[4]ADJ SUMMARY'!#REF!</definedName>
    <definedName name="Print_for_Checking" localSheetId="17">'[4]ADJ SUMMARY'!#REF!:'[4]ADJ SUMMARY'!#REF!</definedName>
    <definedName name="Print_for_Checking" localSheetId="18">'[4]ADJ SUMMARY'!#REF!:'[4]ADJ SUMMARY'!#REF!</definedName>
    <definedName name="Print_for_Checking" localSheetId="19">'[4]ADJ SUMMARY'!#REF!:'[4]ADJ SUMMARY'!#REF!</definedName>
    <definedName name="Print_for_Checking" localSheetId="20">'[4]ADJ SUMMARY'!#REF!:'[4]ADJ SUMMARY'!#REF!</definedName>
    <definedName name="Print_for_Checking" localSheetId="21">'[4]ADJ SUMMARY'!#REF!:'[4]ADJ SUMMARY'!#REF!</definedName>
    <definedName name="Print_for_Checking">#REF!</definedName>
    <definedName name="_xlnm.Print_Titles" localSheetId="22">'Cost Trends'!$2:$2</definedName>
    <definedName name="_xlnm.Print_Titles" localSheetId="23">'Riders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 localSheetId="1">#REF!</definedName>
    <definedName name="s" localSheetId="2">#REF!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1">#REF!</definedName>
    <definedName name="s">#REF!</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1">#REF!</definedName>
    <definedName name="Summary" localSheetId="2">#REF!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18">#REF!</definedName>
    <definedName name="Summary" localSheetId="19">#REF!</definedName>
    <definedName name="Summary" localSheetId="20">#REF!</definedName>
    <definedName name="Summary" localSheetId="21">#REF!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1">#REF!</definedName>
    <definedName name="WA_001b" localSheetId="2">#REF!</definedName>
    <definedName name="WA_001b" localSheetId="5">#REF!</definedName>
    <definedName name="WA_001b" localSheetId="6">#REF!</definedName>
    <definedName name="WA_001b" localSheetId="7">#REF!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 localSheetId="18">#REF!</definedName>
    <definedName name="WA_001b" localSheetId="19">#REF!</definedName>
    <definedName name="WA_001b" localSheetId="20">#REF!</definedName>
    <definedName name="WA_001b" localSheetId="21">#REF!</definedName>
    <definedName name="WA_001b">#REF!</definedName>
    <definedName name="WA_011b" localSheetId="1">#REF!</definedName>
    <definedName name="WA_011b" localSheetId="2">#REF!</definedName>
    <definedName name="WA_011b" localSheetId="5">#REF!</definedName>
    <definedName name="WA_011b" localSheetId="6">#REF!</definedName>
    <definedName name="WA_011b" localSheetId="7">#REF!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 localSheetId="18">#REF!</definedName>
    <definedName name="WA_011b" localSheetId="19">#REF!</definedName>
    <definedName name="WA_011b" localSheetId="20">#REF!</definedName>
    <definedName name="WA_011b" localSheetId="21">#REF!</definedName>
    <definedName name="WA_011b">#REF!</definedName>
    <definedName name="WA_012b" localSheetId="1">#REF!</definedName>
    <definedName name="WA_012b" localSheetId="2">#REF!</definedName>
    <definedName name="WA_012b" localSheetId="5">#REF!</definedName>
    <definedName name="WA_012b" localSheetId="6">#REF!</definedName>
    <definedName name="WA_012b" localSheetId="7">#REF!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 localSheetId="18">#REF!</definedName>
    <definedName name="WA_012b" localSheetId="19">#REF!</definedName>
    <definedName name="WA_012b" localSheetId="20">#REF!</definedName>
    <definedName name="WA_012b" localSheetId="21">#REF!</definedName>
    <definedName name="WA_012b">#REF!</definedName>
    <definedName name="WA_021b" localSheetId="1">#REF!</definedName>
    <definedName name="WA_021b" localSheetId="2">#REF!</definedName>
    <definedName name="WA_021b" localSheetId="5">#REF!</definedName>
    <definedName name="WA_021b" localSheetId="6">#REF!</definedName>
    <definedName name="WA_021b" localSheetId="7">#REF!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 localSheetId="18">#REF!</definedName>
    <definedName name="WA_021b" localSheetId="19">#REF!</definedName>
    <definedName name="WA_021b" localSheetId="20">#REF!</definedName>
    <definedName name="WA_021b" localSheetId="21">#REF!</definedName>
    <definedName name="WA_021b">#REF!</definedName>
    <definedName name="WA_Elec" localSheetId="1">#REF!</definedName>
    <definedName name="WA_Elec" localSheetId="2">#REF!</definedName>
    <definedName name="WA_Elec" localSheetId="5">#REF!</definedName>
    <definedName name="WA_Elec" localSheetId="6">#REF!</definedName>
    <definedName name="WA_Elec" localSheetId="8">#REF!</definedName>
    <definedName name="WA_Elec" localSheetId="9">#REF!</definedName>
    <definedName name="WA_Elec" localSheetId="10">#REF!</definedName>
    <definedName name="WA_Elec" localSheetId="11">#REF!</definedName>
    <definedName name="WA_Elec" localSheetId="12">#REF!</definedName>
    <definedName name="WA_Elec" localSheetId="13">#REF!</definedName>
    <definedName name="WA_Elec" localSheetId="14">#REF!</definedName>
    <definedName name="WA_Elec" localSheetId="15">#REF!</definedName>
    <definedName name="WA_Elec" localSheetId="16">#REF!</definedName>
    <definedName name="WA_Elec" localSheetId="17">#REF!</definedName>
    <definedName name="WA_Elec" localSheetId="18">#REF!</definedName>
    <definedName name="WA_Elec" localSheetId="19">#REF!</definedName>
    <definedName name="WA_Elec" localSheetId="20">#REF!</definedName>
    <definedName name="WA_Elec" localSheetId="21">#REF!</definedName>
    <definedName name="WA_Elec">#REF!</definedName>
    <definedName name="WA_Gas" localSheetId="1">#REF!</definedName>
    <definedName name="WA_Gas" localSheetId="2">#REF!</definedName>
    <definedName name="WA_Gas" localSheetId="5">#REF!</definedName>
    <definedName name="WA_Gas" localSheetId="6">#REF!</definedName>
    <definedName name="WA_Gas" localSheetId="7">'[4]DEBT CALC'!#REF!</definedName>
    <definedName name="WA_Gas" localSheetId="8">'[4]DEBT CALC'!#REF!</definedName>
    <definedName name="WA_Gas" localSheetId="9">'[4]DEBT CALC'!#REF!</definedName>
    <definedName name="WA_Gas" localSheetId="10">'[4]DEBT CALC'!#REF!</definedName>
    <definedName name="WA_Gas" localSheetId="11">'[4]DEBT CALC'!#REF!</definedName>
    <definedName name="WA_Gas" localSheetId="12">'[4]DEBT CALC'!#REF!</definedName>
    <definedName name="WA_Gas" localSheetId="13">'[4]DEBT CALC'!#REF!</definedName>
    <definedName name="WA_Gas" localSheetId="14">'[4]DEBT CALC'!#REF!</definedName>
    <definedName name="WA_Gas" localSheetId="15">'[4]DEBT CALC'!#REF!</definedName>
    <definedName name="WA_Gas" localSheetId="16">'[4]DEBT CALC'!#REF!</definedName>
    <definedName name="WA_Gas" localSheetId="17">'[4]DEBT CALC'!#REF!</definedName>
    <definedName name="WA_Gas" localSheetId="18">'[4]DEBT CALC'!#REF!</definedName>
    <definedName name="WA_Gas" localSheetId="19">'[4]DEBT CALC'!#REF!</definedName>
    <definedName name="WA_Gas" localSheetId="20">'[4]DEBT CALC'!#REF!</definedName>
    <definedName name="WA_Gas" localSheetId="21">'[4]DEBT CALC'!#REF!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22" hidden="1">'Cost Trends'!#REF!</definedName>
    <definedName name="Z_5BE913A1_B14F_11D2_B0DC_0000832CDFF0_.wvu.PrintArea" localSheetId="22" hidden="1">'Cost Trends'!$Q$11:$Q$91</definedName>
    <definedName name="Z_5BE913A1_B14F_11D2_B0DC_0000832CDFF0_.wvu.PrintTitles" localSheetId="22" hidden="1">'Cost Trends'!$A:$D,'Cost Trends'!$1:$8</definedName>
    <definedName name="Z_A15D1964_B049_11D2_8670_0000832CEEE8_.wvu.Cols" localSheetId="22" hidden="1">'Cost Trends'!#REF!</definedName>
    <definedName name="Z_A15D1964_B049_11D2_8670_0000832CEEE8_.wvu.PrintArea" localSheetId="22" hidden="1">'Cost Trends'!$Q$11:$Q$91</definedName>
    <definedName name="Z_A15D1964_B049_11D2_8670_0000832CEEE8_.wvu.PrintTitles" localSheetId="22" hidden="1">'Cost Trends'!$A:$D,'Cost Trends'!$1:$8</definedName>
  </definedNames>
  <calcPr calcId="171027" calcMode="manual"/>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E11" i="7" l="1"/>
  <c r="N16" i="7" l="1"/>
  <c r="N12" i="7"/>
  <c r="E83" i="38" l="1"/>
  <c r="I83" i="38" s="1"/>
  <c r="E82" i="38"/>
  <c r="I82" i="38" s="1"/>
  <c r="E81" i="38"/>
  <c r="I81" i="38" s="1"/>
  <c r="E80" i="38"/>
  <c r="I80" i="38" s="1"/>
  <c r="M80" i="38" s="1"/>
  <c r="N80" i="38" s="1"/>
  <c r="S80" i="38" s="1"/>
  <c r="H79" i="38"/>
  <c r="H85" i="38" s="1"/>
  <c r="G79" i="38"/>
  <c r="G85" i="38" s="1"/>
  <c r="G59" i="38" s="1"/>
  <c r="F79" i="38"/>
  <c r="F85" i="38" s="1"/>
  <c r="E78" i="38"/>
  <c r="I78" i="38" s="1"/>
  <c r="Q77" i="38"/>
  <c r="Q79" i="38" s="1"/>
  <c r="Q85" i="38" s="1"/>
  <c r="H77" i="38"/>
  <c r="G77" i="38"/>
  <c r="F77" i="38"/>
  <c r="Q76" i="38"/>
  <c r="H76" i="38"/>
  <c r="G76" i="38"/>
  <c r="F76" i="38"/>
  <c r="E75" i="38"/>
  <c r="I75" i="38" s="1"/>
  <c r="E74" i="38"/>
  <c r="I74" i="38" s="1"/>
  <c r="E73" i="38"/>
  <c r="I73" i="38" s="1"/>
  <c r="Q70" i="38"/>
  <c r="H70" i="38"/>
  <c r="G70" i="38"/>
  <c r="F70" i="38"/>
  <c r="E69" i="38"/>
  <c r="I69" i="38" s="1"/>
  <c r="E68" i="38"/>
  <c r="I68" i="38" s="1"/>
  <c r="E67" i="38"/>
  <c r="E61" i="38"/>
  <c r="I61" i="38" s="1"/>
  <c r="N61" i="38" s="1"/>
  <c r="S61" i="38" s="1"/>
  <c r="E60" i="38"/>
  <c r="I60" i="38" s="1"/>
  <c r="N60" i="38" s="1"/>
  <c r="S60" i="38" s="1"/>
  <c r="G58" i="38"/>
  <c r="F58" i="38"/>
  <c r="S56" i="38"/>
  <c r="Q56" i="38"/>
  <c r="O56" i="38"/>
  <c r="N56" i="38"/>
  <c r="M56" i="38"/>
  <c r="K56" i="38"/>
  <c r="I56" i="38"/>
  <c r="H56" i="38"/>
  <c r="G56" i="38"/>
  <c r="F56" i="38"/>
  <c r="E56" i="38"/>
  <c r="E52" i="38"/>
  <c r="Q46" i="38"/>
  <c r="Q44" i="38"/>
  <c r="J44" i="38"/>
  <c r="J46" i="38" s="1"/>
  <c r="H44" i="38"/>
  <c r="H46" i="38" s="1"/>
  <c r="H63" i="38" s="1"/>
  <c r="Q43" i="38"/>
  <c r="J43" i="38"/>
  <c r="H43" i="38"/>
  <c r="E42" i="38"/>
  <c r="I42" i="38" s="1"/>
  <c r="F41" i="38"/>
  <c r="F43" i="38" s="1"/>
  <c r="E41" i="38"/>
  <c r="E40" i="38"/>
  <c r="I40" i="38" s="1"/>
  <c r="G39" i="38"/>
  <c r="G43" i="38" s="1"/>
  <c r="E39" i="38"/>
  <c r="E36" i="38"/>
  <c r="I36" i="38" s="1"/>
  <c r="M36" i="38" s="1"/>
  <c r="N36" i="38" s="1"/>
  <c r="S36" i="38" s="1"/>
  <c r="E35" i="38"/>
  <c r="I35" i="38" s="1"/>
  <c r="G34" i="38"/>
  <c r="E34" i="38"/>
  <c r="Q32" i="38"/>
  <c r="H32" i="38"/>
  <c r="F32" i="38"/>
  <c r="G31" i="38"/>
  <c r="G32" i="38" s="1"/>
  <c r="E31" i="38"/>
  <c r="E30" i="38"/>
  <c r="I30" i="38" s="1"/>
  <c r="E29" i="38"/>
  <c r="I29" i="38" s="1"/>
  <c r="O26" i="38"/>
  <c r="H26" i="38"/>
  <c r="G26" i="38"/>
  <c r="F26" i="38"/>
  <c r="E25" i="38"/>
  <c r="I25" i="38" s="1"/>
  <c r="E24" i="38"/>
  <c r="E23" i="38"/>
  <c r="I23" i="38" s="1"/>
  <c r="O20" i="38"/>
  <c r="H20" i="38"/>
  <c r="F20" i="38"/>
  <c r="E19" i="38"/>
  <c r="I19" i="38" s="1"/>
  <c r="E18" i="38"/>
  <c r="I18" i="38" s="1"/>
  <c r="G17" i="38"/>
  <c r="G20" i="38" s="1"/>
  <c r="E17" i="38"/>
  <c r="M13" i="38"/>
  <c r="H13" i="38"/>
  <c r="F13" i="38"/>
  <c r="G12" i="38"/>
  <c r="E12" i="38"/>
  <c r="K11" i="38"/>
  <c r="G11" i="38"/>
  <c r="E11" i="38"/>
  <c r="K10" i="38"/>
  <c r="G10" i="38"/>
  <c r="E10" i="38"/>
  <c r="A9" i="38"/>
  <c r="E83" i="37"/>
  <c r="I83" i="37" s="1"/>
  <c r="E82" i="37"/>
  <c r="I82" i="37" s="1"/>
  <c r="E81" i="37"/>
  <c r="I81" i="37" s="1"/>
  <c r="E80" i="37"/>
  <c r="I80" i="37" s="1"/>
  <c r="G79" i="37"/>
  <c r="G85" i="37" s="1"/>
  <c r="G59" i="37" s="1"/>
  <c r="E78" i="37"/>
  <c r="I78" i="37" s="1"/>
  <c r="Q77" i="37"/>
  <c r="Q79" i="37" s="1"/>
  <c r="Q85" i="37" s="1"/>
  <c r="H77" i="37"/>
  <c r="H79" i="37" s="1"/>
  <c r="H85" i="37" s="1"/>
  <c r="G77" i="37"/>
  <c r="Q76" i="37"/>
  <c r="H76" i="37"/>
  <c r="G76" i="37"/>
  <c r="F76" i="37"/>
  <c r="E75" i="37"/>
  <c r="I75" i="37" s="1"/>
  <c r="E74" i="37"/>
  <c r="I74" i="37" s="1"/>
  <c r="E73" i="37"/>
  <c r="I73" i="37" s="1"/>
  <c r="Q70" i="37"/>
  <c r="H70" i="37"/>
  <c r="G70" i="37"/>
  <c r="F70" i="37"/>
  <c r="F77" i="37" s="1"/>
  <c r="F79" i="37" s="1"/>
  <c r="F85" i="37" s="1"/>
  <c r="E69" i="37"/>
  <c r="I69" i="37" s="1"/>
  <c r="E68" i="37"/>
  <c r="I68" i="37" s="1"/>
  <c r="E67" i="37"/>
  <c r="I67" i="37" s="1"/>
  <c r="E61" i="37"/>
  <c r="I61" i="37" s="1"/>
  <c r="N61" i="37" s="1"/>
  <c r="S61" i="37" s="1"/>
  <c r="E60" i="37"/>
  <c r="I60" i="37" s="1"/>
  <c r="N60" i="37" s="1"/>
  <c r="S60" i="37" s="1"/>
  <c r="G58" i="37"/>
  <c r="F58" i="37"/>
  <c r="S56" i="37"/>
  <c r="Q56" i="37"/>
  <c r="O56" i="37"/>
  <c r="N56" i="37"/>
  <c r="M56" i="37"/>
  <c r="K56" i="37"/>
  <c r="I56" i="37"/>
  <c r="H56" i="37"/>
  <c r="G56" i="37"/>
  <c r="F56" i="37"/>
  <c r="E56" i="37"/>
  <c r="E52" i="37"/>
  <c r="J44" i="37"/>
  <c r="J46" i="37" s="1"/>
  <c r="Q43" i="37"/>
  <c r="J43" i="37"/>
  <c r="H43" i="37"/>
  <c r="E42" i="37"/>
  <c r="I42" i="37" s="1"/>
  <c r="F41" i="37"/>
  <c r="F43" i="37" s="1"/>
  <c r="E41" i="37"/>
  <c r="E40" i="37"/>
  <c r="I40" i="37" s="1"/>
  <c r="G39" i="37"/>
  <c r="G43" i="37" s="1"/>
  <c r="E39" i="37"/>
  <c r="E36" i="37"/>
  <c r="I36" i="37" s="1"/>
  <c r="E35" i="37"/>
  <c r="I35" i="37" s="1"/>
  <c r="G34" i="37"/>
  <c r="E34" i="37"/>
  <c r="Q32" i="37"/>
  <c r="Q44" i="37" s="1"/>
  <c r="Q46" i="37" s="1"/>
  <c r="H32" i="37"/>
  <c r="F32" i="37"/>
  <c r="G31" i="37"/>
  <c r="E31" i="37"/>
  <c r="E30" i="37"/>
  <c r="I30" i="37" s="1"/>
  <c r="E29" i="37"/>
  <c r="I29" i="37" s="1"/>
  <c r="O26" i="37"/>
  <c r="H26" i="37"/>
  <c r="G26" i="37"/>
  <c r="F26" i="37"/>
  <c r="E25" i="37"/>
  <c r="I25" i="37" s="1"/>
  <c r="E24" i="37"/>
  <c r="I24" i="37" s="1"/>
  <c r="E23" i="37"/>
  <c r="I23" i="37" s="1"/>
  <c r="O20" i="37"/>
  <c r="H20" i="37"/>
  <c r="H44" i="37" s="1"/>
  <c r="F20" i="37"/>
  <c r="E19" i="37"/>
  <c r="I19" i="37" s="1"/>
  <c r="E18" i="37"/>
  <c r="I18" i="37" s="1"/>
  <c r="G17" i="37"/>
  <c r="G20" i="37" s="1"/>
  <c r="E17" i="37"/>
  <c r="M13" i="37"/>
  <c r="H13" i="37"/>
  <c r="F13" i="37"/>
  <c r="G12" i="37"/>
  <c r="E12" i="37"/>
  <c r="K11" i="37"/>
  <c r="G11" i="37"/>
  <c r="E11" i="37"/>
  <c r="K10" i="37"/>
  <c r="G10" i="37"/>
  <c r="E10" i="37"/>
  <c r="A9" i="37"/>
  <c r="K11" i="5"/>
  <c r="K10" i="5"/>
  <c r="G28" i="40" s="1"/>
  <c r="G26" i="40" s="1"/>
  <c r="I12" i="38" l="1"/>
  <c r="N12" i="38" s="1"/>
  <c r="O12" i="38" s="1"/>
  <c r="S12" i="38" s="1"/>
  <c r="I11" i="38"/>
  <c r="N11" i="38" s="1"/>
  <c r="H46" i="37"/>
  <c r="H63" i="37" s="1"/>
  <c r="E43" i="38"/>
  <c r="F44" i="38"/>
  <c r="F46" i="38" s="1"/>
  <c r="F63" i="38" s="1"/>
  <c r="I34" i="37"/>
  <c r="I11" i="37"/>
  <c r="N11" i="37" s="1"/>
  <c r="O11" i="37" s="1"/>
  <c r="S11" i="37" s="1"/>
  <c r="I17" i="37"/>
  <c r="N17" i="37" s="1"/>
  <c r="S17" i="37" s="1"/>
  <c r="E13" i="38"/>
  <c r="I34" i="38"/>
  <c r="I41" i="37"/>
  <c r="M41" i="37" s="1"/>
  <c r="N41" i="37" s="1"/>
  <c r="S41" i="37" s="1"/>
  <c r="E20" i="38"/>
  <c r="I26" i="38"/>
  <c r="F44" i="37"/>
  <c r="F46" i="37" s="1"/>
  <c r="F63" i="37" s="1"/>
  <c r="I17" i="38"/>
  <c r="N17" i="38" s="1"/>
  <c r="S17" i="38" s="1"/>
  <c r="I39" i="38"/>
  <c r="E13" i="37"/>
  <c r="E26" i="38"/>
  <c r="G13" i="38"/>
  <c r="I24" i="38"/>
  <c r="I41" i="38"/>
  <c r="E70" i="38"/>
  <c r="E76" i="38"/>
  <c r="I10" i="38"/>
  <c r="N10" i="38" s="1"/>
  <c r="O10" i="38" s="1"/>
  <c r="S10" i="38" s="1"/>
  <c r="I67" i="38"/>
  <c r="I70" i="38" s="1"/>
  <c r="M42" i="38"/>
  <c r="N42" i="38" s="1"/>
  <c r="S42" i="38" s="1"/>
  <c r="M81" i="38"/>
  <c r="N81" i="38" s="1"/>
  <c r="S81" i="38" s="1"/>
  <c r="M82" i="38"/>
  <c r="N82" i="38"/>
  <c r="S82" i="38" s="1"/>
  <c r="M83" i="37"/>
  <c r="N83" i="37" s="1"/>
  <c r="S83" i="37" s="1"/>
  <c r="M36" i="37"/>
  <c r="N36" i="37" s="1"/>
  <c r="S36" i="37" s="1"/>
  <c r="M19" i="38"/>
  <c r="N19" i="38" s="1"/>
  <c r="S19" i="38" s="1"/>
  <c r="G44" i="38"/>
  <c r="I31" i="37"/>
  <c r="I32" i="37" s="1"/>
  <c r="I76" i="38"/>
  <c r="I31" i="38"/>
  <c r="I32" i="38" s="1"/>
  <c r="I12" i="37"/>
  <c r="N12" i="37" s="1"/>
  <c r="O12" i="37" s="1"/>
  <c r="S12" i="37" s="1"/>
  <c r="E32" i="38"/>
  <c r="G26" i="39"/>
  <c r="E43" i="37"/>
  <c r="G13" i="37"/>
  <c r="O11" i="38"/>
  <c r="S11" i="38" s="1"/>
  <c r="M83" i="38"/>
  <c r="N83" i="38" s="1"/>
  <c r="S83" i="38" s="1"/>
  <c r="A10" i="38"/>
  <c r="M80" i="37"/>
  <c r="N80" i="37" s="1"/>
  <c r="S80" i="37" s="1"/>
  <c r="M81" i="37"/>
  <c r="N81" i="37" s="1"/>
  <c r="S81" i="37" s="1"/>
  <c r="M19" i="37"/>
  <c r="N19" i="37" s="1"/>
  <c r="S19" i="37" s="1"/>
  <c r="I70" i="37"/>
  <c r="M82" i="37"/>
  <c r="N82" i="37" s="1"/>
  <c r="S82" i="37" s="1"/>
  <c r="I76" i="37"/>
  <c r="M42" i="37"/>
  <c r="N42" i="37" s="1"/>
  <c r="S42" i="37" s="1"/>
  <c r="G32" i="37"/>
  <c r="G44" i="37" s="1"/>
  <c r="I39" i="37"/>
  <c r="I10" i="37"/>
  <c r="I26" i="37"/>
  <c r="E70" i="37"/>
  <c r="E76" i="37"/>
  <c r="E20" i="37"/>
  <c r="E26" i="37"/>
  <c r="A10" i="37"/>
  <c r="A11" i="37" s="1"/>
  <c r="E32" i="37"/>
  <c r="I43" i="38" l="1"/>
  <c r="I20" i="37"/>
  <c r="I13" i="38"/>
  <c r="N13" i="38"/>
  <c r="E44" i="38"/>
  <c r="E46" i="38" s="1"/>
  <c r="G46" i="38"/>
  <c r="G63" i="38" s="1"/>
  <c r="E77" i="38"/>
  <c r="E79" i="38" s="1"/>
  <c r="E85" i="38" s="1"/>
  <c r="M41" i="38"/>
  <c r="N41" i="38" s="1"/>
  <c r="S41" i="38" s="1"/>
  <c r="I20" i="38"/>
  <c r="I44" i="38" s="1"/>
  <c r="G46" i="37"/>
  <c r="G63" i="37" s="1"/>
  <c r="E77" i="37"/>
  <c r="E79" i="37" s="1"/>
  <c r="E85" i="37" s="1"/>
  <c r="I77" i="38"/>
  <c r="I79" i="38" s="1"/>
  <c r="I85" i="38" s="1"/>
  <c r="O34" i="38"/>
  <c r="O39" i="38"/>
  <c r="O43" i="38" s="1"/>
  <c r="O13" i="38"/>
  <c r="O31" i="38"/>
  <c r="O32" i="38" s="1"/>
  <c r="S97" i="38"/>
  <c r="G10" i="40" s="1"/>
  <c r="G16" i="40" s="1"/>
  <c r="S13" i="38"/>
  <c r="A11" i="38"/>
  <c r="A12" i="38" s="1"/>
  <c r="I77" i="37"/>
  <c r="I79" i="37" s="1"/>
  <c r="I85" i="37" s="1"/>
  <c r="I43" i="37"/>
  <c r="I44" i="37" s="1"/>
  <c r="E44" i="37"/>
  <c r="E46" i="37" s="1"/>
  <c r="N10" i="37"/>
  <c r="I13" i="37"/>
  <c r="A12" i="37"/>
  <c r="A13" i="37" s="1"/>
  <c r="I46" i="38" l="1"/>
  <c r="O44" i="38"/>
  <c r="O46" i="38" s="1"/>
  <c r="A13" i="38"/>
  <c r="A15" i="38" s="1"/>
  <c r="A15" i="37"/>
  <c r="A16" i="37" s="1"/>
  <c r="I46" i="37"/>
  <c r="N13" i="37"/>
  <c r="O10" i="37"/>
  <c r="O58" i="38" l="1"/>
  <c r="O63" i="38" s="1"/>
  <c r="A16" i="38"/>
  <c r="A17" i="37"/>
  <c r="O34" i="37"/>
  <c r="O39" i="37"/>
  <c r="O43" i="37" s="1"/>
  <c r="O13" i="37"/>
  <c r="O31" i="37"/>
  <c r="O32" i="37" s="1"/>
  <c r="S10" i="37"/>
  <c r="A17" i="38" l="1"/>
  <c r="A18" i="37"/>
  <c r="O44" i="37"/>
  <c r="O46" i="37" s="1"/>
  <c r="S97" i="37"/>
  <c r="G10" i="39" s="1"/>
  <c r="G16" i="39" s="1"/>
  <c r="S13" i="37"/>
  <c r="A18" i="38" l="1"/>
  <c r="A19" i="37"/>
  <c r="O58" i="37"/>
  <c r="O63" i="37" s="1"/>
  <c r="A19" i="38" l="1"/>
  <c r="A20" i="37"/>
  <c r="A20" i="38" l="1"/>
  <c r="A22" i="37"/>
  <c r="A23" i="37" s="1"/>
  <c r="A24" i="37" s="1"/>
  <c r="A25" i="37" s="1"/>
  <c r="A26" i="37" s="1"/>
  <c r="A28" i="37" s="1"/>
  <c r="A29" i="37" s="1"/>
  <c r="A30" i="37" s="1"/>
  <c r="A31" i="37" s="1"/>
  <c r="A32" i="37" s="1"/>
  <c r="A34" i="37" s="1"/>
  <c r="A35" i="37" s="1"/>
  <c r="A36" i="37" s="1"/>
  <c r="A38" i="37" s="1"/>
  <c r="A39" i="37" s="1"/>
  <c r="A40" i="37" s="1"/>
  <c r="A41" i="37" s="1"/>
  <c r="A42" i="37" s="1"/>
  <c r="A43" i="37" s="1"/>
  <c r="A44" i="37" s="1"/>
  <c r="A46" i="37" s="1"/>
  <c r="A57" i="37" s="1"/>
  <c r="A58" i="37" s="1"/>
  <c r="A59" i="37" s="1"/>
  <c r="A60" i="37" s="1"/>
  <c r="A61" i="37" s="1"/>
  <c r="A63" i="37" s="1"/>
  <c r="A65" i="37" s="1"/>
  <c r="A66" i="37" s="1"/>
  <c r="A67" i="37" s="1"/>
  <c r="A68" i="37" s="1"/>
  <c r="A69" i="37" s="1"/>
  <c r="A70" i="37" s="1"/>
  <c r="A72" i="37" s="1"/>
  <c r="A73" i="37" s="1"/>
  <c r="A74" i="37" s="1"/>
  <c r="A75" i="37" s="1"/>
  <c r="A76" i="37" s="1"/>
  <c r="A77" i="37" s="1"/>
  <c r="A78" i="37" s="1"/>
  <c r="A79" i="37" s="1"/>
  <c r="A80" i="37" s="1"/>
  <c r="A81" i="37" s="1"/>
  <c r="A82" i="37" s="1"/>
  <c r="A83" i="37" s="1"/>
  <c r="A84" i="37" s="1"/>
  <c r="A85" i="37" s="1"/>
  <c r="A88" i="37" s="1"/>
  <c r="A90" i="37" s="1"/>
  <c r="A91" i="37" s="1"/>
  <c r="A92" i="37" s="1"/>
  <c r="A93" i="37" s="1"/>
  <c r="A94" i="37" s="1"/>
  <c r="A95" i="37" s="1"/>
  <c r="A96" i="37" s="1"/>
  <c r="A97" i="37" s="1"/>
  <c r="A98" i="37" s="1"/>
  <c r="A22" i="38" l="1"/>
  <c r="A23" i="38" s="1"/>
  <c r="A24" i="38" s="1"/>
  <c r="A25" i="38" s="1"/>
  <c r="A26" i="38" s="1"/>
  <c r="A28" i="38" s="1"/>
  <c r="A29" i="38" s="1"/>
  <c r="A30" i="38" s="1"/>
  <c r="A31" i="38" s="1"/>
  <c r="A32" i="38" s="1"/>
  <c r="A34" i="38" s="1"/>
  <c r="A35" i="38" s="1"/>
  <c r="A36" i="38" s="1"/>
  <c r="A38" i="38" s="1"/>
  <c r="A39" i="38" s="1"/>
  <c r="A40" i="38" s="1"/>
  <c r="A41" i="38" s="1"/>
  <c r="A42" i="38" s="1"/>
  <c r="A43" i="38" s="1"/>
  <c r="A44" i="38" s="1"/>
  <c r="A46" i="38" s="1"/>
  <c r="A57" i="38" s="1"/>
  <c r="A58" i="38" s="1"/>
  <c r="A59" i="38" s="1"/>
  <c r="A60" i="38" s="1"/>
  <c r="A61" i="38" s="1"/>
  <c r="A63" i="38" s="1"/>
  <c r="A65" i="38" s="1"/>
  <c r="A66" i="38" s="1"/>
  <c r="A67" i="38" s="1"/>
  <c r="A68" i="38" s="1"/>
  <c r="A69" i="38" s="1"/>
  <c r="A70" i="38" s="1"/>
  <c r="A72" i="38" s="1"/>
  <c r="A73" i="38" s="1"/>
  <c r="A74" i="38" s="1"/>
  <c r="A75" i="38" s="1"/>
  <c r="A76" i="38" s="1"/>
  <c r="A77" i="38" s="1"/>
  <c r="A78" i="38" s="1"/>
  <c r="A79" i="38" s="1"/>
  <c r="A80" i="38" s="1"/>
  <c r="A81" i="38" s="1"/>
  <c r="A82" i="38" s="1"/>
  <c r="A83" i="38" s="1"/>
  <c r="A84" i="38" s="1"/>
  <c r="A85" i="38" s="1"/>
  <c r="A88" i="38" s="1"/>
  <c r="A90" i="38" s="1"/>
  <c r="A91" i="38" s="1"/>
  <c r="A92" i="38" s="1"/>
  <c r="A93" i="38" s="1"/>
  <c r="A94" i="38" s="1"/>
  <c r="A95" i="38" s="1"/>
  <c r="A96" i="38" s="1"/>
  <c r="A97" i="38" s="1"/>
  <c r="A98" i="38" s="1"/>
  <c r="G58" i="5" l="1"/>
  <c r="H32" i="9"/>
  <c r="R12" i="29"/>
  <c r="Q12" i="29"/>
  <c r="R12" i="27"/>
  <c r="Q12" i="27"/>
  <c r="R12" i="26"/>
  <c r="Q12" i="26"/>
  <c r="G39" i="5" l="1"/>
  <c r="G34" i="5"/>
  <c r="G31" i="5"/>
  <c r="G17" i="5"/>
  <c r="G12" i="5"/>
  <c r="G11" i="5"/>
  <c r="G10" i="5"/>
  <c r="F58" i="5"/>
  <c r="F41" i="5"/>
  <c r="E83" i="5"/>
  <c r="E82" i="5"/>
  <c r="E80" i="5"/>
  <c r="E78" i="5"/>
  <c r="E75" i="5"/>
  <c r="E74" i="5"/>
  <c r="E73" i="5"/>
  <c r="E69" i="5"/>
  <c r="E68" i="5"/>
  <c r="E67" i="5"/>
  <c r="E52" i="5"/>
  <c r="E61" i="5"/>
  <c r="E60" i="5"/>
  <c r="E42" i="5"/>
  <c r="E41" i="5"/>
  <c r="E40" i="5"/>
  <c r="E39" i="5"/>
  <c r="E36" i="5"/>
  <c r="E35" i="5"/>
  <c r="E34" i="5"/>
  <c r="E31" i="5"/>
  <c r="E30" i="5"/>
  <c r="E29" i="5"/>
  <c r="E25" i="5"/>
  <c r="E24" i="5"/>
  <c r="E23" i="5"/>
  <c r="E19" i="5"/>
  <c r="E18" i="5"/>
  <c r="E17" i="5"/>
  <c r="E12" i="5"/>
  <c r="E11" i="5"/>
  <c r="E10" i="5"/>
  <c r="Q11" i="34" l="1"/>
  <c r="R11" i="34"/>
  <c r="Q14" i="34"/>
  <c r="R14" i="34"/>
  <c r="Q69" i="34"/>
  <c r="R69" i="34"/>
  <c r="Q73" i="34"/>
  <c r="R73" i="34"/>
  <c r="Q74" i="34"/>
  <c r="R74" i="34"/>
  <c r="R75" i="34" s="1"/>
  <c r="R76" i="34" s="1"/>
  <c r="Q75" i="34"/>
  <c r="Q76" i="34" s="1"/>
  <c r="Q11" i="33"/>
  <c r="Q15" i="33" s="1"/>
  <c r="R11" i="33"/>
  <c r="R15" i="33" s="1"/>
  <c r="Q12" i="33"/>
  <c r="R12" i="33"/>
  <c r="Q69" i="33"/>
  <c r="R69" i="33"/>
  <c r="Q73" i="33"/>
  <c r="R73" i="33"/>
  <c r="Q74" i="33"/>
  <c r="Q75" i="33" s="1"/>
  <c r="Q76" i="33" s="1"/>
  <c r="R74" i="33"/>
  <c r="R75" i="33" s="1"/>
  <c r="R76" i="33" s="1"/>
  <c r="P11" i="32"/>
  <c r="Q11" i="32"/>
  <c r="R11" i="32"/>
  <c r="R15" i="32" s="1"/>
  <c r="P12" i="32"/>
  <c r="Q12" i="32"/>
  <c r="R12" i="32"/>
  <c r="P15" i="32"/>
  <c r="Q15" i="32"/>
  <c r="P69" i="32"/>
  <c r="Q69" i="32"/>
  <c r="R69" i="32"/>
  <c r="P73" i="32"/>
  <c r="Q73" i="32"/>
  <c r="R73" i="32"/>
  <c r="P74" i="32"/>
  <c r="Q74" i="32" s="1"/>
  <c r="Q11" i="31"/>
  <c r="R11" i="31"/>
  <c r="Q12" i="31"/>
  <c r="R12" i="31"/>
  <c r="Q15" i="31"/>
  <c r="R15" i="31"/>
  <c r="Q69" i="31"/>
  <c r="R69" i="31"/>
  <c r="Q73" i="31"/>
  <c r="R73" i="31"/>
  <c r="Q74" i="31"/>
  <c r="R74" i="31"/>
  <c r="Q75" i="31"/>
  <c r="Q76" i="31" s="1"/>
  <c r="R75" i="31"/>
  <c r="R76" i="31" s="1"/>
  <c r="Q11" i="30"/>
  <c r="R11" i="30"/>
  <c r="Q12" i="30"/>
  <c r="Q15" i="30"/>
  <c r="R15" i="30"/>
  <c r="Q70" i="30"/>
  <c r="R70" i="30"/>
  <c r="Q74" i="30"/>
  <c r="Q76" i="30" s="1"/>
  <c r="Q77" i="30" s="1"/>
  <c r="R74" i="30"/>
  <c r="Q75" i="30"/>
  <c r="R75" i="30"/>
  <c r="Q11" i="29"/>
  <c r="R11" i="29"/>
  <c r="Q15" i="29"/>
  <c r="R15" i="29"/>
  <c r="Q70" i="29"/>
  <c r="R70" i="29"/>
  <c r="Q74" i="29"/>
  <c r="R74" i="29"/>
  <c r="Q75" i="29"/>
  <c r="R75" i="29"/>
  <c r="Q76" i="29"/>
  <c r="Q77" i="29" s="1"/>
  <c r="R76" i="29"/>
  <c r="R77" i="29" s="1"/>
  <c r="Q11" i="28"/>
  <c r="Q15" i="28" s="1"/>
  <c r="R11" i="28"/>
  <c r="R15" i="28" s="1"/>
  <c r="Q70" i="28"/>
  <c r="R70" i="28"/>
  <c r="Q74" i="28"/>
  <c r="R74" i="28"/>
  <c r="Q75" i="28"/>
  <c r="R75" i="28" s="1"/>
  <c r="Q11" i="27"/>
  <c r="R11" i="27"/>
  <c r="Q15" i="27"/>
  <c r="R15" i="27"/>
  <c r="Q70" i="27"/>
  <c r="R70" i="27"/>
  <c r="Q74" i="27"/>
  <c r="R74" i="27"/>
  <c r="Q75" i="27"/>
  <c r="R75" i="27" s="1"/>
  <c r="R76" i="27" s="1"/>
  <c r="R77" i="27" s="1"/>
  <c r="Q76" i="27"/>
  <c r="Q77" i="27" s="1"/>
  <c r="Q11" i="26"/>
  <c r="R11" i="26"/>
  <c r="Q15" i="26"/>
  <c r="R15" i="26"/>
  <c r="Q70" i="26"/>
  <c r="R70" i="26"/>
  <c r="Q74" i="26"/>
  <c r="R74" i="26"/>
  <c r="Q75" i="26"/>
  <c r="R75" i="26"/>
  <c r="Q76" i="26"/>
  <c r="Q77" i="26" s="1"/>
  <c r="R76" i="26"/>
  <c r="R77" i="26" s="1"/>
  <c r="Q11" i="25"/>
  <c r="R11" i="25"/>
  <c r="Q14" i="25"/>
  <c r="R14" i="25"/>
  <c r="Q70" i="25"/>
  <c r="R70" i="25"/>
  <c r="Q74" i="25"/>
  <c r="R74" i="25"/>
  <c r="Q75" i="25"/>
  <c r="R75" i="25"/>
  <c r="Q76" i="25"/>
  <c r="Q77" i="25" s="1"/>
  <c r="R76" i="25"/>
  <c r="R77" i="25" s="1"/>
  <c r="Q11" i="24"/>
  <c r="Q14" i="24" s="1"/>
  <c r="R11" i="24"/>
  <c r="R14" i="24" s="1"/>
  <c r="Q70" i="24"/>
  <c r="R70" i="24"/>
  <c r="Q74" i="24"/>
  <c r="R74" i="24"/>
  <c r="Q75" i="24"/>
  <c r="R75" i="24" s="1"/>
  <c r="R76" i="24" s="1"/>
  <c r="R77" i="24" s="1"/>
  <c r="Q11" i="23"/>
  <c r="R11" i="23"/>
  <c r="Q14" i="23"/>
  <c r="R14" i="23"/>
  <c r="Q70" i="23"/>
  <c r="R70" i="23"/>
  <c r="Q74" i="23"/>
  <c r="R74" i="23"/>
  <c r="Q75" i="23"/>
  <c r="R75" i="23"/>
  <c r="Q11" i="22"/>
  <c r="Q14" i="22" s="1"/>
  <c r="R11" i="22"/>
  <c r="R14" i="22"/>
  <c r="Q70" i="22"/>
  <c r="R70" i="22"/>
  <c r="Q74" i="22"/>
  <c r="R74" i="22"/>
  <c r="Q75" i="22"/>
  <c r="R75" i="22" s="1"/>
  <c r="R76" i="22" s="1"/>
  <c r="R77" i="22" s="1"/>
  <c r="Q11" i="21"/>
  <c r="R11" i="21"/>
  <c r="Q14" i="21"/>
  <c r="R14" i="21"/>
  <c r="Q70" i="21"/>
  <c r="R70" i="21"/>
  <c r="Q74" i="21"/>
  <c r="R74" i="21"/>
  <c r="Q75" i="21"/>
  <c r="R75" i="21"/>
  <c r="R76" i="21" s="1"/>
  <c r="R77" i="21" s="1"/>
  <c r="Q76" i="21"/>
  <c r="Q77" i="21" s="1"/>
  <c r="Q11" i="20"/>
  <c r="R11" i="20"/>
  <c r="Q15" i="20"/>
  <c r="R15" i="20"/>
  <c r="Q70" i="20"/>
  <c r="R70" i="20"/>
  <c r="Q74" i="20"/>
  <c r="R74" i="20"/>
  <c r="Q75" i="20"/>
  <c r="R75" i="20"/>
  <c r="Q76" i="20"/>
  <c r="Q77" i="20" s="1"/>
  <c r="R76" i="20"/>
  <c r="R77" i="20" s="1"/>
  <c r="V146" i="1"/>
  <c r="V142" i="1"/>
  <c r="V139" i="1"/>
  <c r="V133" i="1"/>
  <c r="V136" i="1" s="1"/>
  <c r="V137" i="1" s="1"/>
  <c r="V132" i="1"/>
  <c r="V131" i="1"/>
  <c r="V130" i="1"/>
  <c r="V129" i="1"/>
  <c r="V125" i="1"/>
  <c r="V126" i="1" s="1"/>
  <c r="V124" i="1"/>
  <c r="V121" i="1"/>
  <c r="V120" i="1"/>
  <c r="V119" i="1"/>
  <c r="V118" i="1"/>
  <c r="V117" i="1"/>
  <c r="V100" i="1"/>
  <c r="V110" i="1"/>
  <c r="V109" i="1"/>
  <c r="V107" i="1"/>
  <c r="V106" i="1"/>
  <c r="V105" i="1"/>
  <c r="V104" i="1"/>
  <c r="V103" i="1"/>
  <c r="V102" i="1"/>
  <c r="V108" i="1" s="1"/>
  <c r="V84" i="1"/>
  <c r="V91" i="1" s="1"/>
  <c r="V82" i="1"/>
  <c r="V81" i="1"/>
  <c r="V75" i="1"/>
  <c r="V46" i="1"/>
  <c r="V48" i="1" s="1"/>
  <c r="V56" i="1" s="1"/>
  <c r="V45" i="1"/>
  <c r="V34" i="1"/>
  <c r="V28" i="1"/>
  <c r="V22" i="1"/>
  <c r="V15" i="1"/>
  <c r="V113" i="1" l="1"/>
  <c r="V114" i="1" s="1"/>
  <c r="R74" i="32"/>
  <c r="R75" i="32" s="1"/>
  <c r="R76" i="32" s="1"/>
  <c r="Q75" i="32"/>
  <c r="Q76" i="32" s="1"/>
  <c r="P75" i="32"/>
  <c r="P76" i="32" s="1"/>
  <c r="R76" i="30"/>
  <c r="R77" i="30" s="1"/>
  <c r="Q76" i="24"/>
  <c r="Q77" i="24" s="1"/>
  <c r="Q76" i="22"/>
  <c r="Q77" i="22" s="1"/>
  <c r="E81" i="5" l="1"/>
  <c r="AU63" i="2"/>
  <c r="AU19" i="2" s="1"/>
  <c r="AU20" i="2"/>
  <c r="AR20" i="2"/>
  <c r="AR19" i="2"/>
  <c r="AU18" i="2"/>
  <c r="AR18" i="2"/>
  <c r="T23" i="6"/>
  <c r="T11" i="6"/>
  <c r="AU27" i="2"/>
  <c r="AT27" i="2"/>
  <c r="AS27" i="2"/>
  <c r="AR27" i="2"/>
  <c r="AQ27" i="2"/>
  <c r="AP27" i="2"/>
  <c r="AT21" i="2"/>
  <c r="AS21" i="2"/>
  <c r="AQ21" i="2"/>
  <c r="AP21" i="2"/>
  <c r="AU13" i="2"/>
  <c r="AR13" i="2"/>
  <c r="T68" i="6"/>
  <c r="T64" i="6"/>
  <c r="AU21" i="2" l="1"/>
  <c r="AU65" i="2" s="1"/>
  <c r="AR21" i="2"/>
  <c r="AR65" i="2" s="1"/>
  <c r="A22" i="34" l="1"/>
  <c r="A23" i="33"/>
  <c r="A23" i="32"/>
  <c r="A23" i="31"/>
  <c r="A23" i="30"/>
  <c r="A23" i="29"/>
  <c r="A23" i="28"/>
  <c r="A23" i="27"/>
  <c r="A23" i="26"/>
  <c r="A22" i="25"/>
  <c r="A22" i="24"/>
  <c r="A22" i="23"/>
  <c r="A22" i="22"/>
  <c r="A22" i="21"/>
  <c r="A23" i="20"/>
  <c r="A9" i="5" l="1"/>
  <c r="A10" i="5" l="1"/>
  <c r="A11" i="5" l="1"/>
  <c r="A12" i="5" l="1"/>
  <c r="A13" i="5" l="1"/>
  <c r="A15" i="5" l="1"/>
  <c r="A16" i="5" l="1"/>
  <c r="A17" i="5" l="1"/>
  <c r="A18" i="5" s="1"/>
  <c r="A19" i="5" s="1"/>
  <c r="A20" i="5" l="1"/>
  <c r="A22" i="5" s="1"/>
  <c r="A23" i="5" s="1"/>
  <c r="A24" i="5" s="1"/>
  <c r="A25" i="5" s="1"/>
  <c r="A26" i="5" s="1"/>
  <c r="A28" i="5" s="1"/>
  <c r="A29" i="5" s="1"/>
  <c r="A30" i="5" l="1"/>
  <c r="A31" i="5" s="1"/>
  <c r="A32" i="5" s="1"/>
  <c r="A34" i="5" s="1"/>
  <c r="A35" i="5" s="1"/>
  <c r="A36" i="5" s="1"/>
  <c r="A38" i="5" s="1"/>
  <c r="A39" i="5" s="1"/>
  <c r="A40" i="5" s="1"/>
  <c r="A41" i="5" s="1"/>
  <c r="A42" i="5" s="1"/>
  <c r="A43" i="5" s="1"/>
  <c r="A44" i="5" s="1"/>
  <c r="A46" i="5" s="1"/>
  <c r="A57" i="5" s="1"/>
  <c r="A58" i="5" s="1"/>
  <c r="A59" i="5" s="1"/>
  <c r="A60" i="5" s="1"/>
  <c r="A61" i="5" s="1"/>
  <c r="A63" i="5" s="1"/>
  <c r="P12" i="33" l="1"/>
  <c r="O12" i="33"/>
  <c r="N12" i="33"/>
  <c r="M12" i="33"/>
  <c r="L12" i="33"/>
  <c r="K12" i="33"/>
  <c r="J12" i="33"/>
  <c r="I12" i="33"/>
  <c r="H12" i="33"/>
  <c r="G12" i="33"/>
  <c r="F12" i="33"/>
  <c r="E12" i="33"/>
  <c r="D12" i="33"/>
  <c r="C12" i="33"/>
  <c r="B12" i="33"/>
  <c r="P11" i="33"/>
  <c r="P15" i="33" s="1"/>
  <c r="O11" i="33"/>
  <c r="O15" i="33" s="1"/>
  <c r="N11" i="33"/>
  <c r="N15" i="33" s="1"/>
  <c r="M11" i="33"/>
  <c r="M15" i="33" s="1"/>
  <c r="L11" i="33"/>
  <c r="L15" i="33" s="1"/>
  <c r="K11" i="33"/>
  <c r="K15" i="33" s="1"/>
  <c r="J11" i="33"/>
  <c r="J15" i="33" s="1"/>
  <c r="I11" i="33"/>
  <c r="H11" i="33"/>
  <c r="H15" i="33" s="1"/>
  <c r="G11" i="33"/>
  <c r="F11" i="33"/>
  <c r="F15" i="33" s="1"/>
  <c r="E11" i="33"/>
  <c r="E15" i="33" s="1"/>
  <c r="D11" i="33"/>
  <c r="D15" i="33" s="1"/>
  <c r="C11" i="33"/>
  <c r="C15" i="33" s="1"/>
  <c r="B11" i="33"/>
  <c r="B15" i="33" s="1"/>
  <c r="O12" i="32"/>
  <c r="N12" i="32"/>
  <c r="M12" i="32"/>
  <c r="L12" i="32"/>
  <c r="K12" i="32"/>
  <c r="J12" i="32"/>
  <c r="I12" i="32"/>
  <c r="H12" i="32"/>
  <c r="G12" i="32"/>
  <c r="F12" i="32"/>
  <c r="E12" i="32"/>
  <c r="D12" i="32"/>
  <c r="C12" i="32"/>
  <c r="B12" i="32"/>
  <c r="P12" i="31"/>
  <c r="O12" i="31"/>
  <c r="N12" i="31"/>
  <c r="M12" i="31"/>
  <c r="L12" i="31"/>
  <c r="K12" i="31"/>
  <c r="J12" i="31"/>
  <c r="I12" i="31"/>
  <c r="H12" i="31"/>
  <c r="G12" i="31"/>
  <c r="F12" i="31"/>
  <c r="E12" i="31"/>
  <c r="D12" i="31"/>
  <c r="C12" i="31"/>
  <c r="B12" i="31"/>
  <c r="P11" i="31"/>
  <c r="O11" i="31"/>
  <c r="O15" i="31" s="1"/>
  <c r="N11" i="31"/>
  <c r="N15" i="31" s="1"/>
  <c r="M11" i="31"/>
  <c r="L11" i="31"/>
  <c r="L15" i="31" s="1"/>
  <c r="K11" i="31"/>
  <c r="K15" i="31" s="1"/>
  <c r="J11" i="31"/>
  <c r="J15" i="31" s="1"/>
  <c r="I11" i="31"/>
  <c r="H11" i="31"/>
  <c r="G11" i="31"/>
  <c r="G15" i="31" s="1"/>
  <c r="F11" i="31"/>
  <c r="F15" i="31" s="1"/>
  <c r="E11" i="31"/>
  <c r="D11" i="31"/>
  <c r="D15" i="31" s="1"/>
  <c r="C11" i="31"/>
  <c r="C15" i="31" s="1"/>
  <c r="B11" i="31"/>
  <c r="B15" i="31" s="1"/>
  <c r="M12" i="30"/>
  <c r="L12" i="30"/>
  <c r="K12" i="30"/>
  <c r="J12" i="30"/>
  <c r="I12" i="30"/>
  <c r="P11" i="30"/>
  <c r="P15" i="30" s="1"/>
  <c r="O11" i="30"/>
  <c r="N11" i="30"/>
  <c r="M11" i="30"/>
  <c r="P11" i="29"/>
  <c r="O11" i="29"/>
  <c r="N11" i="29"/>
  <c r="M11" i="29"/>
  <c r="L11" i="29"/>
  <c r="K11" i="29"/>
  <c r="J11" i="29"/>
  <c r="I11" i="29"/>
  <c r="H11" i="29"/>
  <c r="G11" i="29"/>
  <c r="F11" i="29"/>
  <c r="E11" i="29"/>
  <c r="D11" i="29"/>
  <c r="C11" i="29"/>
  <c r="B11" i="29"/>
  <c r="M12" i="28"/>
  <c r="L12" i="28"/>
  <c r="K12" i="28"/>
  <c r="J12" i="28"/>
  <c r="I12" i="28"/>
  <c r="H12" i="28"/>
  <c r="G12" i="28"/>
  <c r="F12" i="28"/>
  <c r="E12" i="28"/>
  <c r="D12" i="28"/>
  <c r="C12" i="28"/>
  <c r="B12" i="28"/>
  <c r="P11" i="28"/>
  <c r="O11" i="28"/>
  <c r="N11" i="28"/>
  <c r="M11" i="28"/>
  <c r="M15" i="28" s="1"/>
  <c r="L11" i="28"/>
  <c r="L15" i="28" s="1"/>
  <c r="K11" i="28"/>
  <c r="K15" i="28" s="1"/>
  <c r="J11" i="28"/>
  <c r="I11" i="28"/>
  <c r="H11" i="28"/>
  <c r="G11" i="28"/>
  <c r="F11" i="28"/>
  <c r="E11" i="28"/>
  <c r="E15" i="28" s="1"/>
  <c r="D11" i="28"/>
  <c r="D15" i="28" s="1"/>
  <c r="C11" i="28"/>
  <c r="C15" i="28" s="1"/>
  <c r="B11" i="28"/>
  <c r="B15" i="28" s="1"/>
  <c r="P11" i="27"/>
  <c r="O11" i="27"/>
  <c r="N11" i="27"/>
  <c r="M11" i="27"/>
  <c r="L11" i="27"/>
  <c r="K11" i="27"/>
  <c r="J11" i="27"/>
  <c r="I11" i="27"/>
  <c r="H11" i="27"/>
  <c r="G11" i="27"/>
  <c r="F11" i="27"/>
  <c r="E11" i="27"/>
  <c r="D11" i="27"/>
  <c r="C11" i="27"/>
  <c r="B11" i="27"/>
  <c r="P11" i="26"/>
  <c r="O11" i="26"/>
  <c r="N11" i="26"/>
  <c r="M11" i="26"/>
  <c r="L11" i="26"/>
  <c r="K11" i="26"/>
  <c r="J11" i="26"/>
  <c r="I11" i="26"/>
  <c r="H11" i="26"/>
  <c r="G11" i="26"/>
  <c r="F11" i="26"/>
  <c r="E11" i="26"/>
  <c r="D11" i="26"/>
  <c r="C11" i="26"/>
  <c r="B11" i="26"/>
  <c r="P11" i="25"/>
  <c r="P14" i="25" s="1"/>
  <c r="O11" i="25"/>
  <c r="N11" i="25"/>
  <c r="M11" i="25"/>
  <c r="M14" i="25" s="1"/>
  <c r="L11" i="25"/>
  <c r="L14" i="25" s="1"/>
  <c r="K11" i="25"/>
  <c r="J11" i="25"/>
  <c r="I11" i="25"/>
  <c r="I14" i="25" s="1"/>
  <c r="H11" i="25"/>
  <c r="H14" i="25" s="1"/>
  <c r="G11" i="25"/>
  <c r="F11" i="25"/>
  <c r="E11" i="25"/>
  <c r="E14" i="25" s="1"/>
  <c r="D11" i="25"/>
  <c r="D14" i="25" s="1"/>
  <c r="C11" i="25"/>
  <c r="B11" i="25"/>
  <c r="B14" i="25" s="1"/>
  <c r="P11" i="24"/>
  <c r="O11" i="24"/>
  <c r="N11" i="24"/>
  <c r="N14" i="24" s="1"/>
  <c r="M11" i="24"/>
  <c r="M14" i="24" s="1"/>
  <c r="L11" i="24"/>
  <c r="K11" i="24"/>
  <c r="J11" i="24"/>
  <c r="J14" i="24" s="1"/>
  <c r="I11" i="24"/>
  <c r="I14" i="24" s="1"/>
  <c r="H11" i="24"/>
  <c r="G11" i="24"/>
  <c r="F11" i="24"/>
  <c r="F14" i="24" s="1"/>
  <c r="E11" i="24"/>
  <c r="E14" i="24" s="1"/>
  <c r="D11" i="24"/>
  <c r="C11" i="24"/>
  <c r="B11" i="24"/>
  <c r="B14" i="24" s="1"/>
  <c r="P11" i="23"/>
  <c r="O11" i="23"/>
  <c r="N11" i="23"/>
  <c r="M11" i="23"/>
  <c r="M14" i="23" s="1"/>
  <c r="L11" i="23"/>
  <c r="K11" i="23"/>
  <c r="K14" i="23" s="1"/>
  <c r="J11" i="23"/>
  <c r="J14" i="23" s="1"/>
  <c r="I11" i="23"/>
  <c r="I14" i="23" s="1"/>
  <c r="H11" i="23"/>
  <c r="G11" i="23"/>
  <c r="F11" i="23"/>
  <c r="E11" i="23"/>
  <c r="E14" i="23" s="1"/>
  <c r="D11" i="23"/>
  <c r="C11" i="23"/>
  <c r="C14" i="23" s="1"/>
  <c r="B11" i="23"/>
  <c r="B14" i="23" s="1"/>
  <c r="P11" i="22"/>
  <c r="O11" i="22"/>
  <c r="N11" i="22"/>
  <c r="N14" i="22" s="1"/>
  <c r="M11" i="22"/>
  <c r="M14" i="22" s="1"/>
  <c r="L11" i="22"/>
  <c r="K11" i="22"/>
  <c r="J11" i="22"/>
  <c r="J14" i="22" s="1"/>
  <c r="I11" i="22"/>
  <c r="I14" i="22" s="1"/>
  <c r="H11" i="22"/>
  <c r="G11" i="22"/>
  <c r="G14" i="22" s="1"/>
  <c r="F11" i="22"/>
  <c r="F14" i="22" s="1"/>
  <c r="E11" i="22"/>
  <c r="E14" i="22" s="1"/>
  <c r="D11" i="22"/>
  <c r="C11" i="22"/>
  <c r="B11" i="22"/>
  <c r="B14" i="22" s="1"/>
  <c r="P11" i="21"/>
  <c r="O11" i="21"/>
  <c r="N11" i="21"/>
  <c r="M11" i="21"/>
  <c r="M14" i="21" s="1"/>
  <c r="L11" i="21"/>
  <c r="K11" i="21"/>
  <c r="J11" i="21"/>
  <c r="J14" i="21" s="1"/>
  <c r="I11" i="21"/>
  <c r="I14" i="21" s="1"/>
  <c r="H11" i="21"/>
  <c r="G11" i="21"/>
  <c r="F11" i="21"/>
  <c r="E11" i="21"/>
  <c r="E14" i="21" s="1"/>
  <c r="D11" i="21"/>
  <c r="C11" i="21"/>
  <c r="B11" i="21"/>
  <c r="P11" i="20"/>
  <c r="P15" i="20" s="1"/>
  <c r="O11" i="20"/>
  <c r="N11" i="20"/>
  <c r="M11" i="20"/>
  <c r="L11" i="20"/>
  <c r="L15" i="20" s="1"/>
  <c r="K11" i="20"/>
  <c r="K15" i="20" s="1"/>
  <c r="I11" i="20"/>
  <c r="I15" i="20" s="1"/>
  <c r="H11" i="20"/>
  <c r="H15" i="20" s="1"/>
  <c r="G11" i="20"/>
  <c r="G15" i="20" s="1"/>
  <c r="F11" i="20"/>
  <c r="E11" i="20"/>
  <c r="D11" i="20"/>
  <c r="C11" i="20"/>
  <c r="B11" i="20"/>
  <c r="O15" i="20"/>
  <c r="F15" i="20"/>
  <c r="J11" i="20"/>
  <c r="C74" i="34"/>
  <c r="P73" i="34"/>
  <c r="O73" i="34"/>
  <c r="N73" i="34"/>
  <c r="M73" i="34"/>
  <c r="L73" i="34"/>
  <c r="K73" i="34"/>
  <c r="J73" i="34"/>
  <c r="I73" i="34"/>
  <c r="H73" i="34"/>
  <c r="G73" i="34"/>
  <c r="F73" i="34"/>
  <c r="E73" i="34"/>
  <c r="D73" i="34"/>
  <c r="C73" i="34"/>
  <c r="B73" i="34"/>
  <c r="P69" i="34"/>
  <c r="O69" i="34"/>
  <c r="N69" i="34"/>
  <c r="M69" i="34"/>
  <c r="L69" i="34"/>
  <c r="K69" i="34"/>
  <c r="J69" i="34"/>
  <c r="A14" i="34"/>
  <c r="I9" i="34"/>
  <c r="H9" i="34" s="1"/>
  <c r="C74" i="33"/>
  <c r="D74" i="33" s="1"/>
  <c r="E74" i="33" s="1"/>
  <c r="F74" i="33" s="1"/>
  <c r="G74" i="33" s="1"/>
  <c r="P73" i="33"/>
  <c r="O73" i="33"/>
  <c r="N73" i="33"/>
  <c r="M73" i="33"/>
  <c r="L73" i="33"/>
  <c r="K73" i="33"/>
  <c r="J73" i="33"/>
  <c r="I73" i="33"/>
  <c r="H73" i="33"/>
  <c r="G73" i="33"/>
  <c r="F73" i="33"/>
  <c r="E73" i="33"/>
  <c r="D73" i="33"/>
  <c r="C73" i="33"/>
  <c r="B73" i="33"/>
  <c r="P69" i="33"/>
  <c r="O69" i="33"/>
  <c r="N69" i="33"/>
  <c r="M69" i="33"/>
  <c r="L69" i="33"/>
  <c r="K69" i="33"/>
  <c r="J69" i="33"/>
  <c r="I15" i="33"/>
  <c r="G15" i="33"/>
  <c r="A15" i="33"/>
  <c r="I9" i="33"/>
  <c r="I69" i="33" s="1"/>
  <c r="C74" i="32"/>
  <c r="D74" i="32" s="1"/>
  <c r="O73" i="32"/>
  <c r="N73" i="32"/>
  <c r="M73" i="32"/>
  <c r="L73" i="32"/>
  <c r="K73" i="32"/>
  <c r="J73" i="32"/>
  <c r="I73" i="32"/>
  <c r="H73" i="32"/>
  <c r="G73" i="32"/>
  <c r="F73" i="32"/>
  <c r="E73" i="32"/>
  <c r="D73" i="32"/>
  <c r="C73" i="32"/>
  <c r="B73" i="32"/>
  <c r="O69" i="32"/>
  <c r="N69" i="32"/>
  <c r="M69" i="32"/>
  <c r="L69" i="32"/>
  <c r="K69" i="32"/>
  <c r="J69" i="32"/>
  <c r="A15" i="32"/>
  <c r="I9" i="32"/>
  <c r="H9" i="32" s="1"/>
  <c r="C74" i="31"/>
  <c r="P73" i="31"/>
  <c r="O73" i="31"/>
  <c r="N73" i="31"/>
  <c r="M73" i="31"/>
  <c r="L73" i="31"/>
  <c r="K73" i="31"/>
  <c r="J73" i="31"/>
  <c r="I73" i="31"/>
  <c r="H73" i="31"/>
  <c r="G73" i="31"/>
  <c r="F73" i="31"/>
  <c r="E73" i="31"/>
  <c r="D73" i="31"/>
  <c r="C73" i="31"/>
  <c r="B73" i="31"/>
  <c r="P69" i="31"/>
  <c r="O69" i="31"/>
  <c r="N69" i="31"/>
  <c r="M69" i="31"/>
  <c r="L69" i="31"/>
  <c r="K69" i="31"/>
  <c r="J69" i="31"/>
  <c r="M15" i="31"/>
  <c r="I15" i="31"/>
  <c r="H15" i="31"/>
  <c r="A15" i="31"/>
  <c r="P15" i="31"/>
  <c r="E15" i="31"/>
  <c r="I9" i="31"/>
  <c r="I69" i="31" s="1"/>
  <c r="C75" i="30"/>
  <c r="D75" i="30" s="1"/>
  <c r="P74" i="30"/>
  <c r="O74" i="30"/>
  <c r="N74" i="30"/>
  <c r="M74" i="30"/>
  <c r="L74" i="30"/>
  <c r="K74" i="30"/>
  <c r="J74" i="30"/>
  <c r="I74" i="30"/>
  <c r="H74" i="30"/>
  <c r="G74" i="30"/>
  <c r="F74" i="30"/>
  <c r="E74" i="30"/>
  <c r="D74" i="30"/>
  <c r="C74" i="30"/>
  <c r="B74" i="30"/>
  <c r="P70" i="30"/>
  <c r="O70" i="30"/>
  <c r="N70" i="30"/>
  <c r="M70" i="30"/>
  <c r="L70" i="30"/>
  <c r="K70" i="30"/>
  <c r="J70" i="30"/>
  <c r="O15" i="30"/>
  <c r="A15" i="30"/>
  <c r="M15" i="30"/>
  <c r="I9" i="30"/>
  <c r="I70" i="30" s="1"/>
  <c r="H9" i="30"/>
  <c r="G9" i="30" s="1"/>
  <c r="G70" i="30" s="1"/>
  <c r="C75" i="29"/>
  <c r="D75" i="29" s="1"/>
  <c r="P74" i="29"/>
  <c r="O74" i="29"/>
  <c r="N74" i="29"/>
  <c r="M74" i="29"/>
  <c r="L74" i="29"/>
  <c r="K74" i="29"/>
  <c r="J74" i="29"/>
  <c r="I74" i="29"/>
  <c r="H74" i="29"/>
  <c r="G74" i="29"/>
  <c r="F74" i="29"/>
  <c r="E74" i="29"/>
  <c r="D74" i="29"/>
  <c r="C74" i="29"/>
  <c r="B74" i="29"/>
  <c r="P70" i="29"/>
  <c r="O70" i="29"/>
  <c r="N70" i="29"/>
  <c r="M70" i="29"/>
  <c r="L70" i="29"/>
  <c r="K70" i="29"/>
  <c r="J70" i="29"/>
  <c r="A15" i="29"/>
  <c r="I9" i="29"/>
  <c r="I70" i="29" s="1"/>
  <c r="H9" i="29"/>
  <c r="H70" i="29" s="1"/>
  <c r="C75" i="28"/>
  <c r="D75" i="28" s="1"/>
  <c r="P74" i="28"/>
  <c r="O74" i="28"/>
  <c r="N74" i="28"/>
  <c r="M74" i="28"/>
  <c r="L74" i="28"/>
  <c r="K74" i="28"/>
  <c r="J74" i="28"/>
  <c r="I74" i="28"/>
  <c r="H74" i="28"/>
  <c r="G74" i="28"/>
  <c r="F74" i="28"/>
  <c r="E74" i="28"/>
  <c r="D74" i="28"/>
  <c r="C74" i="28"/>
  <c r="B74" i="28"/>
  <c r="P70" i="28"/>
  <c r="O70" i="28"/>
  <c r="N70" i="28"/>
  <c r="M70" i="28"/>
  <c r="L70" i="28"/>
  <c r="K70" i="28"/>
  <c r="J70" i="28"/>
  <c r="P15" i="28"/>
  <c r="H15" i="28"/>
  <c r="A15" i="28"/>
  <c r="O15" i="28"/>
  <c r="J15" i="28"/>
  <c r="I15" i="28"/>
  <c r="G15" i="28"/>
  <c r="F15" i="28"/>
  <c r="A11" i="28"/>
  <c r="I9" i="28"/>
  <c r="I70" i="28" s="1"/>
  <c r="C75" i="27"/>
  <c r="D75" i="27" s="1"/>
  <c r="P74" i="27"/>
  <c r="O74" i="27"/>
  <c r="N74" i="27"/>
  <c r="M74" i="27"/>
  <c r="L74" i="27"/>
  <c r="K74" i="27"/>
  <c r="J74" i="27"/>
  <c r="I74" i="27"/>
  <c r="H74" i="27"/>
  <c r="G74" i="27"/>
  <c r="F74" i="27"/>
  <c r="E74" i="27"/>
  <c r="D74" i="27"/>
  <c r="C74" i="27"/>
  <c r="B74" i="27"/>
  <c r="P70" i="27"/>
  <c r="O70" i="27"/>
  <c r="N70" i="27"/>
  <c r="M70" i="27"/>
  <c r="L70" i="27"/>
  <c r="K70" i="27"/>
  <c r="J70" i="27"/>
  <c r="A15" i="27"/>
  <c r="A11" i="27"/>
  <c r="I9" i="27"/>
  <c r="C75" i="26"/>
  <c r="D75" i="26" s="1"/>
  <c r="P74" i="26"/>
  <c r="O74" i="26"/>
  <c r="N74" i="26"/>
  <c r="M74" i="26"/>
  <c r="L74" i="26"/>
  <c r="K74" i="26"/>
  <c r="J74" i="26"/>
  <c r="I74" i="26"/>
  <c r="H74" i="26"/>
  <c r="G74" i="26"/>
  <c r="F74" i="26"/>
  <c r="E74" i="26"/>
  <c r="D74" i="26"/>
  <c r="C74" i="26"/>
  <c r="B74" i="26"/>
  <c r="P70" i="26"/>
  <c r="O70" i="26"/>
  <c r="N70" i="26"/>
  <c r="M70" i="26"/>
  <c r="L70" i="26"/>
  <c r="K70" i="26"/>
  <c r="J70" i="26"/>
  <c r="A15" i="26"/>
  <c r="A11" i="26"/>
  <c r="I9" i="26"/>
  <c r="H9" i="26" s="1"/>
  <c r="C75" i="25"/>
  <c r="D75" i="25" s="1"/>
  <c r="E75" i="25" s="1"/>
  <c r="P74" i="25"/>
  <c r="O74" i="25"/>
  <c r="N74" i="25"/>
  <c r="M74" i="25"/>
  <c r="L74" i="25"/>
  <c r="K74" i="25"/>
  <c r="J74" i="25"/>
  <c r="I74" i="25"/>
  <c r="H74" i="25"/>
  <c r="G74" i="25"/>
  <c r="F74" i="25"/>
  <c r="E74" i="25"/>
  <c r="D74" i="25"/>
  <c r="C74" i="25"/>
  <c r="B74" i="25"/>
  <c r="P70" i="25"/>
  <c r="O70" i="25"/>
  <c r="N70" i="25"/>
  <c r="M70" i="25"/>
  <c r="L70" i="25"/>
  <c r="K70" i="25"/>
  <c r="J70" i="25"/>
  <c r="F14" i="25"/>
  <c r="A14" i="25"/>
  <c r="O14" i="25"/>
  <c r="N14" i="25"/>
  <c r="K14" i="25"/>
  <c r="J14" i="25"/>
  <c r="G14" i="25"/>
  <c r="C14" i="25"/>
  <c r="A11" i="25"/>
  <c r="I9" i="25"/>
  <c r="I70" i="25" s="1"/>
  <c r="H9" i="25"/>
  <c r="H70" i="25" s="1"/>
  <c r="C75" i="24"/>
  <c r="D75" i="24" s="1"/>
  <c r="E75" i="24" s="1"/>
  <c r="P74" i="24"/>
  <c r="O74" i="24"/>
  <c r="N74" i="24"/>
  <c r="M74" i="24"/>
  <c r="L74" i="24"/>
  <c r="K74" i="24"/>
  <c r="J74" i="24"/>
  <c r="I74" i="24"/>
  <c r="H74" i="24"/>
  <c r="G74" i="24"/>
  <c r="F74" i="24"/>
  <c r="E74" i="24"/>
  <c r="D74" i="24"/>
  <c r="C74" i="24"/>
  <c r="B74" i="24"/>
  <c r="P70" i="24"/>
  <c r="O70" i="24"/>
  <c r="N70" i="24"/>
  <c r="M70" i="24"/>
  <c r="L70" i="24"/>
  <c r="K70" i="24"/>
  <c r="J70" i="24"/>
  <c r="P14" i="24"/>
  <c r="O14" i="24"/>
  <c r="L14" i="24"/>
  <c r="K14" i="24"/>
  <c r="H14" i="24"/>
  <c r="G14" i="24"/>
  <c r="C14" i="24"/>
  <c r="A14" i="24"/>
  <c r="D14" i="24"/>
  <c r="I9" i="24"/>
  <c r="C75" i="23"/>
  <c r="D75" i="23" s="1"/>
  <c r="P74" i="23"/>
  <c r="O74" i="23"/>
  <c r="N74" i="23"/>
  <c r="M74" i="23"/>
  <c r="L74" i="23"/>
  <c r="K74" i="23"/>
  <c r="J74" i="23"/>
  <c r="I74" i="23"/>
  <c r="H74" i="23"/>
  <c r="G74" i="23"/>
  <c r="F74" i="23"/>
  <c r="E74" i="23"/>
  <c r="D74" i="23"/>
  <c r="C74" i="23"/>
  <c r="B74" i="23"/>
  <c r="P70" i="23"/>
  <c r="O70" i="23"/>
  <c r="N70" i="23"/>
  <c r="M70" i="23"/>
  <c r="L70" i="23"/>
  <c r="K70" i="23"/>
  <c r="J70" i="23"/>
  <c r="P14" i="23"/>
  <c r="L14" i="23"/>
  <c r="H14" i="23"/>
  <c r="F14" i="23"/>
  <c r="D14" i="23"/>
  <c r="A14" i="23"/>
  <c r="O14" i="23"/>
  <c r="N14" i="23"/>
  <c r="G14" i="23"/>
  <c r="I9" i="23"/>
  <c r="H9" i="23" s="1"/>
  <c r="G9" i="23" s="1"/>
  <c r="C75" i="22"/>
  <c r="D75" i="22" s="1"/>
  <c r="P74" i="22"/>
  <c r="O74" i="22"/>
  <c r="N74" i="22"/>
  <c r="M74" i="22"/>
  <c r="L74" i="22"/>
  <c r="K74" i="22"/>
  <c r="J74" i="22"/>
  <c r="I74" i="22"/>
  <c r="C76" i="22" s="1"/>
  <c r="H74" i="22"/>
  <c r="G74" i="22"/>
  <c r="F74" i="22"/>
  <c r="E74" i="22"/>
  <c r="D74" i="22"/>
  <c r="C74" i="22"/>
  <c r="B74" i="22"/>
  <c r="P70" i="22"/>
  <c r="O70" i="22"/>
  <c r="N70" i="22"/>
  <c r="M70" i="22"/>
  <c r="L70" i="22"/>
  <c r="K70" i="22"/>
  <c r="J70" i="22"/>
  <c r="I70" i="22"/>
  <c r="P14" i="22"/>
  <c r="O14" i="22"/>
  <c r="L14" i="22"/>
  <c r="K14" i="22"/>
  <c r="D14" i="22"/>
  <c r="A14" i="22"/>
  <c r="H14" i="22"/>
  <c r="C14" i="22"/>
  <c r="A11" i="22"/>
  <c r="I9" i="22"/>
  <c r="H9" i="22"/>
  <c r="C75" i="21"/>
  <c r="D75" i="21" s="1"/>
  <c r="P74" i="21"/>
  <c r="O74" i="21"/>
  <c r="N74" i="21"/>
  <c r="M74" i="21"/>
  <c r="L74" i="21"/>
  <c r="K74" i="21"/>
  <c r="J74" i="21"/>
  <c r="I74" i="21"/>
  <c r="H74" i="21"/>
  <c r="G74" i="21"/>
  <c r="F74" i="21"/>
  <c r="E74" i="21"/>
  <c r="D74" i="21"/>
  <c r="C74" i="21"/>
  <c r="B74" i="21"/>
  <c r="P70" i="21"/>
  <c r="O70" i="21"/>
  <c r="N70" i="21"/>
  <c r="M70" i="21"/>
  <c r="L70" i="21"/>
  <c r="K70" i="21"/>
  <c r="J70" i="21"/>
  <c r="O14" i="21"/>
  <c r="N14" i="21"/>
  <c r="K14" i="21"/>
  <c r="G14" i="21"/>
  <c r="F14" i="21"/>
  <c r="C14" i="21"/>
  <c r="B14" i="21"/>
  <c r="A14" i="21"/>
  <c r="P14" i="21"/>
  <c r="L14" i="21"/>
  <c r="H14" i="21"/>
  <c r="D14" i="21"/>
  <c r="A11" i="21"/>
  <c r="I9" i="21"/>
  <c r="H9" i="21" s="1"/>
  <c r="C75" i="20"/>
  <c r="D75" i="20" s="1"/>
  <c r="P74" i="20"/>
  <c r="O74" i="20"/>
  <c r="N74" i="20"/>
  <c r="M74" i="20"/>
  <c r="L74" i="20"/>
  <c r="K74" i="20"/>
  <c r="J74" i="20"/>
  <c r="I74" i="20"/>
  <c r="H74" i="20"/>
  <c r="G74" i="20"/>
  <c r="F74" i="20"/>
  <c r="E74" i="20"/>
  <c r="D74" i="20"/>
  <c r="C74" i="20"/>
  <c r="B74" i="20"/>
  <c r="P70" i="20"/>
  <c r="O70" i="20"/>
  <c r="N70" i="20"/>
  <c r="M70" i="20"/>
  <c r="L70" i="20"/>
  <c r="K70" i="20"/>
  <c r="J70" i="20"/>
  <c r="A15" i="20"/>
  <c r="I9" i="20"/>
  <c r="H9" i="20" s="1"/>
  <c r="G9" i="20" s="1"/>
  <c r="G70" i="20" s="1"/>
  <c r="Q76" i="23" l="1"/>
  <c r="Q77" i="23" s="1"/>
  <c r="R76" i="23"/>
  <c r="R77" i="23" s="1"/>
  <c r="R76" i="28"/>
  <c r="R77" i="28" s="1"/>
  <c r="Q76" i="28"/>
  <c r="Q77" i="28" s="1"/>
  <c r="H70" i="23"/>
  <c r="G70" i="23"/>
  <c r="F9" i="23"/>
  <c r="B76" i="22"/>
  <c r="I70" i="23"/>
  <c r="G9" i="25"/>
  <c r="B75" i="31"/>
  <c r="I69" i="32"/>
  <c r="C76" i="29"/>
  <c r="B76" i="20"/>
  <c r="I70" i="20"/>
  <c r="H70" i="20"/>
  <c r="F9" i="20"/>
  <c r="H70" i="26"/>
  <c r="G9" i="26"/>
  <c r="I70" i="26"/>
  <c r="H9" i="28"/>
  <c r="G9" i="29"/>
  <c r="B76" i="29"/>
  <c r="F9" i="30"/>
  <c r="H9" i="31"/>
  <c r="H74" i="33"/>
  <c r="I74" i="33" s="1"/>
  <c r="H9" i="33"/>
  <c r="B75" i="34"/>
  <c r="I69" i="34"/>
  <c r="C76" i="27"/>
  <c r="D76" i="27"/>
  <c r="D76" i="28"/>
  <c r="H70" i="21"/>
  <c r="G9" i="21"/>
  <c r="F75" i="24"/>
  <c r="F75" i="25"/>
  <c r="E75" i="26"/>
  <c r="D76" i="20"/>
  <c r="I70" i="24"/>
  <c r="H9" i="24"/>
  <c r="D74" i="34"/>
  <c r="C75" i="34"/>
  <c r="I70" i="21"/>
  <c r="E75" i="22"/>
  <c r="D76" i="22"/>
  <c r="H69" i="32"/>
  <c r="G9" i="32"/>
  <c r="E75" i="20"/>
  <c r="E75" i="21"/>
  <c r="C76" i="28"/>
  <c r="H70" i="22"/>
  <c r="G9" i="22"/>
  <c r="G70" i="29"/>
  <c r="F9" i="29"/>
  <c r="E75" i="30"/>
  <c r="C76" i="20"/>
  <c r="D76" i="29"/>
  <c r="E75" i="29"/>
  <c r="E75" i="23"/>
  <c r="E75" i="27"/>
  <c r="E75" i="28"/>
  <c r="C75" i="31"/>
  <c r="I70" i="27"/>
  <c r="H9" i="27"/>
  <c r="B76" i="27"/>
  <c r="B76" i="28"/>
  <c r="H70" i="30"/>
  <c r="D74" i="31"/>
  <c r="E74" i="32"/>
  <c r="H69" i="34"/>
  <c r="G9" i="34"/>
  <c r="F9" i="25" l="1"/>
  <c r="G70" i="25"/>
  <c r="F70" i="23"/>
  <c r="E9" i="23"/>
  <c r="F70" i="20"/>
  <c r="E9" i="20"/>
  <c r="F9" i="26"/>
  <c r="G70" i="26"/>
  <c r="H70" i="28"/>
  <c r="G9" i="28"/>
  <c r="F70" i="30"/>
  <c r="E9" i="30"/>
  <c r="G9" i="31"/>
  <c r="H69" i="31"/>
  <c r="G9" i="33"/>
  <c r="H69" i="33"/>
  <c r="H75" i="33" s="1"/>
  <c r="G69" i="34"/>
  <c r="F9" i="34"/>
  <c r="F74" i="32"/>
  <c r="F75" i="27"/>
  <c r="E76" i="27"/>
  <c r="F75" i="23"/>
  <c r="G69" i="32"/>
  <c r="F9" i="32"/>
  <c r="E76" i="22"/>
  <c r="F75" i="22"/>
  <c r="D75" i="34"/>
  <c r="E74" i="34"/>
  <c r="J74" i="33"/>
  <c r="I75" i="33"/>
  <c r="F75" i="26"/>
  <c r="G75" i="24"/>
  <c r="G70" i="21"/>
  <c r="F9" i="21"/>
  <c r="D75" i="31"/>
  <c r="E74" i="31"/>
  <c r="H70" i="27"/>
  <c r="G9" i="27"/>
  <c r="F75" i="30"/>
  <c r="E9" i="29"/>
  <c r="F70" i="29"/>
  <c r="E76" i="20"/>
  <c r="F75" i="20"/>
  <c r="G9" i="24"/>
  <c r="H70" i="24"/>
  <c r="G75" i="25"/>
  <c r="F75" i="28"/>
  <c r="E76" i="28"/>
  <c r="F75" i="29"/>
  <c r="E76" i="29"/>
  <c r="G70" i="22"/>
  <c r="F9" i="22"/>
  <c r="F75" i="21"/>
  <c r="Q56" i="5"/>
  <c r="D9" i="23" l="1"/>
  <c r="E70" i="23"/>
  <c r="E76" i="23" s="1"/>
  <c r="E9" i="25"/>
  <c r="F70" i="25"/>
  <c r="F76" i="25" s="1"/>
  <c r="D9" i="20"/>
  <c r="E70" i="20"/>
  <c r="F70" i="26"/>
  <c r="F76" i="26" s="1"/>
  <c r="E9" i="26"/>
  <c r="F9" i="28"/>
  <c r="G70" i="28"/>
  <c r="D9" i="30"/>
  <c r="E70" i="30"/>
  <c r="E76" i="30" s="1"/>
  <c r="G69" i="31"/>
  <c r="F9" i="31"/>
  <c r="G69" i="33"/>
  <c r="G75" i="33" s="1"/>
  <c r="F9" i="33"/>
  <c r="F76" i="28"/>
  <c r="G75" i="28"/>
  <c r="H75" i="25"/>
  <c r="G76" i="25"/>
  <c r="F76" i="22"/>
  <c r="G75" i="22"/>
  <c r="G75" i="23"/>
  <c r="F76" i="23"/>
  <c r="G74" i="32"/>
  <c r="G75" i="21"/>
  <c r="F76" i="29"/>
  <c r="F77" i="29" s="1"/>
  <c r="G75" i="29"/>
  <c r="G75" i="20"/>
  <c r="F76" i="20"/>
  <c r="F74" i="34"/>
  <c r="E75" i="34"/>
  <c r="E9" i="32"/>
  <c r="F69" i="32"/>
  <c r="F75" i="32" s="1"/>
  <c r="F70" i="22"/>
  <c r="E9" i="22"/>
  <c r="F9" i="24"/>
  <c r="G70" i="24"/>
  <c r="F76" i="30"/>
  <c r="G75" i="30"/>
  <c r="E75" i="31"/>
  <c r="F74" i="31"/>
  <c r="H75" i="24"/>
  <c r="G76" i="24"/>
  <c r="G75" i="26"/>
  <c r="F76" i="27"/>
  <c r="G75" i="27"/>
  <c r="D9" i="29"/>
  <c r="E70" i="29"/>
  <c r="G70" i="27"/>
  <c r="F9" i="27"/>
  <c r="E9" i="21"/>
  <c r="F70" i="21"/>
  <c r="F76" i="21" s="1"/>
  <c r="J75" i="33"/>
  <c r="K74" i="33"/>
  <c r="E9" i="34"/>
  <c r="F69" i="34"/>
  <c r="E70" i="25" l="1"/>
  <c r="E76" i="25" s="1"/>
  <c r="D9" i="25"/>
  <c r="C9" i="23"/>
  <c r="D70" i="23"/>
  <c r="D76" i="23" s="1"/>
  <c r="C9" i="20"/>
  <c r="D70" i="20"/>
  <c r="E70" i="26"/>
  <c r="E76" i="26" s="1"/>
  <c r="D9" i="26"/>
  <c r="E9" i="28"/>
  <c r="F70" i="28"/>
  <c r="C9" i="30"/>
  <c r="D70" i="30"/>
  <c r="D76" i="30" s="1"/>
  <c r="F69" i="31"/>
  <c r="E9" i="31"/>
  <c r="F69" i="33"/>
  <c r="F75" i="33" s="1"/>
  <c r="E9" i="33"/>
  <c r="H75" i="30"/>
  <c r="G76" i="30"/>
  <c r="F75" i="34"/>
  <c r="G74" i="34"/>
  <c r="D9" i="21"/>
  <c r="E70" i="21"/>
  <c r="E76" i="21" s="1"/>
  <c r="H76" i="24"/>
  <c r="I75" i="24"/>
  <c r="H74" i="32"/>
  <c r="G75" i="32"/>
  <c r="G76" i="26"/>
  <c r="H75" i="26"/>
  <c r="H75" i="21"/>
  <c r="G76" i="21"/>
  <c r="H76" i="25"/>
  <c r="I75" i="25"/>
  <c r="D9" i="22"/>
  <c r="E70" i="22"/>
  <c r="H75" i="23"/>
  <c r="G76" i="23"/>
  <c r="H75" i="28"/>
  <c r="G76" i="28"/>
  <c r="D70" i="29"/>
  <c r="C9" i="29"/>
  <c r="H75" i="29"/>
  <c r="G76" i="29"/>
  <c r="G77" i="29" s="1"/>
  <c r="G76" i="22"/>
  <c r="H75" i="22"/>
  <c r="E69" i="34"/>
  <c r="D9" i="34"/>
  <c r="K75" i="33"/>
  <c r="L74" i="33"/>
  <c r="F70" i="27"/>
  <c r="E9" i="27"/>
  <c r="H75" i="27"/>
  <c r="G76" i="27"/>
  <c r="F75" i="31"/>
  <c r="F76" i="31" s="1"/>
  <c r="G74" i="31"/>
  <c r="F70" i="24"/>
  <c r="F76" i="24" s="1"/>
  <c r="E9" i="24"/>
  <c r="E69" i="32"/>
  <c r="E75" i="32" s="1"/>
  <c r="D9" i="32"/>
  <c r="H75" i="20"/>
  <c r="G76" i="20"/>
  <c r="Q32" i="5"/>
  <c r="C70" i="23" l="1"/>
  <c r="C76" i="23" s="1"/>
  <c r="C77" i="23" s="1"/>
  <c r="B9" i="23"/>
  <c r="G77" i="23" s="1"/>
  <c r="D70" i="25"/>
  <c r="D76" i="25" s="1"/>
  <c r="C9" i="25"/>
  <c r="C70" i="20"/>
  <c r="B9" i="20"/>
  <c r="D70" i="26"/>
  <c r="D76" i="26" s="1"/>
  <c r="C9" i="26"/>
  <c r="E70" i="28"/>
  <c r="D9" i="28"/>
  <c r="C70" i="30"/>
  <c r="C76" i="30" s="1"/>
  <c r="B9" i="30"/>
  <c r="D9" i="31"/>
  <c r="E69" i="31"/>
  <c r="E69" i="33"/>
  <c r="E75" i="33" s="1"/>
  <c r="D9" i="33"/>
  <c r="H76" i="20"/>
  <c r="I75" i="20"/>
  <c r="C9" i="34"/>
  <c r="D69" i="34"/>
  <c r="I75" i="22"/>
  <c r="H76" i="22"/>
  <c r="H75" i="32"/>
  <c r="I74" i="32"/>
  <c r="C9" i="32"/>
  <c r="D69" i="32"/>
  <c r="D75" i="32" s="1"/>
  <c r="E70" i="24"/>
  <c r="E76" i="24" s="1"/>
  <c r="D9" i="24"/>
  <c r="H76" i="29"/>
  <c r="H77" i="29" s="1"/>
  <c r="I75" i="29"/>
  <c r="H76" i="23"/>
  <c r="I75" i="23"/>
  <c r="H74" i="34"/>
  <c r="G75" i="34"/>
  <c r="E70" i="27"/>
  <c r="D9" i="27"/>
  <c r="H76" i="28"/>
  <c r="I75" i="28"/>
  <c r="D70" i="22"/>
  <c r="C9" i="22"/>
  <c r="H76" i="26"/>
  <c r="I75" i="26"/>
  <c r="J75" i="24"/>
  <c r="I76" i="24"/>
  <c r="G75" i="31"/>
  <c r="G76" i="31" s="1"/>
  <c r="H74" i="31"/>
  <c r="H76" i="27"/>
  <c r="I75" i="27"/>
  <c r="L75" i="33"/>
  <c r="M74" i="33"/>
  <c r="C70" i="29"/>
  <c r="B9" i="29"/>
  <c r="J75" i="25"/>
  <c r="I76" i="25"/>
  <c r="H76" i="21"/>
  <c r="I75" i="21"/>
  <c r="D70" i="21"/>
  <c r="D76" i="21" s="1"/>
  <c r="C9" i="21"/>
  <c r="H76" i="30"/>
  <c r="I75" i="30"/>
  <c r="T32" i="6"/>
  <c r="C70" i="25" l="1"/>
  <c r="C76" i="25" s="1"/>
  <c r="C77" i="25" s="1"/>
  <c r="B9" i="25"/>
  <c r="D77" i="25"/>
  <c r="B70" i="23"/>
  <c r="B76" i="23" s="1"/>
  <c r="B77" i="23" s="1"/>
  <c r="E77" i="23"/>
  <c r="F77" i="23"/>
  <c r="I77" i="25"/>
  <c r="D77" i="23"/>
  <c r="B70" i="20"/>
  <c r="B77" i="20"/>
  <c r="D77" i="20"/>
  <c r="E77" i="20"/>
  <c r="C70" i="26"/>
  <c r="C76" i="26" s="1"/>
  <c r="B9" i="26"/>
  <c r="B70" i="26" s="1"/>
  <c r="B76" i="26" s="1"/>
  <c r="D70" i="28"/>
  <c r="C9" i="28"/>
  <c r="B70" i="30"/>
  <c r="B76" i="30" s="1"/>
  <c r="D69" i="31"/>
  <c r="C9" i="31"/>
  <c r="C9" i="33"/>
  <c r="D69" i="33"/>
  <c r="D75" i="33" s="1"/>
  <c r="J75" i="21"/>
  <c r="I76" i="21"/>
  <c r="B70" i="29"/>
  <c r="J75" i="28"/>
  <c r="I76" i="28"/>
  <c r="H77" i="23"/>
  <c r="C69" i="34"/>
  <c r="B9" i="34"/>
  <c r="C70" i="21"/>
  <c r="C76" i="21" s="1"/>
  <c r="B9" i="21"/>
  <c r="J75" i="27"/>
  <c r="I76" i="27"/>
  <c r="I77" i="27" s="1"/>
  <c r="J75" i="29"/>
  <c r="I76" i="29"/>
  <c r="I77" i="29" s="1"/>
  <c r="C69" i="32"/>
  <c r="C75" i="32" s="1"/>
  <c r="B9" i="32"/>
  <c r="J75" i="20"/>
  <c r="I76" i="20"/>
  <c r="I77" i="20" s="1"/>
  <c r="J76" i="24"/>
  <c r="K75" i="24"/>
  <c r="B9" i="22"/>
  <c r="C70" i="22"/>
  <c r="D70" i="27"/>
  <c r="C9" i="27"/>
  <c r="H75" i="34"/>
  <c r="I74" i="34"/>
  <c r="I76" i="22"/>
  <c r="I77" i="22" s="1"/>
  <c r="J75" i="22"/>
  <c r="H77" i="20"/>
  <c r="J75" i="30"/>
  <c r="I76" i="30"/>
  <c r="J76" i="25"/>
  <c r="K75" i="25"/>
  <c r="N74" i="33"/>
  <c r="M75" i="33"/>
  <c r="H75" i="31"/>
  <c r="H76" i="31" s="1"/>
  <c r="I74" i="31"/>
  <c r="J75" i="26"/>
  <c r="I76" i="26"/>
  <c r="J75" i="23"/>
  <c r="I76" i="23"/>
  <c r="I77" i="23" s="1"/>
  <c r="C9" i="24"/>
  <c r="D70" i="24"/>
  <c r="D76" i="24" s="1"/>
  <c r="I75" i="32"/>
  <c r="J74" i="32"/>
  <c r="F77" i="25" l="1"/>
  <c r="E77" i="25"/>
  <c r="B70" i="25"/>
  <c r="B76" i="25" s="1"/>
  <c r="B77" i="25" s="1"/>
  <c r="G77" i="25"/>
  <c r="H77" i="25"/>
  <c r="B9" i="28"/>
  <c r="I77" i="28" s="1"/>
  <c r="C70" i="28"/>
  <c r="B9" i="31"/>
  <c r="C69" i="31"/>
  <c r="B9" i="33"/>
  <c r="C69" i="33"/>
  <c r="C75" i="33" s="1"/>
  <c r="C76" i="33" s="1"/>
  <c r="M76" i="33"/>
  <c r="D76" i="33"/>
  <c r="K74" i="32"/>
  <c r="J75" i="32"/>
  <c r="J74" i="31"/>
  <c r="I75" i="31"/>
  <c r="I76" i="31" s="1"/>
  <c r="L75" i="25"/>
  <c r="K76" i="25"/>
  <c r="K77" i="25" s="1"/>
  <c r="K75" i="30"/>
  <c r="J76" i="30"/>
  <c r="H76" i="34"/>
  <c r="B70" i="22"/>
  <c r="C77" i="22"/>
  <c r="B77" i="22"/>
  <c r="D77" i="22"/>
  <c r="E77" i="22"/>
  <c r="F77" i="22"/>
  <c r="G77" i="22"/>
  <c r="H77" i="22"/>
  <c r="K75" i="29"/>
  <c r="J76" i="29"/>
  <c r="J77" i="29" s="1"/>
  <c r="B69" i="34"/>
  <c r="B9" i="24"/>
  <c r="J77" i="24" s="1"/>
  <c r="C70" i="24"/>
  <c r="C76" i="24" s="1"/>
  <c r="C77" i="24" s="1"/>
  <c r="J77" i="25"/>
  <c r="C70" i="27"/>
  <c r="B9" i="27"/>
  <c r="L75" i="24"/>
  <c r="K76" i="24"/>
  <c r="K77" i="24" s="1"/>
  <c r="B69" i="32"/>
  <c r="B75" i="32" s="1"/>
  <c r="I77" i="21"/>
  <c r="K75" i="20"/>
  <c r="J76" i="20"/>
  <c r="J76" i="27"/>
  <c r="J77" i="27" s="1"/>
  <c r="K75" i="27"/>
  <c r="B70" i="21"/>
  <c r="B76" i="21" s="1"/>
  <c r="F77" i="21"/>
  <c r="G77" i="21"/>
  <c r="E77" i="21"/>
  <c r="K75" i="21"/>
  <c r="J76" i="21"/>
  <c r="J77" i="21" s="1"/>
  <c r="D77" i="21"/>
  <c r="J76" i="23"/>
  <c r="J77" i="23" s="1"/>
  <c r="K75" i="23"/>
  <c r="K75" i="26"/>
  <c r="J76" i="26"/>
  <c r="N75" i="33"/>
  <c r="N76" i="33" s="1"/>
  <c r="O74" i="33"/>
  <c r="K75" i="22"/>
  <c r="J76" i="22"/>
  <c r="J77" i="22" s="1"/>
  <c r="I75" i="34"/>
  <c r="I76" i="34" s="1"/>
  <c r="J74" i="34"/>
  <c r="H77" i="21"/>
  <c r="C77" i="21"/>
  <c r="J76" i="28"/>
  <c r="K75" i="28"/>
  <c r="J77" i="28" l="1"/>
  <c r="B70" i="28"/>
  <c r="D77" i="28"/>
  <c r="C77" i="28"/>
  <c r="B77" i="28"/>
  <c r="E77" i="28"/>
  <c r="F77" i="28"/>
  <c r="H77" i="28"/>
  <c r="D76" i="31"/>
  <c r="E76" i="31"/>
  <c r="B76" i="31"/>
  <c r="C76" i="31"/>
  <c r="B69" i="31"/>
  <c r="B69" i="33"/>
  <c r="B75" i="33" s="1"/>
  <c r="B76" i="33" s="1"/>
  <c r="H76" i="33"/>
  <c r="J76" i="33"/>
  <c r="F76" i="33"/>
  <c r="I76" i="33"/>
  <c r="G76" i="33"/>
  <c r="K76" i="33"/>
  <c r="L76" i="33"/>
  <c r="E76" i="33"/>
  <c r="L75" i="30"/>
  <c r="K76" i="30"/>
  <c r="K74" i="31"/>
  <c r="J75" i="31"/>
  <c r="J76" i="31" s="1"/>
  <c r="K76" i="28"/>
  <c r="L75" i="28"/>
  <c r="K76" i="22"/>
  <c r="K77" i="22" s="1"/>
  <c r="L75" i="22"/>
  <c r="K76" i="26"/>
  <c r="L75" i="26"/>
  <c r="B77" i="21"/>
  <c r="L75" i="20"/>
  <c r="K76" i="20"/>
  <c r="K77" i="20" s="1"/>
  <c r="M75" i="24"/>
  <c r="L76" i="24"/>
  <c r="L77" i="24" s="1"/>
  <c r="B20" i="22"/>
  <c r="B81" i="22" a="1"/>
  <c r="B19" i="22"/>
  <c r="B21" i="22" s="1"/>
  <c r="M75" i="25"/>
  <c r="L76" i="25"/>
  <c r="K74" i="34"/>
  <c r="J75" i="34"/>
  <c r="J76" i="34" s="1"/>
  <c r="O75" i="33"/>
  <c r="O76" i="33" s="1"/>
  <c r="P74" i="33"/>
  <c r="L75" i="23"/>
  <c r="K76" i="23"/>
  <c r="K77" i="23" s="1"/>
  <c r="L75" i="21"/>
  <c r="K76" i="21"/>
  <c r="K77" i="21" s="1"/>
  <c r="K76" i="27"/>
  <c r="K77" i="27" s="1"/>
  <c r="L75" i="27"/>
  <c r="B70" i="27"/>
  <c r="L74" i="32"/>
  <c r="K75" i="32"/>
  <c r="L75" i="29"/>
  <c r="K76" i="29"/>
  <c r="K77" i="29" s="1"/>
  <c r="J77" i="20"/>
  <c r="B70" i="24"/>
  <c r="B76" i="24" s="1"/>
  <c r="G77" i="24"/>
  <c r="H77" i="24"/>
  <c r="F77" i="24"/>
  <c r="E77" i="24"/>
  <c r="I77" i="24"/>
  <c r="D77" i="24"/>
  <c r="T17" i="6"/>
  <c r="T25" i="6"/>
  <c r="T30" i="6" s="1"/>
  <c r="Q76" i="5"/>
  <c r="Q70" i="5"/>
  <c r="B21" i="31" l="1"/>
  <c r="B20" i="31"/>
  <c r="B22" i="31" s="1"/>
  <c r="B23" i="31" s="1"/>
  <c r="K67" i="38" s="1"/>
  <c r="B80" i="31" a="1"/>
  <c r="B22" i="22"/>
  <c r="K24" i="38" s="1"/>
  <c r="L76" i="21"/>
  <c r="M75" i="21"/>
  <c r="L75" i="32"/>
  <c r="M74" i="32"/>
  <c r="P75" i="33"/>
  <c r="P76" i="33" s="1"/>
  <c r="N75" i="24"/>
  <c r="M76" i="24"/>
  <c r="M77" i="24" s="1"/>
  <c r="K77" i="28"/>
  <c r="L76" i="30"/>
  <c r="M75" i="30"/>
  <c r="B84" i="22"/>
  <c r="B82" i="22"/>
  <c r="B85" i="22"/>
  <c r="C82" i="22"/>
  <c r="C84" i="22"/>
  <c r="C81" i="22"/>
  <c r="C85" i="22"/>
  <c r="C83" i="22"/>
  <c r="B83" i="22"/>
  <c r="B81" i="22"/>
  <c r="M75" i="22"/>
  <c r="L76" i="22"/>
  <c r="L77" i="22" s="1"/>
  <c r="M75" i="27"/>
  <c r="L76" i="27"/>
  <c r="L77" i="27" s="1"/>
  <c r="L77" i="25"/>
  <c r="L76" i="20"/>
  <c r="L77" i="20" s="1"/>
  <c r="M75" i="20"/>
  <c r="K75" i="31"/>
  <c r="K76" i="31" s="1"/>
  <c r="L74" i="31"/>
  <c r="B77" i="24"/>
  <c r="L76" i="29"/>
  <c r="L77" i="29" s="1"/>
  <c r="M75" i="29"/>
  <c r="L76" i="23"/>
  <c r="M75" i="23"/>
  <c r="L74" i="34"/>
  <c r="K75" i="34"/>
  <c r="K76" i="34" s="1"/>
  <c r="N75" i="25"/>
  <c r="M76" i="25"/>
  <c r="M77" i="25" s="1"/>
  <c r="M75" i="26"/>
  <c r="L76" i="26"/>
  <c r="M75" i="28"/>
  <c r="L76" i="28"/>
  <c r="L77" i="28" s="1"/>
  <c r="T27" i="6"/>
  <c r="T28" i="6" s="1"/>
  <c r="Q77" i="5"/>
  <c r="Q79" i="5" s="1"/>
  <c r="Q85" i="5" s="1"/>
  <c r="K24" i="5" l="1"/>
  <c r="K24" i="37"/>
  <c r="K73" i="38"/>
  <c r="M73" i="38" s="1"/>
  <c r="M67" i="38"/>
  <c r="K67" i="5"/>
  <c r="K73" i="5" s="1"/>
  <c r="K67" i="37"/>
  <c r="B84" i="31"/>
  <c r="B81" i="31"/>
  <c r="C81" i="31"/>
  <c r="B82" i="31"/>
  <c r="C84" i="31"/>
  <c r="C82" i="31"/>
  <c r="C83" i="31"/>
  <c r="B80" i="31"/>
  <c r="C80" i="31"/>
  <c r="B83" i="31"/>
  <c r="B88" i="22"/>
  <c r="B89" i="22" s="1"/>
  <c r="B20" i="33"/>
  <c r="B22" i="33" s="1"/>
  <c r="B21" i="33"/>
  <c r="M76" i="26"/>
  <c r="N75" i="26"/>
  <c r="N75" i="28"/>
  <c r="M76" i="28"/>
  <c r="M77" i="28" s="1"/>
  <c r="N75" i="23"/>
  <c r="M76" i="23"/>
  <c r="M77" i="23" s="1"/>
  <c r="L75" i="31"/>
  <c r="L76" i="31" s="1"/>
  <c r="M74" i="31"/>
  <c r="N76" i="24"/>
  <c r="O75" i="24"/>
  <c r="N76" i="25"/>
  <c r="N77" i="25" s="1"/>
  <c r="O75" i="25"/>
  <c r="L77" i="23"/>
  <c r="N75" i="27"/>
  <c r="M76" i="27"/>
  <c r="M77" i="27" s="1"/>
  <c r="B80" i="33" a="1"/>
  <c r="M76" i="30"/>
  <c r="M77" i="30" s="1"/>
  <c r="N75" i="30"/>
  <c r="N75" i="21"/>
  <c r="M76" i="21"/>
  <c r="M77" i="21" s="1"/>
  <c r="L75" i="34"/>
  <c r="L76" i="34" s="1"/>
  <c r="M74" i="34"/>
  <c r="M76" i="29"/>
  <c r="M77" i="29" s="1"/>
  <c r="N75" i="29"/>
  <c r="M76" i="20"/>
  <c r="M77" i="20" s="1"/>
  <c r="N75" i="20"/>
  <c r="M76" i="22"/>
  <c r="M77" i="22" s="1"/>
  <c r="N75" i="22"/>
  <c r="M75" i="32"/>
  <c r="N74" i="32"/>
  <c r="L77" i="21"/>
  <c r="N67" i="38" l="1"/>
  <c r="N73" i="38"/>
  <c r="K73" i="37"/>
  <c r="M73" i="37" s="1"/>
  <c r="M67" i="37"/>
  <c r="B87" i="31"/>
  <c r="B88" i="31" s="1"/>
  <c r="B23" i="33"/>
  <c r="K69" i="38" s="1"/>
  <c r="B81" i="21" a="1"/>
  <c r="B20" i="21"/>
  <c r="O75" i="29"/>
  <c r="N76" i="29"/>
  <c r="N77" i="29" s="1"/>
  <c r="O75" i="22"/>
  <c r="N76" i="22"/>
  <c r="N77" i="22" s="1"/>
  <c r="O75" i="20"/>
  <c r="N76" i="20"/>
  <c r="N77" i="20" s="1"/>
  <c r="M75" i="34"/>
  <c r="M76" i="34" s="1"/>
  <c r="N74" i="34"/>
  <c r="O75" i="30"/>
  <c r="N76" i="30"/>
  <c r="N76" i="28"/>
  <c r="N77" i="28" s="1"/>
  <c r="O75" i="28"/>
  <c r="B19" i="21"/>
  <c r="B21" i="21" s="1"/>
  <c r="C83" i="33"/>
  <c r="C81" i="33"/>
  <c r="B83" i="33"/>
  <c r="C80" i="33"/>
  <c r="B82" i="33"/>
  <c r="C84" i="33"/>
  <c r="B81" i="33"/>
  <c r="C82" i="33"/>
  <c r="B84" i="33"/>
  <c r="B80" i="33"/>
  <c r="N76" i="27"/>
  <c r="N77" i="27" s="1"/>
  <c r="O75" i="27"/>
  <c r="P75" i="25"/>
  <c r="O76" i="25"/>
  <c r="P75" i="24"/>
  <c r="O76" i="24"/>
  <c r="O77" i="24" s="1"/>
  <c r="O75" i="23"/>
  <c r="N76" i="23"/>
  <c r="N77" i="23" s="1"/>
  <c r="O75" i="26"/>
  <c r="N76" i="26"/>
  <c r="O74" i="32"/>
  <c r="N75" i="32"/>
  <c r="O75" i="21"/>
  <c r="N76" i="21"/>
  <c r="N77" i="21" s="1"/>
  <c r="N77" i="24"/>
  <c r="M75" i="31"/>
  <c r="M76" i="31" s="1"/>
  <c r="N74" i="31"/>
  <c r="M69" i="38" l="1"/>
  <c r="N69" i="38" s="1"/>
  <c r="S69" i="38" s="1"/>
  <c r="K75" i="38"/>
  <c r="M75" i="38" s="1"/>
  <c r="N75" i="38" s="1"/>
  <c r="S75" i="38" s="1"/>
  <c r="S73" i="38"/>
  <c r="S67" i="38"/>
  <c r="K69" i="5"/>
  <c r="K75" i="5" s="1"/>
  <c r="K69" i="37"/>
  <c r="N67" i="37"/>
  <c r="N73" i="37"/>
  <c r="B22" i="21"/>
  <c r="K23" i="38" s="1"/>
  <c r="P75" i="22"/>
  <c r="O76" i="22"/>
  <c r="O77" i="22" s="1"/>
  <c r="O74" i="31"/>
  <c r="N75" i="31"/>
  <c r="N76" i="31" s="1"/>
  <c r="O76" i="26"/>
  <c r="P75" i="26"/>
  <c r="P76" i="24"/>
  <c r="P76" i="25"/>
  <c r="P77" i="25" s="1"/>
  <c r="P75" i="30"/>
  <c r="O76" i="30"/>
  <c r="O77" i="30" s="1"/>
  <c r="P75" i="20"/>
  <c r="O76" i="20"/>
  <c r="O77" i="20" s="1"/>
  <c r="P75" i="29"/>
  <c r="O76" i="29"/>
  <c r="O77" i="29" s="1"/>
  <c r="P75" i="27"/>
  <c r="O76" i="27"/>
  <c r="O77" i="27" s="1"/>
  <c r="N75" i="34"/>
  <c r="N76" i="34" s="1"/>
  <c r="O74" i="34"/>
  <c r="O75" i="32"/>
  <c r="P75" i="23"/>
  <c r="O76" i="23"/>
  <c r="P75" i="28"/>
  <c r="O76" i="28"/>
  <c r="O77" i="28" s="1"/>
  <c r="C85" i="21"/>
  <c r="C83" i="21"/>
  <c r="C81" i="21"/>
  <c r="B85" i="21"/>
  <c r="C82" i="21"/>
  <c r="C84" i="21"/>
  <c r="B82" i="21"/>
  <c r="B84" i="21"/>
  <c r="B83" i="21"/>
  <c r="B81" i="21"/>
  <c r="P75" i="21"/>
  <c r="O76" i="21"/>
  <c r="O77" i="21" s="1"/>
  <c r="O77" i="25"/>
  <c r="B87" i="33"/>
  <c r="B88" i="33" s="1"/>
  <c r="K23" i="5" l="1"/>
  <c r="K23" i="37"/>
  <c r="M23" i="37" s="1"/>
  <c r="M24" i="38"/>
  <c r="N24" i="38" s="1"/>
  <c r="S24" i="38" s="1"/>
  <c r="M23" i="38"/>
  <c r="M24" i="37"/>
  <c r="N24" i="37" s="1"/>
  <c r="S24" i="37" s="1"/>
  <c r="S67" i="37"/>
  <c r="S73" i="37"/>
  <c r="K75" i="37"/>
  <c r="M75" i="37" s="1"/>
  <c r="N75" i="37" s="1"/>
  <c r="S75" i="37" s="1"/>
  <c r="M69" i="37"/>
  <c r="N69" i="37" s="1"/>
  <c r="S69" i="37" s="1"/>
  <c r="O77" i="23"/>
  <c r="B88" i="21"/>
  <c r="B89" i="21" s="1"/>
  <c r="P76" i="23"/>
  <c r="P77" i="23" s="1"/>
  <c r="P76" i="26"/>
  <c r="P76" i="21"/>
  <c r="P77" i="21" s="1"/>
  <c r="O75" i="31"/>
  <c r="O76" i="31" s="1"/>
  <c r="P74" i="31"/>
  <c r="P76" i="22"/>
  <c r="P77" i="22" s="1"/>
  <c r="P76" i="27"/>
  <c r="P77" i="27" s="1"/>
  <c r="P76" i="20"/>
  <c r="P77" i="20" s="1"/>
  <c r="P74" i="34"/>
  <c r="O75" i="34"/>
  <c r="O76" i="34" s="1"/>
  <c r="B81" i="25" a="1"/>
  <c r="P76" i="28"/>
  <c r="P77" i="28" s="1"/>
  <c r="P76" i="29"/>
  <c r="P77" i="29" s="1"/>
  <c r="P76" i="30"/>
  <c r="P77" i="30" s="1"/>
  <c r="P77" i="24"/>
  <c r="B20" i="24" s="1"/>
  <c r="N23" i="38" l="1"/>
  <c r="N23" i="37"/>
  <c r="B19" i="23"/>
  <c r="B21" i="23" s="1"/>
  <c r="B22" i="23" s="1"/>
  <c r="K25" i="38" s="1"/>
  <c r="M25" i="38" s="1"/>
  <c r="N25" i="38" s="1"/>
  <c r="S25" i="38" s="1"/>
  <c r="B81" i="23" a="1"/>
  <c r="C83" i="23" s="1"/>
  <c r="B20" i="23"/>
  <c r="B81" i="24" a="1"/>
  <c r="C82" i="24" s="1"/>
  <c r="C84" i="25"/>
  <c r="C82" i="25"/>
  <c r="C83" i="25"/>
  <c r="B81" i="25"/>
  <c r="C85" i="25"/>
  <c r="B83" i="25"/>
  <c r="B85" i="25"/>
  <c r="B84" i="25"/>
  <c r="B82" i="25"/>
  <c r="C81" i="25"/>
  <c r="B20" i="25"/>
  <c r="B19" i="24"/>
  <c r="B21" i="24" s="1"/>
  <c r="B19" i="25"/>
  <c r="B21" i="25" s="1"/>
  <c r="P75" i="34"/>
  <c r="P76" i="34" s="1"/>
  <c r="P75" i="31"/>
  <c r="P76" i="31" s="1"/>
  <c r="Q43" i="5"/>
  <c r="M26" i="38" l="1"/>
  <c r="S23" i="38"/>
  <c r="S26" i="38" s="1"/>
  <c r="N26" i="38"/>
  <c r="K25" i="5"/>
  <c r="K25" i="37"/>
  <c r="M25" i="37" s="1"/>
  <c r="S23" i="37"/>
  <c r="B81" i="23"/>
  <c r="C85" i="23"/>
  <c r="B84" i="23"/>
  <c r="C82" i="23"/>
  <c r="B85" i="23"/>
  <c r="C81" i="23"/>
  <c r="B82" i="23"/>
  <c r="B83" i="23"/>
  <c r="C84" i="23"/>
  <c r="B22" i="25"/>
  <c r="K30" i="38" s="1"/>
  <c r="M30" i="38" s="1"/>
  <c r="N30" i="38" s="1"/>
  <c r="S30" i="38" s="1"/>
  <c r="B22" i="24"/>
  <c r="B85" i="24"/>
  <c r="B81" i="24"/>
  <c r="C84" i="24"/>
  <c r="B82" i="24"/>
  <c r="B84" i="24"/>
  <c r="C83" i="24"/>
  <c r="C85" i="24"/>
  <c r="C81" i="24"/>
  <c r="B83" i="24"/>
  <c r="B88" i="25"/>
  <c r="B89" i="25" s="1"/>
  <c r="Q44" i="5"/>
  <c r="Q46" i="5" s="1"/>
  <c r="N192" i="1"/>
  <c r="K29" i="37" l="1"/>
  <c r="M29" i="37" s="1"/>
  <c r="K29" i="38"/>
  <c r="M29" i="38" s="1"/>
  <c r="N29" i="38" s="1"/>
  <c r="K29" i="5"/>
  <c r="K30" i="5"/>
  <c r="K30" i="37"/>
  <c r="M30" i="37" s="1"/>
  <c r="N30" i="37" s="1"/>
  <c r="S30" i="37" s="1"/>
  <c r="N25" i="37"/>
  <c r="M26" i="37"/>
  <c r="B88" i="23"/>
  <c r="B89" i="23" s="1"/>
  <c r="B88" i="24"/>
  <c r="B89" i="24" s="1"/>
  <c r="S29" i="38" l="1"/>
  <c r="S25" i="37"/>
  <c r="S26" i="37" s="1"/>
  <c r="N26" i="37"/>
  <c r="N29" i="37"/>
  <c r="T73" i="1"/>
  <c r="T83" i="1"/>
  <c r="P11" i="34" s="1"/>
  <c r="P14" i="34" s="1"/>
  <c r="G76" i="34" s="1"/>
  <c r="S29" i="37" l="1"/>
  <c r="S14" i="6"/>
  <c r="S17" i="6" s="1"/>
  <c r="AO20"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T147" i="1"/>
  <c r="T150" i="1" s="1"/>
  <c r="S27" i="6" l="1"/>
  <c r="T120" i="1"/>
  <c r="T126" i="1"/>
  <c r="S45" i="6"/>
  <c r="S47" i="6" s="1"/>
  <c r="S54" i="6" s="1"/>
  <c r="S28" i="6"/>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J45" i="6" s="1"/>
  <c r="I38" i="6"/>
  <c r="I45" i="6" s="1"/>
  <c r="H38" i="6"/>
  <c r="H45" i="6" s="1"/>
  <c r="G38" i="6"/>
  <c r="G45" i="6" s="1"/>
  <c r="F38" i="6"/>
  <c r="F45" i="6" s="1"/>
  <c r="E38" i="6"/>
  <c r="E45" i="6" s="1"/>
  <c r="R44" i="6" l="1"/>
  <c r="R45" i="6" s="1"/>
  <c r="R47" i="6"/>
  <c r="Q47" i="6" s="1"/>
  <c r="P47" i="6" s="1"/>
  <c r="O47" i="6" s="1"/>
  <c r="N47" i="6" s="1"/>
  <c r="M47" i="6" s="1"/>
  <c r="L47" i="6" s="1"/>
  <c r="K47" i="6" s="1"/>
  <c r="J47" i="6" s="1"/>
  <c r="I47" i="6" s="1"/>
  <c r="H47" i="6" s="1"/>
  <c r="G47" i="6" s="1"/>
  <c r="F47" i="6" s="1"/>
  <c r="E47" i="6" s="1"/>
  <c r="T91" i="1"/>
  <c r="T139" i="1"/>
  <c r="R25" i="6"/>
  <c r="R30" i="6" s="1"/>
  <c r="Q25" i="6"/>
  <c r="P25" i="6"/>
  <c r="O25" i="6"/>
  <c r="N25" i="6"/>
  <c r="M25" i="6"/>
  <c r="L25" i="6"/>
  <c r="K25" i="6"/>
  <c r="J25" i="6"/>
  <c r="I25" i="6"/>
  <c r="H25" i="6"/>
  <c r="G25" i="6"/>
  <c r="F25" i="6"/>
  <c r="E25" i="6"/>
  <c r="Q30" i="6" l="1"/>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J14" i="6"/>
  <c r="I14" i="6"/>
  <c r="AL63" i="2"/>
  <c r="AI63" i="2"/>
  <c r="AF63" i="2"/>
  <c r="R63" i="2"/>
  <c r="P63" i="2"/>
  <c r="N63" i="2"/>
  <c r="L63" i="2"/>
  <c r="J63" i="2"/>
  <c r="H63" i="2"/>
  <c r="AL61" i="2"/>
  <c r="AI61" i="2"/>
  <c r="AF61" i="2"/>
  <c r="AC61" i="2"/>
  <c r="Z61" i="2"/>
  <c r="W61" i="2"/>
  <c r="T61" i="2"/>
  <c r="R61" i="2"/>
  <c r="AK41" i="2"/>
  <c r="N12" i="30" s="1"/>
  <c r="N15" i="30" s="1"/>
  <c r="N77" i="30" s="1"/>
  <c r="P28" i="6" l="1"/>
  <c r="M17" i="6"/>
  <c r="N27" i="6"/>
  <c r="N28" i="6" s="1"/>
  <c r="J17" i="6"/>
  <c r="K27" i="6"/>
  <c r="G17" i="6"/>
  <c r="H27" i="6"/>
  <c r="E40" i="2"/>
  <c r="AJ36" i="2"/>
  <c r="N12" i="28" s="1"/>
  <c r="N15" i="28" s="1"/>
  <c r="G77" i="28" s="1"/>
  <c r="E35" i="2"/>
  <c r="B21" i="28" l="1"/>
  <c r="B20" i="28"/>
  <c r="B22" i="28" s="1"/>
  <c r="B23" i="28" s="1"/>
  <c r="K35" i="38" s="1"/>
  <c r="M35" i="38" s="1"/>
  <c r="N35" i="38" s="1"/>
  <c r="S35" i="38" s="1"/>
  <c r="B81" i="28" a="1"/>
  <c r="I17" i="6"/>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K35" i="5" l="1"/>
  <c r="K35" i="37"/>
  <c r="M35" i="37" s="1"/>
  <c r="N35" i="37" s="1"/>
  <c r="S35" i="37" s="1"/>
  <c r="B84" i="28"/>
  <c r="C84" i="28"/>
  <c r="B82" i="28"/>
  <c r="C82" i="28"/>
  <c r="C81" i="28"/>
  <c r="C83" i="28"/>
  <c r="B81" i="28"/>
  <c r="C85" i="28"/>
  <c r="B85" i="28"/>
  <c r="B83" i="28"/>
  <c r="L28" i="6"/>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N12" i="20" s="1"/>
  <c r="N15" i="20" s="1"/>
  <c r="G77" i="20" s="1"/>
  <c r="AI19" i="2"/>
  <c r="M12" i="20" s="1"/>
  <c r="M15" i="20" s="1"/>
  <c r="F77" i="20" s="1"/>
  <c r="AF19" i="2"/>
  <c r="AC19" i="2"/>
  <c r="Z19" i="2"/>
  <c r="J12" i="20" s="1"/>
  <c r="J15" i="20" s="1"/>
  <c r="C77" i="20" s="1"/>
  <c r="W19" i="2"/>
  <c r="T19" i="2"/>
  <c r="R19" i="2"/>
  <c r="P19" i="2"/>
  <c r="N19" i="2"/>
  <c r="E12" i="20" s="1"/>
  <c r="E15" i="20" s="1"/>
  <c r="L19" i="2"/>
  <c r="D12" i="20" s="1"/>
  <c r="D15" i="20" s="1"/>
  <c r="J19" i="2"/>
  <c r="C12" i="20" s="1"/>
  <c r="C15" i="20" s="1"/>
  <c r="H19" i="2"/>
  <c r="B12" i="20" s="1"/>
  <c r="B15" i="20" s="1"/>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B88" i="28" l="1"/>
  <c r="B89" i="28" s="1"/>
  <c r="B21" i="20"/>
  <c r="B20" i="20"/>
  <c r="B22" i="20" s="1"/>
  <c r="B23" i="20" s="1"/>
  <c r="K18" i="38" s="1"/>
  <c r="M18" i="38" s="1"/>
  <c r="B81" i="20" a="1"/>
  <c r="E28" i="6"/>
  <c r="W21" i="2"/>
  <c r="AC21" i="2"/>
  <c r="N21" i="2"/>
  <c r="AI21" i="2"/>
  <c r="AO21" i="2"/>
  <c r="H21" i="2"/>
  <c r="P21" i="2"/>
  <c r="Z21" i="2"/>
  <c r="AL21" i="2"/>
  <c r="L21" i="2"/>
  <c r="T21" i="2"/>
  <c r="AF21" i="2"/>
  <c r="J21" i="2"/>
  <c r="R21" i="2"/>
  <c r="N18" i="38" l="1"/>
  <c r="M20" i="38"/>
  <c r="K18" i="5"/>
  <c r="K18" i="37"/>
  <c r="M18" i="37" s="1"/>
  <c r="C83" i="20"/>
  <c r="C85" i="20"/>
  <c r="B81" i="20"/>
  <c r="B82" i="20"/>
  <c r="B83" i="20"/>
  <c r="B84" i="20"/>
  <c r="B85" i="20"/>
  <c r="C82" i="20"/>
  <c r="C84" i="20"/>
  <c r="C81" i="20"/>
  <c r="G186" i="1"/>
  <c r="G202" i="1" s="1"/>
  <c r="S18" i="38" l="1"/>
  <c r="S20" i="38" s="1"/>
  <c r="N20" i="38"/>
  <c r="M20" i="37"/>
  <c r="N18" i="37"/>
  <c r="B88" i="20"/>
  <c r="B89" i="20" s="1"/>
  <c r="S147" i="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S18" i="37" l="1"/>
  <c r="S20" i="37" s="1"/>
  <c r="N20" i="37"/>
  <c r="T151" i="1"/>
  <c r="H150" i="1"/>
  <c r="G150" i="1"/>
  <c r="Q150" i="1"/>
  <c r="O150" i="1"/>
  <c r="R150" i="1"/>
  <c r="F150" i="1"/>
  <c r="J150" i="1"/>
  <c r="P150" i="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N11" i="34" s="1"/>
  <c r="N14" i="34" s="1"/>
  <c r="E76" i="34" s="1"/>
  <c r="Q83" i="1"/>
  <c r="M11" i="34" s="1"/>
  <c r="M14" i="34" s="1"/>
  <c r="D76" i="34" s="1"/>
  <c r="P83" i="1"/>
  <c r="L11" i="34" s="1"/>
  <c r="L14" i="34" s="1"/>
  <c r="C76" i="34" s="1"/>
  <c r="O83" i="1"/>
  <c r="K11" i="34" s="1"/>
  <c r="K14" i="34" s="1"/>
  <c r="B76" i="34" s="1"/>
  <c r="N83" i="1"/>
  <c r="J11" i="34" s="1"/>
  <c r="J14" i="34" s="1"/>
  <c r="M83" i="1"/>
  <c r="I11" i="34" s="1"/>
  <c r="I14" i="34" s="1"/>
  <c r="L83" i="1"/>
  <c r="H11" i="34" s="1"/>
  <c r="H14" i="34" s="1"/>
  <c r="K83" i="1"/>
  <c r="G11" i="34" s="1"/>
  <c r="G14" i="34" s="1"/>
  <c r="J83" i="1"/>
  <c r="F11" i="34" s="1"/>
  <c r="F14" i="34" s="1"/>
  <c r="I83" i="1"/>
  <c r="E11" i="34" s="1"/>
  <c r="E14" i="34" s="1"/>
  <c r="H83" i="1"/>
  <c r="D11" i="34" s="1"/>
  <c r="D14" i="34" s="1"/>
  <c r="G83" i="1"/>
  <c r="C11" i="34" s="1"/>
  <c r="C14" i="34" s="1"/>
  <c r="F83" i="1"/>
  <c r="B11" i="34" s="1"/>
  <c r="B14" i="34" s="1"/>
  <c r="L108" i="1" l="1"/>
  <c r="I108" i="1"/>
  <c r="M108" i="1"/>
  <c r="Q108" i="1"/>
  <c r="G108" i="1"/>
  <c r="K108" i="1"/>
  <c r="O108" i="1"/>
  <c r="S108" i="1"/>
  <c r="Q120" i="1"/>
  <c r="F108" i="1"/>
  <c r="J108" i="1"/>
  <c r="N108" i="1"/>
  <c r="R108" i="1"/>
  <c r="S120" i="1"/>
  <c r="R120" i="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O11" i="32" s="1"/>
  <c r="O15" i="32" s="1"/>
  <c r="O76" i="32" s="1"/>
  <c r="R73" i="1"/>
  <c r="Q73" i="1"/>
  <c r="P73" i="1"/>
  <c r="O73" i="1"/>
  <c r="N73" i="1"/>
  <c r="M73" i="1"/>
  <c r="L73" i="1"/>
  <c r="K73" i="1"/>
  <c r="J73" i="1"/>
  <c r="I73" i="1"/>
  <c r="H73" i="1"/>
  <c r="G73" i="1"/>
  <c r="F73" i="1"/>
  <c r="E61" i="1"/>
  <c r="S45" i="1"/>
  <c r="R45" i="1"/>
  <c r="Q45" i="1"/>
  <c r="P43" i="1"/>
  <c r="P124" i="1" s="1"/>
  <c r="O43" i="1"/>
  <c r="N43" i="1"/>
  <c r="M43" i="1"/>
  <c r="L43" i="1"/>
  <c r="K43" i="1"/>
  <c r="J43" i="1"/>
  <c r="I43" i="1"/>
  <c r="H43" i="1"/>
  <c r="G43" i="1"/>
  <c r="F43" i="1"/>
  <c r="P42" i="1"/>
  <c r="O42" i="1"/>
  <c r="K11" i="30" s="1"/>
  <c r="K15" i="30" s="1"/>
  <c r="K77" i="30" s="1"/>
  <c r="N42" i="1"/>
  <c r="J11" i="30" s="1"/>
  <c r="J15" i="30" s="1"/>
  <c r="J77" i="30" s="1"/>
  <c r="M42" i="1"/>
  <c r="I11" i="30" s="1"/>
  <c r="I15" i="30" s="1"/>
  <c r="I77" i="30" s="1"/>
  <c r="L42" i="1"/>
  <c r="H11" i="30" s="1"/>
  <c r="H15" i="30" s="1"/>
  <c r="H77" i="30" s="1"/>
  <c r="K42" i="1"/>
  <c r="G11" i="30" s="1"/>
  <c r="G15" i="30" s="1"/>
  <c r="G77" i="30" s="1"/>
  <c r="J42" i="1"/>
  <c r="F11" i="30" s="1"/>
  <c r="F15" i="30" s="1"/>
  <c r="F77" i="30" s="1"/>
  <c r="I42" i="1"/>
  <c r="E11" i="30" s="1"/>
  <c r="E15" i="30" s="1"/>
  <c r="E77" i="30" s="1"/>
  <c r="H42" i="1"/>
  <c r="D11" i="30" s="1"/>
  <c r="D15" i="30" s="1"/>
  <c r="D77" i="30" s="1"/>
  <c r="G42" i="1"/>
  <c r="C11" i="30" s="1"/>
  <c r="C15" i="30" s="1"/>
  <c r="C77" i="30" s="1"/>
  <c r="F42" i="1"/>
  <c r="B11" i="30" s="1"/>
  <c r="B15" i="30" s="1"/>
  <c r="B77" i="30" s="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3" i="5"/>
  <c r="M83" i="5" s="1"/>
  <c r="I82" i="5"/>
  <c r="M82" i="5" s="1"/>
  <c r="I81" i="5"/>
  <c r="I80" i="5"/>
  <c r="I78" i="5"/>
  <c r="L75" i="1" l="1"/>
  <c r="H11" i="32"/>
  <c r="H15" i="32" s="1"/>
  <c r="H76" i="32" s="1"/>
  <c r="M75" i="1"/>
  <c r="I11" i="32"/>
  <c r="I15" i="32" s="1"/>
  <c r="I76" i="32" s="1"/>
  <c r="P119" i="1"/>
  <c r="P120" i="1" s="1"/>
  <c r="L11" i="30"/>
  <c r="L15" i="30" s="1"/>
  <c r="L77" i="30" s="1"/>
  <c r="B81" i="30" s="1" a="1"/>
  <c r="F75" i="1"/>
  <c r="B11" i="32"/>
  <c r="B15" i="32" s="1"/>
  <c r="B76" i="32" s="1"/>
  <c r="N75" i="1"/>
  <c r="J11" i="32"/>
  <c r="J15" i="32" s="1"/>
  <c r="J76" i="32" s="1"/>
  <c r="K75" i="1"/>
  <c r="G11" i="32"/>
  <c r="G15" i="32" s="1"/>
  <c r="G76" i="32" s="1"/>
  <c r="G75" i="1"/>
  <c r="G82" i="1" s="1"/>
  <c r="C11" i="32"/>
  <c r="C15" i="32" s="1"/>
  <c r="C76" i="32" s="1"/>
  <c r="O75" i="1"/>
  <c r="K11" i="32"/>
  <c r="K15" i="32" s="1"/>
  <c r="K76" i="32" s="1"/>
  <c r="H75" i="1"/>
  <c r="D11" i="32"/>
  <c r="D15" i="32" s="1"/>
  <c r="D76" i="32" s="1"/>
  <c r="P75" i="1"/>
  <c r="L11" i="32"/>
  <c r="L15" i="32" s="1"/>
  <c r="L76" i="32" s="1"/>
  <c r="I75" i="1"/>
  <c r="I82" i="1" s="1"/>
  <c r="E11" i="32"/>
  <c r="E15" i="32" s="1"/>
  <c r="E76" i="32" s="1"/>
  <c r="Q75" i="1"/>
  <c r="M11" i="32"/>
  <c r="M15" i="32" s="1"/>
  <c r="M76" i="32" s="1"/>
  <c r="J75" i="1"/>
  <c r="F11" i="32"/>
  <c r="F15" i="32" s="1"/>
  <c r="F76" i="32" s="1"/>
  <c r="R75" i="1"/>
  <c r="N11" i="32"/>
  <c r="N15" i="32" s="1"/>
  <c r="N76" i="32" s="1"/>
  <c r="S46" i="1"/>
  <c r="M82" i="1"/>
  <c r="Q82" i="1"/>
  <c r="AF65" i="2"/>
  <c r="AC65" i="2" s="1"/>
  <c r="M80" i="5"/>
  <c r="N80" i="5" s="1"/>
  <c r="S80" i="5" s="1"/>
  <c r="M81" i="5"/>
  <c r="N81" i="5" s="1"/>
  <c r="S81" i="5" s="1"/>
  <c r="N82" i="5"/>
  <c r="S82"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K82" i="1"/>
  <c r="O82" i="1"/>
  <c r="I15" i="1"/>
  <c r="I45" i="1"/>
  <c r="I46" i="1" s="1"/>
  <c r="M45" i="1"/>
  <c r="M46" i="1" s="1"/>
  <c r="S75" i="1"/>
  <c r="O119" i="1"/>
  <c r="O124" i="1"/>
  <c r="P126" i="1"/>
  <c r="C83" i="30" l="1"/>
  <c r="B83" i="30"/>
  <c r="B81" i="30"/>
  <c r="C85" i="30"/>
  <c r="C81" i="30"/>
  <c r="B85" i="30"/>
  <c r="C82" i="30"/>
  <c r="C84" i="30"/>
  <c r="B82" i="30"/>
  <c r="B84" i="30"/>
  <c r="B21" i="32"/>
  <c r="B80" i="32" a="1"/>
  <c r="B20" i="32"/>
  <c r="B22" i="32" s="1"/>
  <c r="B23" i="32" s="1"/>
  <c r="K68" i="38" s="1"/>
  <c r="B21" i="30"/>
  <c r="B20" i="30"/>
  <c r="B22" i="30" s="1"/>
  <c r="B23" i="30" s="1"/>
  <c r="K40" i="38" s="1"/>
  <c r="M40" i="38" s="1"/>
  <c r="N40" i="38" s="1"/>
  <c r="S40" i="38" s="1"/>
  <c r="S82" i="1"/>
  <c r="Q178" i="1"/>
  <c r="Q194" i="1" s="1"/>
  <c r="N119" i="1"/>
  <c r="O120" i="1"/>
  <c r="N124" i="1"/>
  <c r="O126" i="1"/>
  <c r="Q162" i="1"/>
  <c r="Q121" i="1"/>
  <c r="H76" i="5"/>
  <c r="G76" i="5"/>
  <c r="F76" i="5"/>
  <c r="E76" i="5"/>
  <c r="I75" i="5"/>
  <c r="I74" i="5"/>
  <c r="I73" i="5"/>
  <c r="H70" i="5"/>
  <c r="G70" i="5"/>
  <c r="E70" i="5"/>
  <c r="K74" i="38" l="1"/>
  <c r="M74" i="38" s="1"/>
  <c r="M68" i="38"/>
  <c r="K40" i="5"/>
  <c r="K40" i="37"/>
  <c r="M40" i="37" s="1"/>
  <c r="N40" i="37" s="1"/>
  <c r="S40" i="37" s="1"/>
  <c r="K68" i="5"/>
  <c r="K74" i="5" s="1"/>
  <c r="K68" i="37"/>
  <c r="B88" i="30"/>
  <c r="B89" i="30" s="1"/>
  <c r="C84" i="32"/>
  <c r="B84" i="32"/>
  <c r="C83" i="32"/>
  <c r="C82" i="32"/>
  <c r="B81" i="32"/>
  <c r="B82" i="32"/>
  <c r="C80" i="32"/>
  <c r="B83" i="32"/>
  <c r="B80" i="32"/>
  <c r="C81" i="32"/>
  <c r="H77" i="5"/>
  <c r="P162" i="1"/>
  <c r="P178" i="1"/>
  <c r="P194" i="1" s="1"/>
  <c r="I76" i="5"/>
  <c r="G77" i="5"/>
  <c r="E77" i="5"/>
  <c r="M119" i="1"/>
  <c r="N120" i="1"/>
  <c r="P121" i="1"/>
  <c r="M124" i="1"/>
  <c r="N126" i="1"/>
  <c r="I68" i="5"/>
  <c r="I67" i="5"/>
  <c r="N68" i="38" l="1"/>
  <c r="M70" i="38"/>
  <c r="N74" i="38"/>
  <c r="M76" i="38"/>
  <c r="K74" i="37"/>
  <c r="M74" i="37" s="1"/>
  <c r="M68" i="37"/>
  <c r="B87" i="32"/>
  <c r="B88" i="32" s="1"/>
  <c r="O162" i="1"/>
  <c r="O178" i="1"/>
  <c r="O194" i="1" s="1"/>
  <c r="F70" i="5"/>
  <c r="F77" i="5" s="1"/>
  <c r="F79" i="5" s="1"/>
  <c r="E79" i="5" s="1"/>
  <c r="I69" i="5"/>
  <c r="I70" i="5" s="1"/>
  <c r="I77" i="5" s="1"/>
  <c r="O121" i="1"/>
  <c r="L124" i="1"/>
  <c r="M126" i="1"/>
  <c r="L119" i="1"/>
  <c r="M120" i="1"/>
  <c r="M77" i="38" l="1"/>
  <c r="S74" i="38"/>
  <c r="S76" i="38" s="1"/>
  <c r="N76" i="38"/>
  <c r="S68" i="38"/>
  <c r="S70" i="38" s="1"/>
  <c r="N70" i="38"/>
  <c r="N68" i="37"/>
  <c r="M70" i="37"/>
  <c r="N74" i="37"/>
  <c r="M76" i="37"/>
  <c r="N162" i="1"/>
  <c r="N178" i="1"/>
  <c r="N194" i="1" s="1"/>
  <c r="N121" i="1"/>
  <c r="K124" i="1"/>
  <c r="L126" i="1"/>
  <c r="K119" i="1"/>
  <c r="L120" i="1"/>
  <c r="N77" i="38" l="1"/>
  <c r="S77" i="38"/>
  <c r="S74" i="37"/>
  <c r="S76" i="37" s="1"/>
  <c r="N76" i="37"/>
  <c r="M77" i="37"/>
  <c r="S68" i="37"/>
  <c r="S70" i="37" s="1"/>
  <c r="N70" i="37"/>
  <c r="M162" i="1"/>
  <c r="M178" i="1"/>
  <c r="M194" i="1" s="1"/>
  <c r="M121" i="1"/>
  <c r="J124" i="1"/>
  <c r="K126" i="1"/>
  <c r="J119" i="1"/>
  <c r="K120" i="1"/>
  <c r="I61" i="5"/>
  <c r="I60" i="5"/>
  <c r="N77" i="37" l="1"/>
  <c r="S77" i="37"/>
  <c r="L162" i="1"/>
  <c r="L178" i="1"/>
  <c r="L194" i="1" s="1"/>
  <c r="L121" i="1"/>
  <c r="I124" i="1"/>
  <c r="J126" i="1"/>
  <c r="I119" i="1"/>
  <c r="J120" i="1"/>
  <c r="K178" i="1" s="1"/>
  <c r="K194" i="1" s="1"/>
  <c r="H124" i="1" l="1"/>
  <c r="I126" i="1"/>
  <c r="H119" i="1"/>
  <c r="I120" i="1"/>
  <c r="K162" i="1"/>
  <c r="K121" i="1"/>
  <c r="S56" i="5"/>
  <c r="O56" i="5"/>
  <c r="N56" i="5"/>
  <c r="M56" i="5"/>
  <c r="K56" i="5"/>
  <c r="I56" i="5"/>
  <c r="H56" i="5"/>
  <c r="G56" i="5"/>
  <c r="F56" i="5"/>
  <c r="E56" i="5"/>
  <c r="A65" i="5"/>
  <c r="A66" i="5" s="1"/>
  <c r="A67" i="5" s="1"/>
  <c r="A68" i="5" s="1"/>
  <c r="A69" i="5" s="1"/>
  <c r="A70" i="5" s="1"/>
  <c r="A72" i="5" s="1"/>
  <c r="A73" i="5" s="1"/>
  <c r="A74" i="5" s="1"/>
  <c r="A75" i="5" s="1"/>
  <c r="A76" i="5" s="1"/>
  <c r="A77" i="5" s="1"/>
  <c r="A78" i="5" s="1"/>
  <c r="A79" i="5" s="1"/>
  <c r="A80" i="5" s="1"/>
  <c r="A81" i="5" s="1"/>
  <c r="A82" i="5" s="1"/>
  <c r="A83" i="5" s="1"/>
  <c r="A84" i="5" s="1"/>
  <c r="A85" i="5" s="1"/>
  <c r="A88" i="5" s="1"/>
  <c r="A90" i="5" l="1"/>
  <c r="A91" i="5" s="1"/>
  <c r="A92" i="5" s="1"/>
  <c r="A93" i="5" s="1"/>
  <c r="A94" i="5" s="1"/>
  <c r="A95" i="5" s="1"/>
  <c r="A96" i="5" s="1"/>
  <c r="A97" i="5" s="1"/>
  <c r="A98" i="5" s="1"/>
  <c r="J162" i="1"/>
  <c r="J178" i="1"/>
  <c r="J194" i="1" s="1"/>
  <c r="J121" i="1"/>
  <c r="G119" i="1"/>
  <c r="H120" i="1"/>
  <c r="I178" i="1" s="1"/>
  <c r="I194" i="1" s="1"/>
  <c r="G124" i="1"/>
  <c r="H126" i="1"/>
  <c r="I121" i="1"/>
  <c r="I162" i="1" l="1"/>
  <c r="F119" i="1"/>
  <c r="F120" i="1" s="1"/>
  <c r="G120" i="1"/>
  <c r="F124" i="1"/>
  <c r="F126" i="1" s="1"/>
  <c r="G126" i="1"/>
  <c r="H121" i="1" l="1"/>
  <c r="H178" i="1"/>
  <c r="H194" i="1" s="1"/>
  <c r="H162" i="1"/>
  <c r="G121" i="1"/>
  <c r="J43" i="5" l="1"/>
  <c r="E43" i="5"/>
  <c r="I42" i="5"/>
  <c r="I41" i="5"/>
  <c r="M41" i="5" s="1"/>
  <c r="I40" i="5"/>
  <c r="F43" i="5"/>
  <c r="N41" i="5" l="1"/>
  <c r="S41" i="5" s="1"/>
  <c r="I36" i="5"/>
  <c r="I35" i="5"/>
  <c r="F32" i="5" l="1"/>
  <c r="E32" i="5"/>
  <c r="I30" i="5" l="1"/>
  <c r="I29" i="5"/>
  <c r="O26" i="5"/>
  <c r="H26" i="5"/>
  <c r="G26" i="5"/>
  <c r="F26" i="5"/>
  <c r="E26" i="5"/>
  <c r="I25" i="5"/>
  <c r="I24" i="5"/>
  <c r="I23" i="5"/>
  <c r="I26" i="5" l="1"/>
  <c r="H20" i="5"/>
  <c r="G20" i="5"/>
  <c r="F20" i="5"/>
  <c r="F44" i="5" s="1"/>
  <c r="E20" i="5"/>
  <c r="I19" i="5"/>
  <c r="M19" i="5" s="1"/>
  <c r="N19" i="5" s="1"/>
  <c r="S19" i="5" s="1"/>
  <c r="E44" i="5" l="1"/>
  <c r="I18" i="5"/>
  <c r="I17" i="5"/>
  <c r="N17" i="5" s="1"/>
  <c r="S17" i="5" s="1"/>
  <c r="M13" i="5"/>
  <c r="G13" i="5"/>
  <c r="F13" i="5"/>
  <c r="E13" i="5"/>
  <c r="I20" i="5" l="1"/>
  <c r="I12" i="5"/>
  <c r="I11" i="5"/>
  <c r="F40" i="7" l="1"/>
  <c r="D38" i="7"/>
  <c r="F38" i="7" s="1"/>
  <c r="F42" i="7" s="1"/>
  <c r="D42" i="7" l="1"/>
  <c r="N18" i="7"/>
  <c r="N20" i="7" s="1"/>
  <c r="N22" i="7" s="1"/>
  <c r="N24" i="7" l="1"/>
  <c r="F13" i="7"/>
  <c r="D11" i="7"/>
  <c r="S95" i="5" l="1"/>
  <c r="S95" i="38"/>
  <c r="H22" i="40" s="1"/>
  <c r="S95" i="37"/>
  <c r="H22" i="39" s="1"/>
  <c r="D15" i="7"/>
  <c r="F11" i="7"/>
  <c r="G32" i="5"/>
  <c r="G43" i="5"/>
  <c r="J44" i="5"/>
  <c r="J46" i="5" s="1"/>
  <c r="N11" i="5"/>
  <c r="F46" i="5"/>
  <c r="E46" i="5"/>
  <c r="S83" i="1"/>
  <c r="O11" i="34" s="1"/>
  <c r="O14" i="34" s="1"/>
  <c r="F76" i="34"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79" i="5"/>
  <c r="H79" i="5"/>
  <c r="G79" i="5"/>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Q59" i="5" l="1"/>
  <c r="Q63" i="5" s="1"/>
  <c r="Q59" i="38"/>
  <c r="Q63" i="38" s="1"/>
  <c r="Q59" i="37"/>
  <c r="Q63" i="37" s="1"/>
  <c r="B19" i="34"/>
  <c r="B21" i="34" s="1"/>
  <c r="B22" i="34" s="1"/>
  <c r="K78" i="38" s="1"/>
  <c r="M78" i="38" s="1"/>
  <c r="B20" i="34"/>
  <c r="B80" i="34" a="1"/>
  <c r="O11" i="5"/>
  <c r="S84" i="1"/>
  <c r="F15" i="7"/>
  <c r="H139" i="1"/>
  <c r="I182" i="1"/>
  <c r="I198" i="1" s="1"/>
  <c r="I91" i="1"/>
  <c r="H56" i="6" s="1"/>
  <c r="J182" i="1"/>
  <c r="J198" i="1" s="1"/>
  <c r="J139" i="1"/>
  <c r="K182" i="1"/>
  <c r="K198" i="1" s="1"/>
  <c r="P91" i="1"/>
  <c r="Q184" i="1" s="1"/>
  <c r="Q200" i="1" s="1"/>
  <c r="Q182" i="1"/>
  <c r="Q198" i="1" s="1"/>
  <c r="N139" i="1"/>
  <c r="O182" i="1"/>
  <c r="O198" i="1" s="1"/>
  <c r="G91" i="1"/>
  <c r="G142" i="1" s="1"/>
  <c r="H182" i="1"/>
  <c r="H198" i="1" s="1"/>
  <c r="T182" i="1"/>
  <c r="T198" i="1" s="1"/>
  <c r="T166" i="1"/>
  <c r="O139" i="1"/>
  <c r="P182" i="1"/>
  <c r="P198" i="1" s="1"/>
  <c r="K139" i="1"/>
  <c r="L182" i="1"/>
  <c r="L198" i="1" s="1"/>
  <c r="I85" i="5"/>
  <c r="H85" i="5" s="1"/>
  <c r="L139" i="1"/>
  <c r="M182" i="1"/>
  <c r="M198" i="1" s="1"/>
  <c r="M30" i="5"/>
  <c r="N30" i="5" s="1"/>
  <c r="S30" i="5" s="1"/>
  <c r="G44" i="5"/>
  <c r="G46" i="5" s="1"/>
  <c r="G85" i="5"/>
  <c r="R56" i="1"/>
  <c r="N166" i="1"/>
  <c r="L91" i="1"/>
  <c r="M184" i="1" s="1"/>
  <c r="M200" i="1" s="1"/>
  <c r="M166" i="1"/>
  <c r="P166" i="1"/>
  <c r="P139" i="1"/>
  <c r="O91" i="1"/>
  <c r="I139" i="1"/>
  <c r="M91" i="1"/>
  <c r="N184" i="1" s="1"/>
  <c r="N200" i="1" s="1"/>
  <c r="G139" i="1"/>
  <c r="R139" i="1"/>
  <c r="L166" i="1"/>
  <c r="K91" i="1"/>
  <c r="H91" i="1"/>
  <c r="M139" i="1"/>
  <c r="Q166" i="1"/>
  <c r="J91" i="1"/>
  <c r="Q139" i="1"/>
  <c r="I166" i="1"/>
  <c r="H166" i="1"/>
  <c r="Q91" i="1"/>
  <c r="O166" i="1"/>
  <c r="E56" i="6"/>
  <c r="F142" i="1"/>
  <c r="S91" i="1"/>
  <c r="S166" i="1"/>
  <c r="S139" i="1"/>
  <c r="L140" i="1"/>
  <c r="R166" i="1"/>
  <c r="R91" i="1"/>
  <c r="S184" i="1" s="1"/>
  <c r="S200" i="1" s="1"/>
  <c r="J166" i="1"/>
  <c r="F139" i="1"/>
  <c r="K166" i="1"/>
  <c r="N91" i="1"/>
  <c r="O184" i="1" s="1"/>
  <c r="O200" i="1" s="1"/>
  <c r="Q56" i="1"/>
  <c r="S91" i="5" l="1"/>
  <c r="H12" i="39"/>
  <c r="S91" i="38"/>
  <c r="S91" i="37"/>
  <c r="H12" i="40"/>
  <c r="Q88" i="37"/>
  <c r="Q88" i="38"/>
  <c r="N78" i="38"/>
  <c r="M79" i="38"/>
  <c r="M85" i="38" s="1"/>
  <c r="M59" i="38" s="1"/>
  <c r="K78" i="5"/>
  <c r="M78" i="5" s="1"/>
  <c r="N78" i="5" s="1"/>
  <c r="S78" i="5" s="1"/>
  <c r="K78" i="37"/>
  <c r="M78" i="37" s="1"/>
  <c r="S11" i="5"/>
  <c r="C83" i="34"/>
  <c r="B80" i="34"/>
  <c r="B83" i="34"/>
  <c r="C84" i="34"/>
  <c r="B82" i="34"/>
  <c r="C82" i="34"/>
  <c r="B81" i="34"/>
  <c r="C80" i="34"/>
  <c r="B84" i="34"/>
  <c r="C81" i="34"/>
  <c r="Q88" i="5"/>
  <c r="H140" i="1"/>
  <c r="O56" i="6"/>
  <c r="O140" i="1"/>
  <c r="P142" i="1"/>
  <c r="H12" i="9"/>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M68" i="5"/>
  <c r="N68" i="5" s="1"/>
  <c r="S68" i="5" s="1"/>
  <c r="I142" i="1"/>
  <c r="J184" i="1"/>
  <c r="J200" i="1" s="1"/>
  <c r="M67" i="5"/>
  <c r="N67" i="5" s="1"/>
  <c r="S67" i="5" s="1"/>
  <c r="M69" i="5"/>
  <c r="N69" i="5" s="1"/>
  <c r="S69" i="5" s="1"/>
  <c r="M73" i="5"/>
  <c r="N73" i="5" s="1"/>
  <c r="S73" i="5" s="1"/>
  <c r="M75" i="5"/>
  <c r="N75" i="5" s="1"/>
  <c r="S75" i="5" s="1"/>
  <c r="M24" i="5"/>
  <c r="N24" i="5" s="1"/>
  <c r="S24" i="5" s="1"/>
  <c r="M40" i="5"/>
  <c r="N40" i="5" s="1"/>
  <c r="S40" i="5" s="1"/>
  <c r="O20" i="5"/>
  <c r="M168" i="1"/>
  <c r="F85" i="5"/>
  <c r="E85" i="5" s="1"/>
  <c r="G59" i="5"/>
  <c r="P168" i="1"/>
  <c r="G56" i="6"/>
  <c r="M142" i="1"/>
  <c r="H168" i="1"/>
  <c r="L142" i="1"/>
  <c r="K56" i="6"/>
  <c r="J56" i="6"/>
  <c r="K168" i="1"/>
  <c r="L168" i="1"/>
  <c r="I56" i="6"/>
  <c r="J142" i="1"/>
  <c r="Q140" i="1"/>
  <c r="G140" i="1"/>
  <c r="O142" i="1"/>
  <c r="I168" i="1"/>
  <c r="N140" i="1"/>
  <c r="L56" i="6"/>
  <c r="I140" i="1"/>
  <c r="R140" i="1"/>
  <c r="G143" i="1"/>
  <c r="S140" i="1"/>
  <c r="Q142" i="1"/>
  <c r="P56" i="6"/>
  <c r="R142" i="1"/>
  <c r="Q56" i="6"/>
  <c r="R168" i="1"/>
  <c r="S142" i="1"/>
  <c r="T143" i="1" s="1"/>
  <c r="S168" i="1"/>
  <c r="N142" i="1"/>
  <c r="N168" i="1"/>
  <c r="M56" i="6"/>
  <c r="O168" i="1"/>
  <c r="S78" i="38" l="1"/>
  <c r="S79" i="38" s="1"/>
  <c r="N79" i="38"/>
  <c r="N85" i="38" s="1"/>
  <c r="N78" i="37"/>
  <c r="M79" i="37"/>
  <c r="M85" i="37" s="1"/>
  <c r="M59" i="37" s="1"/>
  <c r="B87" i="34"/>
  <c r="B88" i="34" s="1"/>
  <c r="J143" i="1"/>
  <c r="Q143" i="1"/>
  <c r="P143" i="1"/>
  <c r="I143" i="1"/>
  <c r="L143" i="1"/>
  <c r="H143" i="1"/>
  <c r="M74" i="5"/>
  <c r="N74" i="5" s="1"/>
  <c r="S74" i="5" s="1"/>
  <c r="M70" i="5"/>
  <c r="G63" i="5"/>
  <c r="N143" i="1"/>
  <c r="R143" i="1"/>
  <c r="O143" i="1"/>
  <c r="K143" i="1"/>
  <c r="M143" i="1"/>
  <c r="S70" i="5"/>
  <c r="N70" i="5"/>
  <c r="S143" i="1"/>
  <c r="S84" i="38" l="1"/>
  <c r="S85" i="38" s="1"/>
  <c r="S78" i="37"/>
  <c r="S79" i="37" s="1"/>
  <c r="N79" i="37"/>
  <c r="N85" i="37" s="1"/>
  <c r="S76" i="5"/>
  <c r="S77" i="5" s="1"/>
  <c r="S79" i="5" s="1"/>
  <c r="N76" i="5"/>
  <c r="N77" i="5" s="1"/>
  <c r="N79" i="5" s="1"/>
  <c r="M76" i="5"/>
  <c r="M77" i="5" s="1"/>
  <c r="M79" i="5" s="1"/>
  <c r="M85" i="5" s="1"/>
  <c r="M59" i="5" s="1"/>
  <c r="F63" i="5"/>
  <c r="S92" i="38" l="1"/>
  <c r="F10" i="40"/>
  <c r="S84" i="37"/>
  <c r="S85" i="37" s="1"/>
  <c r="N83" i="5"/>
  <c r="S83" i="5" s="1"/>
  <c r="S84" i="5" s="1"/>
  <c r="E11" i="2"/>
  <c r="N12" i="5"/>
  <c r="N60" i="5"/>
  <c r="S60" i="5" s="1"/>
  <c r="N61" i="5"/>
  <c r="S61" i="5" s="1"/>
  <c r="S92" i="37" l="1"/>
  <c r="F10" i="39"/>
  <c r="AQ11" i="2"/>
  <c r="AT11" i="2"/>
  <c r="AS11" i="2"/>
  <c r="AP11" i="2"/>
  <c r="AR11" i="2"/>
  <c r="AU11" i="2"/>
  <c r="O12" i="5"/>
  <c r="S12" i="5" s="1"/>
  <c r="N85" i="5"/>
  <c r="AE11" i="2"/>
  <c r="Y11" i="2"/>
  <c r="AH11" i="2"/>
  <c r="AD11" i="2"/>
  <c r="AA11" i="2"/>
  <c r="AG11" i="2"/>
  <c r="AF11" i="2"/>
  <c r="L11" i="2"/>
  <c r="AI11" i="2"/>
  <c r="AC11" i="2"/>
  <c r="T11" i="2"/>
  <c r="R11" i="2"/>
  <c r="N11" i="2"/>
  <c r="H22" i="9"/>
  <c r="U11" i="2"/>
  <c r="AL11" i="2"/>
  <c r="AJ11" i="2"/>
  <c r="AK11" i="2"/>
  <c r="AB11" i="2"/>
  <c r="Z11" i="2"/>
  <c r="K11" i="2"/>
  <c r="W11" i="2"/>
  <c r="AN11" i="2"/>
  <c r="V11" i="2"/>
  <c r="AO11" i="2"/>
  <c r="M11" i="2"/>
  <c r="X11" i="2"/>
  <c r="H11" i="2"/>
  <c r="P11" i="2"/>
  <c r="O11" i="2"/>
  <c r="AM11" i="2"/>
  <c r="J11" i="2"/>
  <c r="G11" i="2"/>
  <c r="Q11" i="2"/>
  <c r="S11" i="2"/>
  <c r="I11" i="2"/>
  <c r="AR14" i="2" l="1"/>
  <c r="AR40" i="2"/>
  <c r="AR44" i="2" s="1"/>
  <c r="AR32" i="2"/>
  <c r="AR33" i="2" s="1"/>
  <c r="AR35" i="2"/>
  <c r="P12" i="27" s="1"/>
  <c r="AU40" i="2"/>
  <c r="AU32" i="2"/>
  <c r="AU35" i="2"/>
  <c r="AU14" i="2"/>
  <c r="AP35" i="2"/>
  <c r="AP40" i="2"/>
  <c r="AP44" i="2" s="1"/>
  <c r="AP32" i="2"/>
  <c r="AP33" i="2" s="1"/>
  <c r="AP14" i="2"/>
  <c r="AS35" i="2"/>
  <c r="AS40" i="2"/>
  <c r="AS44" i="2" s="1"/>
  <c r="AS14" i="2"/>
  <c r="AS32" i="2"/>
  <c r="AS33" i="2" s="1"/>
  <c r="AT35" i="2"/>
  <c r="AT40" i="2"/>
  <c r="AT44" i="2" s="1"/>
  <c r="AT14" i="2"/>
  <c r="AT32" i="2"/>
  <c r="AT33" i="2" s="1"/>
  <c r="AQ40" i="2"/>
  <c r="AQ44" i="2" s="1"/>
  <c r="AQ14" i="2"/>
  <c r="AQ35" i="2"/>
  <c r="AQ32" i="2"/>
  <c r="AQ33" i="2" s="1"/>
  <c r="I35" i="2"/>
  <c r="I32" i="2"/>
  <c r="I40" i="2"/>
  <c r="I14" i="2"/>
  <c r="AD32" i="2"/>
  <c r="AD40" i="2"/>
  <c r="AD14" i="2"/>
  <c r="AD35" i="2"/>
  <c r="AO32" i="2"/>
  <c r="O12" i="26" s="1"/>
  <c r="O15" i="26" s="1"/>
  <c r="O77" i="26" s="1"/>
  <c r="AO35" i="2"/>
  <c r="O12" i="27" s="1"/>
  <c r="O15" i="27" s="1"/>
  <c r="F77" i="27" s="1"/>
  <c r="AO40" i="2"/>
  <c r="AO14" i="2"/>
  <c r="AH40" i="2"/>
  <c r="AH44" i="2" s="1"/>
  <c r="AH35" i="2"/>
  <c r="AH14" i="2"/>
  <c r="AH32" i="2"/>
  <c r="AL35" i="2"/>
  <c r="AL32" i="2"/>
  <c r="N12" i="26" s="1"/>
  <c r="N15" i="26" s="1"/>
  <c r="N77" i="26" s="1"/>
  <c r="AL14" i="2"/>
  <c r="AL40" i="2"/>
  <c r="AL44" i="2" s="1"/>
  <c r="L40" i="2"/>
  <c r="L44" i="2" s="1"/>
  <c r="L32" i="2"/>
  <c r="D12" i="26" s="1"/>
  <c r="D15" i="26" s="1"/>
  <c r="D77" i="26" s="1"/>
  <c r="L35" i="2"/>
  <c r="L14" i="2"/>
  <c r="AM40" i="2"/>
  <c r="AM44" i="2" s="1"/>
  <c r="AM14" i="2"/>
  <c r="AM32" i="2"/>
  <c r="AM35" i="2"/>
  <c r="N35" i="2"/>
  <c r="N32" i="2"/>
  <c r="E12" i="26" s="1"/>
  <c r="E15" i="26" s="1"/>
  <c r="E77" i="26" s="1"/>
  <c r="N40" i="2"/>
  <c r="N44" i="2" s="1"/>
  <c r="N14" i="2"/>
  <c r="K35" i="2"/>
  <c r="K14" i="2"/>
  <c r="K32" i="2"/>
  <c r="K40" i="2"/>
  <c r="T35" i="2"/>
  <c r="T40" i="2"/>
  <c r="T44" i="2" s="1"/>
  <c r="T32" i="2"/>
  <c r="H12" i="26" s="1"/>
  <c r="H15" i="26" s="1"/>
  <c r="H77" i="26" s="1"/>
  <c r="T14" i="2"/>
  <c r="Y40" i="2"/>
  <c r="Y44" i="2" s="1"/>
  <c r="Y14" i="2"/>
  <c r="Y32" i="2"/>
  <c r="Y35" i="2"/>
  <c r="O35" i="2"/>
  <c r="O32" i="2"/>
  <c r="O40" i="2"/>
  <c r="O14" i="2"/>
  <c r="M35" i="2"/>
  <c r="M32" i="2"/>
  <c r="M14" i="2"/>
  <c r="M40" i="2"/>
  <c r="AA40" i="2"/>
  <c r="AA14" i="2"/>
  <c r="AA35" i="2"/>
  <c r="AA32" i="2"/>
  <c r="AC35" i="2"/>
  <c r="AC32" i="2"/>
  <c r="K12" i="26" s="1"/>
  <c r="K15" i="26" s="1"/>
  <c r="K77" i="26" s="1"/>
  <c r="AC14" i="2"/>
  <c r="AC40" i="2"/>
  <c r="AC44" i="2" s="1"/>
  <c r="AI14" i="2"/>
  <c r="AI40" i="2"/>
  <c r="AI44" i="2" s="1"/>
  <c r="AI35" i="2"/>
  <c r="AI32" i="2"/>
  <c r="M12" i="26" s="1"/>
  <c r="M15" i="26" s="1"/>
  <c r="M77" i="26" s="1"/>
  <c r="AK40" i="2"/>
  <c r="AK44" i="2" s="1"/>
  <c r="AK14" i="2"/>
  <c r="AK35" i="2"/>
  <c r="AK32" i="2"/>
  <c r="I10" i="5"/>
  <c r="N10" i="5" s="1"/>
  <c r="O10" i="5" s="1"/>
  <c r="O39" i="5" s="1"/>
  <c r="H13" i="5"/>
  <c r="G40" i="2"/>
  <c r="G32" i="2"/>
  <c r="G35" i="2"/>
  <c r="G14" i="2"/>
  <c r="H32" i="2"/>
  <c r="B12" i="26" s="1"/>
  <c r="B15" i="26" s="1"/>
  <c r="B77" i="26" s="1"/>
  <c r="H35" i="2"/>
  <c r="H14" i="2"/>
  <c r="H40" i="2"/>
  <c r="H44" i="2" s="1"/>
  <c r="W40" i="2"/>
  <c r="W44" i="2" s="1"/>
  <c r="W35" i="2"/>
  <c r="W14" i="2"/>
  <c r="W32" i="2"/>
  <c r="I12" i="26" s="1"/>
  <c r="I15" i="26" s="1"/>
  <c r="I77" i="26" s="1"/>
  <c r="Z40" i="2"/>
  <c r="Z44" i="2" s="1"/>
  <c r="Z14" i="2"/>
  <c r="Z35" i="2"/>
  <c r="Z32" i="2"/>
  <c r="J12" i="26" s="1"/>
  <c r="J15" i="26" s="1"/>
  <c r="J77" i="26" s="1"/>
  <c r="Q14" i="2"/>
  <c r="Q40" i="2"/>
  <c r="Q32" i="2"/>
  <c r="Q35" i="2"/>
  <c r="P35" i="2"/>
  <c r="P14" i="2"/>
  <c r="P32" i="2"/>
  <c r="F12" i="26" s="1"/>
  <c r="F15" i="26" s="1"/>
  <c r="F77" i="26" s="1"/>
  <c r="P40" i="2"/>
  <c r="P44" i="2" s="1"/>
  <c r="AN14" i="2"/>
  <c r="AN40" i="2"/>
  <c r="AN44" i="2" s="1"/>
  <c r="AN32" i="2"/>
  <c r="AN35" i="2"/>
  <c r="AF35" i="2"/>
  <c r="AF40" i="2"/>
  <c r="AF44" i="2" s="1"/>
  <c r="AF32" i="2"/>
  <c r="L12" i="26" s="1"/>
  <c r="L15" i="26" s="1"/>
  <c r="L77" i="26" s="1"/>
  <c r="AF14" i="2"/>
  <c r="AJ32" i="2"/>
  <c r="AJ40" i="2"/>
  <c r="AJ14" i="2"/>
  <c r="AJ35" i="2"/>
  <c r="S35" i="2"/>
  <c r="S40" i="2"/>
  <c r="S32" i="2"/>
  <c r="S14" i="2"/>
  <c r="J14" i="2"/>
  <c r="J40" i="2"/>
  <c r="J44" i="2" s="1"/>
  <c r="J32" i="2"/>
  <c r="C12" i="26" s="1"/>
  <c r="C15" i="26" s="1"/>
  <c r="C77" i="26" s="1"/>
  <c r="J35" i="2"/>
  <c r="R32" i="2"/>
  <c r="G12" i="26" s="1"/>
  <c r="G15" i="26" s="1"/>
  <c r="G77" i="26" s="1"/>
  <c r="R35" i="2"/>
  <c r="R40" i="2"/>
  <c r="R44" i="2" s="1"/>
  <c r="R14" i="2"/>
  <c r="X32" i="2"/>
  <c r="X14" i="2"/>
  <c r="X40" i="2"/>
  <c r="X35" i="2"/>
  <c r="V32" i="2"/>
  <c r="V40" i="2"/>
  <c r="V44" i="2" s="1"/>
  <c r="V14" i="2"/>
  <c r="V35" i="2"/>
  <c r="AE35" i="2"/>
  <c r="AE32" i="2"/>
  <c r="AE14" i="2"/>
  <c r="AE40" i="2"/>
  <c r="AE44" i="2" s="1"/>
  <c r="AG32" i="2"/>
  <c r="AG40" i="2"/>
  <c r="AG35" i="2"/>
  <c r="AG14" i="2"/>
  <c r="AB14" i="2"/>
  <c r="AB35" i="2"/>
  <c r="AB40" i="2"/>
  <c r="AB44" i="2" s="1"/>
  <c r="AB32" i="2"/>
  <c r="U35" i="2"/>
  <c r="U40" i="2"/>
  <c r="U32" i="2"/>
  <c r="U14" i="2"/>
  <c r="AT45" i="2" l="1"/>
  <c r="AT47" i="2"/>
  <c r="AT55" i="2" s="1"/>
  <c r="AP45" i="2"/>
  <c r="AR45" i="2"/>
  <c r="AR47" i="2" s="1"/>
  <c r="AR55" i="2" s="1"/>
  <c r="D12" i="27"/>
  <c r="D15" i="27" s="1"/>
  <c r="P12" i="26"/>
  <c r="AQ45" i="2"/>
  <c r="AQ47" i="2" s="1"/>
  <c r="AQ55" i="2" s="1"/>
  <c r="AS45" i="2"/>
  <c r="AS47" i="2" s="1"/>
  <c r="AS55" i="2" s="1"/>
  <c r="AU44" i="2"/>
  <c r="AU33" i="2"/>
  <c r="AP47" i="2"/>
  <c r="AP55" i="2" s="1"/>
  <c r="E12" i="27"/>
  <c r="E15" i="27" s="1"/>
  <c r="L12" i="27"/>
  <c r="L15" i="27" s="1"/>
  <c r="C77" i="27" s="1"/>
  <c r="M12" i="27"/>
  <c r="M15" i="27" s="1"/>
  <c r="D77" i="27" s="1"/>
  <c r="B12" i="27"/>
  <c r="B15" i="27" s="1"/>
  <c r="F12" i="27"/>
  <c r="F15" i="27" s="1"/>
  <c r="C12" i="27"/>
  <c r="C15" i="27" s="1"/>
  <c r="H26" i="9"/>
  <c r="O31" i="5"/>
  <c r="X44" i="2"/>
  <c r="J12" i="29"/>
  <c r="J15" i="29" s="1"/>
  <c r="AA44" i="2"/>
  <c r="K12" i="29"/>
  <c r="K15" i="29" s="1"/>
  <c r="H77" i="27"/>
  <c r="P15" i="27"/>
  <c r="G77" i="27" s="1"/>
  <c r="U44" i="2"/>
  <c r="I12" i="29"/>
  <c r="I15" i="29" s="1"/>
  <c r="AG44" i="2"/>
  <c r="M12" i="29"/>
  <c r="M15" i="29" s="1"/>
  <c r="S44" i="2"/>
  <c r="H12" i="29"/>
  <c r="H15" i="29" s="1"/>
  <c r="AJ44" i="2"/>
  <c r="N12" i="29"/>
  <c r="N15" i="29" s="1"/>
  <c r="B77" i="29" s="1"/>
  <c r="Q44" i="2"/>
  <c r="G12" i="29"/>
  <c r="G15" i="29" s="1"/>
  <c r="M44" i="2"/>
  <c r="E12" i="29"/>
  <c r="E15" i="29" s="1"/>
  <c r="K44" i="2"/>
  <c r="D12" i="29"/>
  <c r="D15" i="29" s="1"/>
  <c r="P12" i="29"/>
  <c r="I12" i="27"/>
  <c r="I15" i="27" s="1"/>
  <c r="H12" i="27"/>
  <c r="H15" i="27" s="1"/>
  <c r="G44" i="2"/>
  <c r="B12" i="29"/>
  <c r="B15" i="29" s="1"/>
  <c r="K12" i="27"/>
  <c r="K15" i="27" s="1"/>
  <c r="B77" i="27" s="1"/>
  <c r="O44" i="2"/>
  <c r="F12" i="29"/>
  <c r="F15" i="29" s="1"/>
  <c r="AO44" i="2"/>
  <c r="O12" i="29"/>
  <c r="O15" i="29" s="1"/>
  <c r="C77" i="29" s="1"/>
  <c r="I44" i="2"/>
  <c r="C12" i="29"/>
  <c r="C15" i="29" s="1"/>
  <c r="J12" i="27"/>
  <c r="J15" i="27" s="1"/>
  <c r="N12" i="27"/>
  <c r="N15" i="27" s="1"/>
  <c r="E77" i="27" s="1"/>
  <c r="G12" i="27"/>
  <c r="G15" i="27" s="1"/>
  <c r="AD44" i="2"/>
  <c r="L12" i="29"/>
  <c r="L15" i="29" s="1"/>
  <c r="P15" i="26"/>
  <c r="P77" i="26" s="1"/>
  <c r="M111" i="1"/>
  <c r="L111" i="1"/>
  <c r="T112" i="1"/>
  <c r="H32" i="5"/>
  <c r="P110" i="1"/>
  <c r="T110" i="1"/>
  <c r="H110" i="1"/>
  <c r="R112" i="1"/>
  <c r="N111" i="1"/>
  <c r="T134" i="1"/>
  <c r="T135" i="1"/>
  <c r="T111" i="1"/>
  <c r="O112" i="1"/>
  <c r="K110" i="1"/>
  <c r="N112" i="1"/>
  <c r="S111" i="1"/>
  <c r="T133" i="1"/>
  <c r="Q112" i="1"/>
  <c r="O111" i="1"/>
  <c r="M112" i="1"/>
  <c r="G110" i="1"/>
  <c r="R111" i="1"/>
  <c r="S112" i="1"/>
  <c r="K111" i="1"/>
  <c r="S110" i="1"/>
  <c r="N133" i="1"/>
  <c r="Z33" i="2"/>
  <c r="Z45" i="2" s="1"/>
  <c r="Z47" i="2" s="1"/>
  <c r="Z55" i="2" s="1"/>
  <c r="W33" i="2"/>
  <c r="W45" i="2" s="1"/>
  <c r="W47" i="2" s="1"/>
  <c r="W55" i="2" s="1"/>
  <c r="M133" i="1"/>
  <c r="I31" i="5"/>
  <c r="O133" i="1"/>
  <c r="AC33" i="2"/>
  <c r="AC45" i="2" s="1"/>
  <c r="AC47" i="2" s="1"/>
  <c r="AC55" i="2" s="1"/>
  <c r="O33" i="2"/>
  <c r="J134" i="1"/>
  <c r="AL33" i="2"/>
  <c r="AL45" i="2" s="1"/>
  <c r="AL47" i="2" s="1"/>
  <c r="AL55" i="2" s="1"/>
  <c r="R133" i="1"/>
  <c r="I33" i="2"/>
  <c r="G134" i="1"/>
  <c r="N134" i="1"/>
  <c r="X33" i="2"/>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H43" i="5"/>
  <c r="I39" i="5"/>
  <c r="I34" i="5"/>
  <c r="AO33" i="2"/>
  <c r="S133" i="1"/>
  <c r="AD33" i="2"/>
  <c r="AD45" i="2" s="1"/>
  <c r="AD47" i="2" s="1"/>
  <c r="AD55" i="2" s="1"/>
  <c r="P134" i="1"/>
  <c r="P112" i="1"/>
  <c r="Q110" i="1"/>
  <c r="Q111" i="1"/>
  <c r="N110" i="1"/>
  <c r="F111" i="1"/>
  <c r="O110" i="1"/>
  <c r="I111" i="1"/>
  <c r="J111" i="1"/>
  <c r="L110" i="1"/>
  <c r="H111" i="1"/>
  <c r="I110" i="1"/>
  <c r="R110" i="1"/>
  <c r="G111" i="1"/>
  <c r="O135" i="1"/>
  <c r="AB33" i="2"/>
  <c r="AB45" i="2" s="1"/>
  <c r="AB47" i="2" s="1"/>
  <c r="AB55" i="2" s="1"/>
  <c r="M33" i="2"/>
  <c r="I134" i="1"/>
  <c r="I133" i="1"/>
  <c r="N33" i="2"/>
  <c r="N45" i="2" s="1"/>
  <c r="N47" i="2" s="1"/>
  <c r="N55" i="2" s="1"/>
  <c r="H133" i="1"/>
  <c r="L33" i="2"/>
  <c r="L45" i="2" s="1"/>
  <c r="L47" i="2" s="1"/>
  <c r="L55" i="2" s="1"/>
  <c r="Q134" i="1"/>
  <c r="AG33" i="2"/>
  <c r="M135" i="1"/>
  <c r="V33" i="2"/>
  <c r="V45" i="2" s="1"/>
  <c r="V47" i="2" s="1"/>
  <c r="V55" i="2" s="1"/>
  <c r="R33" i="2"/>
  <c r="R45" i="2" s="1"/>
  <c r="R47" i="2" s="1"/>
  <c r="R55" i="2" s="1"/>
  <c r="K133" i="1"/>
  <c r="R134" i="1"/>
  <c r="AJ33" i="2"/>
  <c r="H134" i="1"/>
  <c r="K33" i="2"/>
  <c r="K45" i="2" s="1"/>
  <c r="K47" i="2" s="1"/>
  <c r="K55" i="2" s="1"/>
  <c r="F134" i="1"/>
  <c r="G33" i="2"/>
  <c r="I13"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M45" i="2" l="1"/>
  <c r="M47" i="2" s="1"/>
  <c r="M55" i="2" s="1"/>
  <c r="AG45" i="2"/>
  <c r="AG47" i="2" s="1"/>
  <c r="AG55" i="2" s="1"/>
  <c r="G45" i="2"/>
  <c r="G47" i="2" s="1"/>
  <c r="G55" i="2" s="1"/>
  <c r="Q45" i="2"/>
  <c r="Q47" i="2" s="1"/>
  <c r="Q55" i="2" s="1"/>
  <c r="AU45" i="2"/>
  <c r="AU47" i="2" s="1"/>
  <c r="AU55" i="2" s="1"/>
  <c r="U45" i="2"/>
  <c r="U47" i="2" s="1"/>
  <c r="U55" i="2" s="1"/>
  <c r="I113" i="1"/>
  <c r="S10" i="5"/>
  <c r="B21" i="26"/>
  <c r="B20" i="26"/>
  <c r="B22" i="26" s="1"/>
  <c r="B23" i="26" s="1"/>
  <c r="K31" i="38" s="1"/>
  <c r="M31" i="38" s="1"/>
  <c r="P15" i="29"/>
  <c r="D77" i="29" s="1"/>
  <c r="E77" i="29"/>
  <c r="B81" i="26" a="1"/>
  <c r="B81" i="27" a="1"/>
  <c r="B21" i="27"/>
  <c r="B20" i="27"/>
  <c r="B22" i="27" s="1"/>
  <c r="B23" i="27" s="1"/>
  <c r="K34" i="38" s="1"/>
  <c r="M34" i="38" s="1"/>
  <c r="N34" i="38" s="1"/>
  <c r="S34" i="38" s="1"/>
  <c r="I45" i="2"/>
  <c r="I47" i="2" s="1"/>
  <c r="I55" i="2" s="1"/>
  <c r="O45" i="2"/>
  <c r="O47" i="2" s="1"/>
  <c r="O55" i="2" s="1"/>
  <c r="AJ45" i="2"/>
  <c r="AJ47" i="2" s="1"/>
  <c r="AJ55" i="2" s="1"/>
  <c r="AO45" i="2"/>
  <c r="AO47" i="2" s="1"/>
  <c r="AO55" i="2" s="1"/>
  <c r="X45" i="2"/>
  <c r="X47" i="2" s="1"/>
  <c r="X55" i="2" s="1"/>
  <c r="S136" i="1"/>
  <c r="L113" i="1"/>
  <c r="N113" i="1"/>
  <c r="K113" i="1"/>
  <c r="S113" i="1"/>
  <c r="T113" i="1"/>
  <c r="H113" i="1"/>
  <c r="J136" i="1"/>
  <c r="G136" i="1"/>
  <c r="M113" i="1"/>
  <c r="T136" i="1"/>
  <c r="R113" i="1"/>
  <c r="H136" i="1"/>
  <c r="O113" i="1"/>
  <c r="G113" i="1"/>
  <c r="P113" i="1"/>
  <c r="K136" i="1"/>
  <c r="L136" i="1"/>
  <c r="I32" i="5"/>
  <c r="N13" i="5"/>
  <c r="F113" i="1"/>
  <c r="J113" i="1"/>
  <c r="Q136" i="1"/>
  <c r="I136" i="1"/>
  <c r="Q113" i="1"/>
  <c r="R136" i="1"/>
  <c r="N136" i="1"/>
  <c r="I43" i="5"/>
  <c r="P136" i="1"/>
  <c r="F136" i="1"/>
  <c r="H44" i="5"/>
  <c r="H46" i="5" s="1"/>
  <c r="O136" i="1"/>
  <c r="M136" i="1"/>
  <c r="N31" i="38" l="1"/>
  <c r="M32" i="38"/>
  <c r="K34" i="5"/>
  <c r="K34" i="37"/>
  <c r="M34" i="37" s="1"/>
  <c r="N34" i="37" s="1"/>
  <c r="S34" i="37" s="1"/>
  <c r="K31" i="5"/>
  <c r="K31" i="37"/>
  <c r="M31" i="37" s="1"/>
  <c r="B21" i="29"/>
  <c r="B81" i="29" a="1"/>
  <c r="C82" i="29" s="1"/>
  <c r="B20" i="29"/>
  <c r="B22" i="29" s="1"/>
  <c r="B23" i="29" s="1"/>
  <c r="K39" i="38" s="1"/>
  <c r="L160" i="1"/>
  <c r="B81" i="27"/>
  <c r="C81" i="27"/>
  <c r="C84" i="27"/>
  <c r="B83" i="27"/>
  <c r="B85" i="27"/>
  <c r="C82" i="27"/>
  <c r="C85" i="27"/>
  <c r="B84" i="27"/>
  <c r="C83" i="27"/>
  <c r="B82" i="27"/>
  <c r="B85" i="26"/>
  <c r="C84" i="26"/>
  <c r="C82" i="26"/>
  <c r="B81" i="26"/>
  <c r="B84" i="26"/>
  <c r="C85" i="26"/>
  <c r="C83" i="26"/>
  <c r="B82" i="26"/>
  <c r="C81" i="26"/>
  <c r="B83" i="26"/>
  <c r="L174" i="1"/>
  <c r="L190" i="1" s="1"/>
  <c r="T114" i="1"/>
  <c r="L114" i="1"/>
  <c r="I174" i="1"/>
  <c r="I190" i="1" s="1"/>
  <c r="T174" i="1"/>
  <c r="T190" i="1" s="1"/>
  <c r="J174" i="1"/>
  <c r="J190" i="1" s="1"/>
  <c r="I160" i="1"/>
  <c r="H114" i="1"/>
  <c r="M174" i="1"/>
  <c r="M190" i="1" s="1"/>
  <c r="I114" i="1"/>
  <c r="T160" i="1"/>
  <c r="O174" i="1"/>
  <c r="O190" i="1" s="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I44" i="5"/>
  <c r="I46" i="5" s="1"/>
  <c r="P114" i="1"/>
  <c r="Q137" i="1"/>
  <c r="Q164" i="1"/>
  <c r="N164" i="1"/>
  <c r="N137" i="1"/>
  <c r="Q114" i="1"/>
  <c r="Q160" i="1"/>
  <c r="O164" i="1"/>
  <c r="O137" i="1"/>
  <c r="R164" i="1"/>
  <c r="R137" i="1"/>
  <c r="J114" i="1"/>
  <c r="J160" i="1"/>
  <c r="R160" i="1"/>
  <c r="M164" i="1"/>
  <c r="M137" i="1"/>
  <c r="P137" i="1"/>
  <c r="P164" i="1"/>
  <c r="I137" i="1"/>
  <c r="I164" i="1"/>
  <c r="K39" i="5" l="1"/>
  <c r="K39" i="37"/>
  <c r="M39" i="38"/>
  <c r="M43" i="38" s="1"/>
  <c r="M44" i="38" s="1"/>
  <c r="M46" i="38" s="1"/>
  <c r="S31" i="38"/>
  <c r="S32" i="38" s="1"/>
  <c r="N32" i="38"/>
  <c r="M39" i="37"/>
  <c r="N31" i="37"/>
  <c r="M32" i="37"/>
  <c r="B82" i="29"/>
  <c r="C83" i="29"/>
  <c r="B85" i="29"/>
  <c r="C85" i="29"/>
  <c r="C84" i="29"/>
  <c r="C81" i="29"/>
  <c r="B83" i="29"/>
  <c r="B84" i="29"/>
  <c r="B81" i="29"/>
  <c r="B88" i="29" s="1"/>
  <c r="B88" i="27"/>
  <c r="B89" i="27" s="1"/>
  <c r="B88" i="26"/>
  <c r="B89" i="26" s="1"/>
  <c r="M42" i="5"/>
  <c r="H63" i="5"/>
  <c r="N39" i="38" l="1"/>
  <c r="N43" i="38" s="1"/>
  <c r="N44" i="38" s="1"/>
  <c r="N46" i="38" s="1"/>
  <c r="M58" i="38"/>
  <c r="S31" i="37"/>
  <c r="S32" i="37" s="1"/>
  <c r="N32" i="37"/>
  <c r="M43" i="37"/>
  <c r="M44" i="37" s="1"/>
  <c r="M46" i="37" s="1"/>
  <c r="N39" i="37"/>
  <c r="B89" i="29"/>
  <c r="M31" i="5"/>
  <c r="N31" i="5" s="1"/>
  <c r="S31" i="5" s="1"/>
  <c r="M25" i="5"/>
  <c r="N42" i="5"/>
  <c r="S42" i="5" s="1"/>
  <c r="S39" i="38" l="1"/>
  <c r="S43" i="38" s="1"/>
  <c r="S44" i="38" s="1"/>
  <c r="S46" i="38" s="1"/>
  <c r="M63" i="38"/>
  <c r="M58" i="37"/>
  <c r="S39" i="37"/>
  <c r="S43" i="37" s="1"/>
  <c r="S44" i="37" s="1"/>
  <c r="S46" i="37" s="1"/>
  <c r="N43" i="37"/>
  <c r="N44" i="37" s="1"/>
  <c r="N46" i="37" s="1"/>
  <c r="M23" i="5"/>
  <c r="N23" i="5" s="1"/>
  <c r="S23" i="5" s="1"/>
  <c r="N25" i="5"/>
  <c r="S25" i="5" s="1"/>
  <c r="M63" i="37" l="1"/>
  <c r="M35" i="5"/>
  <c r="N35" i="5" s="1"/>
  <c r="S35" i="5" s="1"/>
  <c r="M29" i="5"/>
  <c r="N29" i="5" s="1"/>
  <c r="S29" i="5" s="1"/>
  <c r="M34" i="5"/>
  <c r="N34" i="5" s="1"/>
  <c r="M36" i="5"/>
  <c r="N36" i="5" s="1"/>
  <c r="S36" i="5" s="1"/>
  <c r="M39" i="5"/>
  <c r="M43" i="5" s="1"/>
  <c r="M18" i="5"/>
  <c r="M20" i="5" s="1"/>
  <c r="S26" i="5"/>
  <c r="M26" i="5"/>
  <c r="N26" i="5"/>
  <c r="N39" i="5" l="1"/>
  <c r="N43" i="5" s="1"/>
  <c r="M32" i="5"/>
  <c r="M44" i="5" s="1"/>
  <c r="M46" i="5" s="1"/>
  <c r="M58" i="5" s="1"/>
  <c r="N18" i="5"/>
  <c r="S18" i="5" s="1"/>
  <c r="S20" i="5" s="1"/>
  <c r="N32" i="5"/>
  <c r="N20" i="5" l="1"/>
  <c r="N44" i="5" s="1"/>
  <c r="N46" i="5" s="1"/>
  <c r="M63" i="5"/>
  <c r="S39" i="5" l="1"/>
  <c r="O34" i="5"/>
  <c r="S34" i="5" s="1"/>
  <c r="O13" i="5"/>
  <c r="O43" i="5" l="1"/>
  <c r="S43" i="5"/>
  <c r="S32" i="5"/>
  <c r="O32" i="5"/>
  <c r="S97" i="5"/>
  <c r="S13" i="5"/>
  <c r="O44" i="5" l="1"/>
  <c r="O46" i="5" s="1"/>
  <c r="S44" i="5"/>
  <c r="S46" i="5" s="1"/>
  <c r="G10" i="9"/>
  <c r="G16" i="9" l="1"/>
  <c r="O58" i="5"/>
  <c r="O63" i="5" l="1"/>
  <c r="S85" i="5" l="1"/>
  <c r="H10" i="39" l="1"/>
  <c r="H14" i="39" s="1"/>
  <c r="H10" i="40"/>
  <c r="S92" i="5"/>
  <c r="F10" i="9"/>
  <c r="H10" i="9" s="1"/>
  <c r="H14" i="40" l="1"/>
  <c r="H14" i="9"/>
  <c r="E59" i="37" l="1"/>
  <c r="I59" i="37" s="1"/>
  <c r="N59" i="37" s="1"/>
  <c r="S59" i="37" s="1"/>
  <c r="E59" i="5"/>
  <c r="I59" i="5" s="1"/>
  <c r="N59" i="5" s="1"/>
  <c r="S59" i="5" s="1"/>
  <c r="E59" i="38"/>
  <c r="I59" i="38" s="1"/>
  <c r="N59" i="38" s="1"/>
  <c r="S59" i="38" s="1"/>
  <c r="E58" i="38" l="1"/>
  <c r="E58" i="37"/>
  <c r="E58" i="5"/>
  <c r="E63" i="5" l="1"/>
  <c r="E88" i="5" s="1"/>
  <c r="I58" i="5"/>
  <c r="I58" i="37"/>
  <c r="E63" i="37"/>
  <c r="E88" i="37" s="1"/>
  <c r="E63" i="38"/>
  <c r="E88" i="38" s="1"/>
  <c r="I58" i="38"/>
  <c r="I63" i="38" l="1"/>
  <c r="N58" i="38"/>
  <c r="I63" i="37"/>
  <c r="N58" i="37"/>
  <c r="N58" i="5"/>
  <c r="I63" i="5"/>
  <c r="S58" i="37" l="1"/>
  <c r="S63" i="37" s="1"/>
  <c r="N63" i="37"/>
  <c r="S58" i="38"/>
  <c r="S63" i="38" s="1"/>
  <c r="N63" i="38"/>
  <c r="N63" i="5"/>
  <c r="S58" i="5"/>
  <c r="S63" i="5" s="1"/>
  <c r="S93" i="5" l="1"/>
  <c r="S94" i="5" s="1"/>
  <c r="S96" i="5" s="1"/>
  <c r="S98" i="5" s="1"/>
  <c r="F16" i="9"/>
  <c r="H16" i="9" s="1"/>
  <c r="S88" i="5"/>
  <c r="S93" i="38"/>
  <c r="S94" i="38" s="1"/>
  <c r="S96" i="38" s="1"/>
  <c r="S98" i="38" s="1"/>
  <c r="F16" i="40"/>
  <c r="H16" i="40" s="1"/>
  <c r="S88" i="38"/>
  <c r="F16" i="39"/>
  <c r="H16" i="39" s="1"/>
  <c r="S93" i="37"/>
  <c r="S94" i="37" s="1"/>
  <c r="S96" i="37" s="1"/>
  <c r="S98" i="37" s="1"/>
  <c r="S88" i="37"/>
  <c r="H18" i="40" l="1"/>
  <c r="H20" i="40"/>
  <c r="H24" i="40" s="1"/>
  <c r="H20" i="39"/>
  <c r="H24" i="39" s="1"/>
  <c r="H18" i="39"/>
  <c r="H20" i="9"/>
  <c r="H24" i="9" s="1"/>
  <c r="H18" i="9"/>
  <c r="F26" i="40" l="1"/>
  <c r="H26" i="40" s="1"/>
  <c r="F26" i="39"/>
  <c r="H26" i="39" s="1"/>
  <c r="H30" i="9"/>
  <c r="H34" i="9"/>
  <c r="H28" i="9"/>
  <c r="H28" i="39"/>
  <c r="F28" i="40" l="1"/>
  <c r="H28" i="40" s="1"/>
  <c r="H32" i="40" s="1"/>
  <c r="H36" i="39"/>
  <c r="H38" i="39" s="1"/>
  <c r="H30" i="39"/>
  <c r="H32" i="39" s="1"/>
  <c r="H34" i="39" l="1"/>
  <c r="H38" i="40"/>
  <c r="H40" i="40" s="1"/>
  <c r="H30" i="40"/>
  <c r="H36" i="40" s="1"/>
  <c r="H34" i="40" l="1"/>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<sst xmlns="http://schemas.openxmlformats.org/spreadsheetml/2006/main" count="1978" uniqueCount="384">
  <si>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</si>
  <si>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</si>
  <si>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</si>
  <si>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</si>
  <si>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</si>
  <si>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</si>
  <si>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</si>
  <si>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</si>
  <si>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</si>
  <si>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</si>
  <si>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</si>
  <si>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</si>
  <si>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</si>
  <si>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</si>
  <si>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</si>
  <si>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</si>
  <si>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</si>
  <si>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</si>
  <si>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</si>
  <si>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</si>
  <si>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</si>
  <si>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</si>
  <si>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</si>
  <si>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</si>
  <si>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</si>
  <si>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</si>
  <si>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</si>
  <si>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</si>
  <si>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</si>
  <si>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</si>
  <si>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</si>
  <si>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</si>
  <si>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</si>
  <si>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</si>
  <si>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</si>
  <si>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</si>
  <si>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</si>
  <si>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</si>
  <si>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</si>
  <si>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</si>
  <si>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</si>
  <si>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</si>
  <si>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</si>
  <si>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</si>
  <si>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</si>
  <si>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</si>
  <si>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</si>
  <si>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</si>
  <si>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</si>
  <si>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</si>
  <si>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</si>
  <si>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</si>
  <si>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</si>
  <si>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</si>
  <si>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</si>
  <si>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</si>
  <si>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</si>
  <si>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</si>
  <si>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</si>
  <si>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</si>
  <si>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</si>
  <si>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</si>
  <si>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</si>
  <si>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</si>
  <si>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</si>
  <si>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</si>
  <si>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</si>
  <si>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</si>
  <si>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</si>
  <si>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</si>
  <si>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</si>
  <si>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</si>
  <si>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</si>
  <si>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</si>
  <si>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</si>
  <si>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</si>
  <si>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</si>
  <si>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</si>
  <si>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</si>
  <si>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</si>
  <si>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</si>
  <si>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</si>
  <si>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</si>
  <si>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</si>
  <si>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Description</t>
  </si>
  <si>
    <t>Revenue</t>
  </si>
  <si>
    <t>Weighted</t>
  </si>
  <si>
    <t>ANNUAL AND COMPOUND GROWTH RATES</t>
  </si>
  <si>
    <t>Proposed Rate of Return</t>
  </si>
  <si>
    <t>Net Operating Income Requirement</t>
  </si>
  <si>
    <t>Net Operating Income per Above</t>
  </si>
  <si>
    <t>Net Operating Income Deficiency</t>
  </si>
  <si>
    <t>Conversion Factor</t>
  </si>
  <si>
    <t>Revenue Requirement</t>
  </si>
  <si>
    <t>Revenue Growth Factor</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</si>
  <si>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</si>
  <si>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</si>
  <si>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</si>
  <si>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</si>
  <si>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</si>
  <si>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</si>
  <si>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</si>
  <si>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</si>
  <si>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</si>
  <si>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</si>
  <si>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</si>
  <si>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</si>
  <si>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</si>
  <si>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</si>
  <si>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</si>
  <si>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</si>
  <si>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</si>
  <si>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</si>
  <si>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</si>
  <si>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</si>
  <si>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</si>
  <si>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</si>
  <si>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</si>
  <si>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</si>
  <si>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</si>
  <si>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</si>
  <si>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</si>
  <si>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</si>
  <si>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</si>
  <si>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</si>
  <si>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</si>
  <si>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</si>
  <si>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</si>
  <si>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</si>
  <si>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</si>
  <si>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</si>
  <si>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</si>
  <si>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</si>
  <si>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</si>
  <si>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</si>
  <si>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</si>
  <si>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</si>
  <si>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</si>
  <si>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</si>
  <si>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</si>
  <si>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</si>
  <si>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</si>
  <si>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</si>
  <si>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</si>
  <si>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</si>
  <si>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</si>
  <si>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</si>
  <si>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</si>
  <si>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</si>
  <si>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</si>
  <si>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</si>
  <si>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</si>
  <si>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</si>
  <si>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</si>
  <si>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</si>
  <si>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</si>
  <si>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</si>
  <si>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</si>
  <si>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</si>
  <si>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</si>
  <si>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</si>
  <si>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</si>
  <si>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</si>
  <si>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</si>
  <si>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</si>
  <si>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</si>
  <si>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</si>
  <si>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 xml:space="preserve">Revenue </t>
  </si>
  <si>
    <t>Balances</t>
  </si>
  <si>
    <t>Growth Factor</t>
  </si>
  <si>
    <t>Natural Gas Data for Escalators</t>
  </si>
  <si>
    <t>Natural Gas Growth  Rate Analysis and Escalation Factor Calculation</t>
  </si>
  <si>
    <t>7A</t>
  </si>
  <si>
    <t>14A</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</si>
  <si>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</si>
  <si>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</si>
  <si>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</si>
  <si>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</si>
  <si>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</si>
  <si>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</si>
  <si>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</si>
  <si>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</si>
  <si>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</si>
  <si>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</si>
  <si>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</si>
  <si>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</si>
  <si>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</si>
  <si>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</si>
  <si>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</si>
  <si>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</si>
  <si>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</si>
  <si>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</si>
  <si>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</si>
  <si>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</si>
  <si>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</si>
  <si>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</si>
  <si>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</si>
  <si>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</si>
  <si>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</si>
  <si>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</si>
  <si>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</si>
  <si>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</si>
  <si>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</si>
  <si>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</si>
  <si>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</si>
  <si>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</si>
  <si>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</si>
  <si>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</si>
  <si>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</si>
  <si>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</si>
  <si>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</si>
  <si>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</si>
  <si>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</si>
  <si>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</si>
  <si>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</si>
  <si>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</si>
  <si>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</si>
  <si>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</si>
  <si>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</si>
  <si>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</si>
  <si>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</si>
  <si>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Not used due to deminimus values that resulted in extraordinary variablility</t>
  </si>
  <si>
    <t xml:space="preserve"> </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</si>
  <si>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</si>
  <si>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</si>
  <si>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</si>
  <si>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</si>
  <si>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</si>
  <si>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</si>
  <si>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</si>
  <si>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</si>
  <si>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</si>
  <si>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</si>
  <si>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</si>
  <si>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</si>
  <si>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</si>
  <si>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</si>
  <si>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</si>
  <si>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</si>
  <si>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</si>
  <si>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</si>
  <si>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</si>
  <si>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</si>
  <si>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</si>
  <si>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</si>
  <si>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</si>
  <si>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</si>
  <si>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</si>
  <si>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</si>
  <si>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</si>
  <si>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</si>
  <si>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Gross-up Conversion Factor</t>
  </si>
  <si>
    <t>Slope</t>
  </si>
  <si>
    <t>Avista-proposed Operating Expense</t>
  </si>
  <si>
    <t>2-year Growth Rate (Linear)</t>
  </si>
  <si>
    <t>Compound Growth Rates to 2014</t>
  </si>
  <si>
    <t>Total Accumulated Depr/Amort</t>
  </si>
  <si>
    <t>ACCUMULATED DEPR/AMORT</t>
  </si>
  <si>
    <t>Results</t>
  </si>
  <si>
    <t>TWELVE MONTHS ENDED DECEMBER 31, 2000 - 2015</t>
  </si>
  <si>
    <t>Actual Cost of Capital AMA 09/30/2015</t>
  </si>
  <si>
    <t>.</t>
  </si>
  <si>
    <t>Eliminate Decoupling Deferred Revenue and Provision for Rate Refund</t>
  </si>
  <si>
    <t>Add 12.2015 Plant</t>
  </si>
  <si>
    <t>Regulatory Amorts &amp; Misc Adjs</t>
  </si>
  <si>
    <t>12ME 12.2015 AMA Escalation Base</t>
  </si>
  <si>
    <t>After Attrition Adj AMI Capital Project</t>
  </si>
  <si>
    <t>NATURAL GAS COST AND REVENUE TREND CALCULATIONS 2007-2015</t>
  </si>
  <si>
    <t>Percentage Billed Revenue Increase</t>
  </si>
  <si>
    <t xml:space="preserve">Cost / Rate Base Category: </t>
  </si>
  <si>
    <t>-</t>
  </si>
  <si>
    <t>Remove Gas Cost</t>
  </si>
  <si>
    <t>Statistics (Over Highlighted Period)</t>
  </si>
  <si>
    <t>Annual Growth Rate (% of 2015)</t>
  </si>
  <si>
    <t>DATA SELECTION</t>
  </si>
  <si>
    <t>Year</t>
  </si>
  <si>
    <t>Use in Trendline? (1 = Y)</t>
  </si>
  <si>
    <t>Count</t>
  </si>
  <si>
    <t>Reorder</t>
  </si>
  <si>
    <t>Reordered Year</t>
  </si>
  <si>
    <t>Reordered Cost Data</t>
  </si>
  <si>
    <t>LINEST STATS</t>
  </si>
  <si>
    <t>Intercept</t>
  </si>
  <si>
    <t>SE Slope</t>
  </si>
  <si>
    <t>SE Intercept</t>
  </si>
  <si>
    <t>R Square</t>
  </si>
  <si>
    <t>SE Est.</t>
  </si>
  <si>
    <t>F</t>
  </si>
  <si>
    <t>df Res</t>
  </si>
  <si>
    <t>SS Reg</t>
  </si>
  <si>
    <t>SS Res</t>
  </si>
  <si>
    <t>t stat</t>
  </si>
  <si>
    <t>P-value</t>
  </si>
  <si>
    <t>Underground Storage Operating Expense</t>
  </si>
  <si>
    <t>Underground Storage Depreciation and Amortization</t>
  </si>
  <si>
    <t>Underground Storage Taxes</t>
  </si>
  <si>
    <t>Distribution Operating Expenses</t>
  </si>
  <si>
    <t>Less Gas Cost Taxes</t>
  </si>
  <si>
    <t>Customer Accounting and Sales</t>
  </si>
  <si>
    <t xml:space="preserve">Less: DSM, Decoupling and Gas Cost </t>
  </si>
  <si>
    <t>Less: DSM Expense</t>
  </si>
  <si>
    <t xml:space="preserve">Administrative and General Operations Expense </t>
  </si>
  <si>
    <t xml:space="preserve">A&amp;G Operations Expense </t>
  </si>
  <si>
    <t>Less DSM and Gas Costs</t>
  </si>
  <si>
    <t>Administrative and General Depreciation Expense</t>
  </si>
  <si>
    <t>A&amp;G Depreciation</t>
  </si>
  <si>
    <t>Less: Decoupling Amort.</t>
  </si>
  <si>
    <t>Undgerground Storage Net Plant</t>
  </si>
  <si>
    <t>Gross Plant</t>
  </si>
  <si>
    <t xml:space="preserve">Depreciation Reserve </t>
  </si>
  <si>
    <t>Distribution Net Plant</t>
  </si>
  <si>
    <t>General Net Plant</t>
  </si>
  <si>
    <t>Accumulated Deferred Income Taxes</t>
  </si>
  <si>
    <t>Less: Plant Not Used and Useful</t>
  </si>
  <si>
    <t xml:space="preserve">Escalation Rate Evaluation </t>
  </si>
  <si>
    <t>Cost of Capital</t>
  </si>
  <si>
    <t>Line
No.</t>
  </si>
  <si>
    <t>Establish Attrition Base</t>
  </si>
  <si>
    <t>Escalation Amount      [E] *[F]=[G]</t>
  </si>
  <si>
    <t>Trended 2017 Non-Energy Cost [E]+[G]=[H]</t>
  </si>
  <si>
    <t>Post-Attrition Adj.</t>
  </si>
  <si>
    <t>Escalation Rate</t>
  </si>
  <si>
    <t>Selected trend period highlighted green and displayed as green dots in figure</t>
  </si>
  <si>
    <t>2017 Natural Gas Attrition Allowance Revenue Requirement Model</t>
  </si>
  <si>
    <t>Slope of Best-Fit Line</t>
  </si>
  <si>
    <t>R-Squared of Best Fit</t>
  </si>
  <si>
    <t>Narrative</t>
  </si>
  <si>
    <t>ATTRITION ALLOWANCE REVENUE REQUIREMENT</t>
  </si>
  <si>
    <t>Attrition Allowance Revenue Requirement</t>
  </si>
  <si>
    <t>Attrition Allowance</t>
  </si>
  <si>
    <t>Study Results</t>
  </si>
  <si>
    <t>WASHINGTON NATURAL GAS ATTRITION ALLOWANCE STUDY</t>
  </si>
  <si>
    <t>Capital Structure</t>
  </si>
  <si>
    <t>Distribution Depreciation Expense</t>
  </si>
  <si>
    <t>Underground Storage Taxes Other Than Income Taxes</t>
  </si>
  <si>
    <t>Distribution Taxes Other Than Income Taxes</t>
  </si>
  <si>
    <t xml:space="preserve">       2015  **     </t>
  </si>
  <si>
    <t>Restated Results AMA (See BGM-4)</t>
  </si>
  <si>
    <t>2018 Rate Base</t>
  </si>
  <si>
    <t xml:space="preserve">2018 Net Operating Income Deficiency </t>
  </si>
  <si>
    <t xml:space="preserve">2018 Attrition Allowance Revenue Deficiency </t>
  </si>
  <si>
    <t>Attrition Allowance 2018 Revenue Requirement</t>
  </si>
  <si>
    <t>2018 Total Present Billed Revenue</t>
  </si>
  <si>
    <t>2018 Net Operating Income (at 2017 rates)</t>
  </si>
  <si>
    <t>2018 Rate of Return (at 2017 rates)</t>
  </si>
  <si>
    <t>2018 Total General Business Revenues (at 2017 rates)</t>
  </si>
  <si>
    <t>Percent Base Revenue Requirement Change (vs. 2017)</t>
  </si>
  <si>
    <t>2018 Natural Gas Attrition Allowance Revenue Requirement Model</t>
  </si>
  <si>
    <t>Test Period: Twelve Months Ending December 31, 2016</t>
  </si>
  <si>
    <t>2018 NATURAL GAS ATTRITION ALLOWANCE REVENUE REQUIREMENT CALCULATION</t>
  </si>
  <si>
    <t xml:space="preserve">
No.</t>
  </si>
  <si>
    <t>Yrs:</t>
  </si>
  <si>
    <t>Base Escalation Years</t>
  </si>
  <si>
    <t>Include Depreciation</t>
  </si>
  <si>
    <t>Year 2: Attrition Allowance Revenue Requirement (May 1, 2019)</t>
  </si>
  <si>
    <t>Year 1: Attrition Allowance Revenue Requirement (May 1, 2018)</t>
  </si>
  <si>
    <t>Year 3: Attrition Allowance Revenue Requirement (May 1, 2020)</t>
  </si>
  <si>
    <t>2019 Rate Base</t>
  </si>
  <si>
    <t>2019 Net Operating Income (at 2017 rates)</t>
  </si>
  <si>
    <t>2019 Rate of Return (at 2017 rates)</t>
  </si>
  <si>
    <t xml:space="preserve">2019 Net Operating Income Deficiency </t>
  </si>
  <si>
    <t>Attrition Allowance 2019 Revenue Requirement</t>
  </si>
  <si>
    <t>2019 Total Present Billed Revenue</t>
  </si>
  <si>
    <t>2020 Rate Base</t>
  </si>
  <si>
    <t>2020 Net Operating Income (at 2017 rates)</t>
  </si>
  <si>
    <t>2020 Rate of Return (at 2017 rates)</t>
  </si>
  <si>
    <t xml:space="preserve">2020 Net Operating Income Deficiency </t>
  </si>
  <si>
    <t>Attrition Allowance 2020 Revenue Requirement</t>
  </si>
  <si>
    <t>2020 Total Present Billed Revenue</t>
  </si>
  <si>
    <t>2019 Total General Business Revenues (at 2018 rates)</t>
  </si>
  <si>
    <t>Less: 2018 Incremental Revenues</t>
  </si>
  <si>
    <t>Incremental 2019 Revenues</t>
  </si>
  <si>
    <t>Less: 2019 Incremental Revenues</t>
  </si>
  <si>
    <t>Incremental 2020 Revenues</t>
  </si>
  <si>
    <t>2020 Total General Business Revenues (at 2019 rates)</t>
  </si>
  <si>
    <t>2020 Attrition Allowance Revenue Deficiency (at 2017 rates)</t>
  </si>
  <si>
    <t>2019 Attrition Allowance Revenue Deficiency (at 2017 Rates)</t>
  </si>
  <si>
    <t>2019 NATURAL GAS ATTRITION ALLOWANCE REVENUE REQUIREMENT CALCULATION</t>
  </si>
  <si>
    <t>2020 NATURAL GAS ATTRITION ALLOWANCE REVENUE REQUIREMENT CALCULATION</t>
  </si>
  <si>
    <t>2018 Results [H]+[I] = [K]</t>
  </si>
  <si>
    <t>2019 Results [H]+[I] = [K]</t>
  </si>
  <si>
    <t>2020 Results [H]+[I] = [K]</t>
  </si>
  <si>
    <t>Twelve Months Ending December 31, 2016</t>
  </si>
  <si>
    <t>Include O&amp;M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</si>
</sst>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 #,##0_);_(* \(#,##0\);_(* &quot;-&quot;??_);_(@_)"/>
    <numFmt numFmtId="166" formatCode="0.0000"/>
    <numFmt numFmtId="167" formatCode="0.000000"/>
    <numFmt numFmtId="168" formatCode="0.000%"/>
    <numFmt numFmtId="169" formatCode="0.00000"/>
    <numFmt numFmtId="170" formatCode="[$-409]mmm\-yy;@"/>
    <numFmt numFmtId="171" formatCode="0.0%"/>
    <numFmt numFmtId="172" formatCode="[$-F800]dddd\,\ mmmm\ dd\,\ yyyy"/>
    <numFmt numFmtId="173" formatCode="mmmm\ d\,\ yyyy"/>
    <numFmt numFmtId="174" formatCode="[$-409]mmmm\-yy;@"/>
    <numFmt numFmtId="175" formatCode="#,##0_%_);\(#,##0\)_%;#,##0_%_);@_%_)"/>
    <numFmt numFmtId="176" formatCode="_._.* #,##0.0_)_%;_._.* \(#,##0.0\)_%"/>
    <numFmt numFmtId="177" formatCode="_._.* #,##0.00_)_%;_._.* \(#,##0.00\)_%"/>
    <numFmt numFmtId="178" formatCode="_._.* #,##0.000_)_%;_._.* \(#,##0.000\)_%"/>
    <numFmt numFmtId="179" formatCode="_(* #,##0.00_);_(* \(\ #,##0.00\ \);_(* &quot;-&quot;??_);_(\ @_ \)"/>
    <numFmt numFmtId="180" formatCode="_._.* #,##0_)_%;_._.* #,##0_)_%;_._.* 0_)_%;_._.@_)_%"/>
    <numFmt numFmtId="181" formatCode="_._.&quot;$&quot;* #,##0.0_)_%;_._.&quot;$&quot;* \(#,##0.0\)_%"/>
    <numFmt numFmtId="182" formatCode="_._.&quot;$&quot;* #,##0.00_)_%;_._.&quot;$&quot;* \(#,##0.00\)_%"/>
    <numFmt numFmtId="183" formatCode="_._.&quot;$&quot;* #,##0.000_)_%;_._.&quot;$&quot;* \(#,##0.000\)_%"/>
    <numFmt numFmtId="184" formatCode="_._.&quot;$&quot;* #,###_)_%;_._.&quot;$&quot;* #,###_)_%;_._.&quot;$&quot;* 0_)_%;_._.@_)_%"/>
    <numFmt numFmtId="185" formatCode="#,###,##0.00;\(#,###,##0.00\)"/>
    <numFmt numFmtId="186" formatCode="#,###,##0;\(#,###,##0\)"/>
    <numFmt numFmtId="187" formatCode="0.0"/>
    <numFmt numFmtId="188" formatCode="_(&quot;$&quot;* #,##0.0_);_(&quot;$&quot;* \(#,##0.0\);_(&quot;$&quot;* &quot;-&quot;??_);_(@_)"/>
    <numFmt numFmtId="189" formatCode="&quot;$&quot;#,###,##0.00;\(&quot;$&quot;#,###,##0.00\)"/>
    <numFmt numFmtId="190" formatCode="&quot;$&quot;#,###,##0;\(&quot;$&quot;#,###,##0\)"/>
    <numFmt numFmtId="191" formatCode="#,##0.00%;\(#,##0.00%\)"/>
    <numFmt numFmtId="192" formatCode="_(0_)%;\(0\)%"/>
    <numFmt numFmtId="193" formatCode="_._._(* 0_)%;_._.* \(0\)%"/>
    <numFmt numFmtId="194" formatCode="_(0.0_)%;\(0.0\)%"/>
    <numFmt numFmtId="195" formatCode="_._._(* 0.0_)%;_._.* \(0.0\)%"/>
    <numFmt numFmtId="196" formatCode="_(0.00_)%;\(0.00\)%"/>
    <numFmt numFmtId="197" formatCode="_._._(* 0.00_)%;_._.* \(0.00\)%"/>
    <numFmt numFmtId="198" formatCode="_(0.000_)%;\(0.000\)%"/>
    <numFmt numFmtId="199" formatCode="_._._(* 0.000_)%;_._.* \(0.000\)%"/>
    <numFmt numFmtId="200" formatCode="_(0.0000_)%;\(0.0000\)%"/>
    <numFmt numFmtId="201" formatCode="_._._(* 0.0000_)%;_._.* \(0.0000\)%"/>
    <numFmt numFmtId="202" formatCode="_(* #,##0_);_(* \(#,##0\);_(* 0_);_(@_)"/>
    <numFmt numFmtId="203" formatCode="_(* #,##0.0_);_(* \(#,##0.0\)"/>
    <numFmt numFmtId="204" formatCode="_(* #,##0.00_);_(* \(#,##0.00\)"/>
    <numFmt numFmtId="205" formatCode="_(* #,##0.000_);_(* \(#,##0.000\)"/>
    <numFmt numFmtId="206" formatCode="_(&quot;$&quot;* #,##0_);_(&quot;$&quot;* \(#,##0\);_(&quot;$&quot;* 0_);_(@_)"/>
    <numFmt numFmtId="207" formatCode="_(&quot;$&quot;* #,##0.0_);_(&quot;$&quot;* \(#,##0.0\)"/>
    <numFmt numFmtId="208" formatCode="_(&quot;$&quot;* #,##0.00_);_(&quot;$&quot;* \(#,##0.00\)"/>
    <numFmt numFmtId="209" formatCode="_(&quot;$&quot;* #,##0.000_);_(&quot;$&quot;* \(#,##0.000\)"/>
    <numFmt numFmtId="210" formatCode="#,##0.0_x_x"/>
    <numFmt numFmtId="211" formatCode="&quot;$&quot;#,##0\ ;\(&quot;$&quot;#,##0\)"/>
    <numFmt numFmtId="212" formatCode="_(* #,##0.00000_);_(* \(#,##0.00000\);_(* &quot;-&quot;??_);_(@_)"/>
    <numFmt numFmtId="213" formatCode="#,##0.00;[Red]\(#,##0.00\)"/>
    <numFmt numFmtId="214" formatCode="_(* #,##0.000000_);_(* \(#,##0.000000\);_(* &quot;-&quot;?????_);_(@_)"/>
    <numFmt numFmtId="215" formatCode="_(* #,##0.00000_);_(* \(#,##0.00000\);_(* &quot;-&quot;_);_(@_)"/>
    <numFmt numFmtId="216" formatCode="_(&quot;$&quot;\ #,##0_);_(&quot;$&quot;\ \(#,##0\);_(&quot;$&quot;\ &quot;-&quot;_);_(@_)"/>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b/>
      <sz val="8"/>
      <name val="Arial"/>
      <family val="2"/>
    </font>
    <font>
      <b/>
      <sz val="9"/>
      <name val="Arial"/>
      <family val="2"/>
    </font>
    <font>
      <sz val="8"/>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b/>
      <sz val="12"/>
      <name val="Arial"/>
      <family val="2"/>
    </font>
    <font>
      <i/>
      <sz val="10"/>
      <name val="Arial"/>
      <family val="2"/>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u/>
      <sz val="11"/>
      <color theme="1"/>
      <name val="Times New Roman"/>
      <family val="1"/>
    </font>
    <font>
      <sz val="11"/>
      <name val="Times New Roman"/>
      <family val="1"/>
    </font>
    <font>
      <b/>
      <sz val="11"/>
      <name val="Arial"/>
      <family val="2"/>
    </font>
    <font>
      <u/>
      <sz val="12"/>
      <name val="Arial"/>
      <family val="2"/>
    </font>
    <font>
      <i/>
      <sz val="12"/>
      <name val="Arial"/>
      <family val="2"/>
    </font>
    <font>
      <b/>
      <u/>
      <sz val="12"/>
      <name val="Arial"/>
      <family val="2"/>
    </font>
    <font>
      <sz val="14"/>
      <color theme="1"/>
      <name val="Times New Roman"/>
      <family val="1"/>
    </font>
    <font>
      <b/>
      <u/>
      <sz val="12"/>
      <name val="Times New Roman"/>
      <family val="1"/>
    </font>
    <font>
      <b/>
      <u/>
      <sz val="14"/>
      <name val="Times New Roman"/>
      <family val="1"/>
    </font>
    <font>
      <i/>
      <sz val="8"/>
      <name val="Times New Roman"/>
      <family val="1"/>
    </font>
    <font>
      <i/>
      <sz val="11"/>
      <color theme="1"/>
      <name val="Times New Roman"/>
      <family val="1"/>
    </font>
  </fonts>
  <fills count="7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1CCE5"/>
        <bgColor indexed="64"/>
      </patternFill>
    </fill>
    <fill>
      <patternFill patternType="solid">
        <fgColor rgb="FFF7A02D"/>
        <bgColor indexed="64"/>
      </patternFill>
    </fill>
    <fill>
      <patternFill patternType="solid">
        <fgColor rgb="FFB2B2B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2084">
    <xf numFmtId="0" fontId="0" fillId="0" borderId="0"/>
    <xf numFmtId="0" fontId="10" fillId="0" borderId="0"/>
    <xf numFmtId="0" fontId="1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9" fillId="0" borderId="0"/>
    <xf numFmtId="44" fontId="9" fillId="0" borderId="0" applyFont="0" applyFill="0" applyBorder="0" applyAlignment="0" applyProtection="0"/>
    <xf numFmtId="0" fontId="17" fillId="2" borderId="0"/>
    <xf numFmtId="0" fontId="12" fillId="0" borderId="0"/>
    <xf numFmtId="0" fontId="9" fillId="0" borderId="0"/>
    <xf numFmtId="0" fontId="9" fillId="0" borderId="0"/>
    <xf numFmtId="9" fontId="9" fillId="0" borderId="0" applyFont="0" applyFill="0" applyBorder="0" applyAlignment="0" applyProtection="0"/>
    <xf numFmtId="43" fontId="22" fillId="0" borderId="0" applyFont="0" applyFill="0" applyBorder="0" applyAlignment="0" applyProtection="0"/>
    <xf numFmtId="0" fontId="23" fillId="0" borderId="0"/>
    <xf numFmtId="9" fontId="27" fillId="0" borderId="0" applyFont="0" applyFill="0" applyBorder="0" applyAlignment="0" applyProtection="0"/>
    <xf numFmtId="0" fontId="8" fillId="0" borderId="0"/>
    <xf numFmtId="9" fontId="32" fillId="0" borderId="0" applyFont="0" applyFill="0" applyBorder="0" applyAlignment="0" applyProtection="0"/>
    <xf numFmtId="43" fontId="32" fillId="0" borderId="0" applyFont="0" applyFill="0" applyBorder="0" applyAlignment="0" applyProtection="0"/>
    <xf numFmtId="0" fontId="10" fillId="0" borderId="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7" fillId="0" borderId="0"/>
    <xf numFmtId="0" fontId="9" fillId="0" borderId="0">
      <alignment readingOrder="1"/>
    </xf>
    <xf numFmtId="0" fontId="7" fillId="0" borderId="0"/>
    <xf numFmtId="0" fontId="9" fillId="0" borderId="0"/>
    <xf numFmtId="0" fontId="9" fillId="0" borderId="0">
      <alignment readingOrder="1"/>
    </xf>
    <xf numFmtId="0" fontId="9" fillId="0" borderId="0"/>
    <xf numFmtId="0" fontId="9" fillId="0" borderId="0">
      <alignment readingOrder="1"/>
    </xf>
    <xf numFmtId="0" fontId="10"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37"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0" fontId="29" fillId="0" borderId="0"/>
    <xf numFmtId="9" fontId="12" fillId="0" borderId="0" applyFont="0" applyFill="0" applyBorder="0" applyAlignment="0" applyProtection="0"/>
    <xf numFmtId="9" fontId="29" fillId="0" borderId="0" applyFont="0" applyFill="0" applyBorder="0" applyAlignment="0" applyProtection="0"/>
    <xf numFmtId="38" fontId="38" fillId="0" borderId="0" applyNumberFormat="0" applyFont="0" applyFill="0" applyBorder="0">
      <alignment horizontal="left" indent="4"/>
      <protection locked="0"/>
    </xf>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0" fillId="0" borderId="26">
      <alignment horizontal="center"/>
    </xf>
    <xf numFmtId="3" fontId="39" fillId="0" borderId="0" applyFont="0" applyFill="0" applyBorder="0" applyAlignment="0" applyProtection="0"/>
    <xf numFmtId="0" fontId="39" fillId="4" borderId="0" applyNumberFormat="0" applyFont="0" applyBorder="0" applyAlignment="0" applyProtection="0"/>
    <xf numFmtId="165" fontId="37" fillId="3" borderId="0" applyFont="0" applyFill="0" applyBorder="0" applyAlignment="0" applyProtection="0">
      <alignment wrapText="1"/>
    </xf>
    <xf numFmtId="0" fontId="9" fillId="5" borderId="0" applyNumberFormat="0" applyFont="0" applyFill="0" applyBorder="0" applyAlignment="0" applyProtection="0"/>
    <xf numFmtId="0" fontId="7" fillId="0" borderId="0"/>
    <xf numFmtId="3" fontId="23" fillId="0" borderId="0"/>
    <xf numFmtId="3" fontId="23" fillId="0" borderId="0"/>
    <xf numFmtId="0" fontId="9" fillId="0" borderId="0"/>
    <xf numFmtId="43" fontId="9" fillId="0" borderId="0" applyFont="0" applyFill="0" applyBorder="0" applyAlignment="0" applyProtection="0"/>
    <xf numFmtId="0" fontId="6" fillId="0" borderId="0"/>
    <xf numFmtId="0" fontId="6" fillId="0" borderId="0"/>
    <xf numFmtId="0" fontId="6" fillId="0" borderId="0"/>
    <xf numFmtId="43" fontId="9" fillId="0" borderId="0" applyFont="0" applyFill="0" applyBorder="0" applyAlignment="0" applyProtection="0"/>
    <xf numFmtId="0" fontId="6"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9" fillId="0" borderId="0" applyFont="0" applyFill="0" applyBorder="0" applyAlignment="0" applyProtection="0"/>
    <xf numFmtId="43" fontId="9" fillId="0" borderId="0" applyFont="0" applyFill="0" applyBorder="0" applyAlignment="0" applyProtection="0"/>
    <xf numFmtId="0" fontId="6"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2" fillId="0" borderId="0"/>
    <xf numFmtId="0" fontId="6"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2"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3" fillId="0" borderId="0"/>
    <xf numFmtId="3" fontId="23" fillId="0" borderId="0"/>
    <xf numFmtId="0" fontId="66" fillId="0" borderId="30" applyNumberFormat="0" applyFill="0" applyAlignment="0" applyProtection="0"/>
    <xf numFmtId="3" fontId="23" fillId="0" borderId="0"/>
    <xf numFmtId="3" fontId="23" fillId="0" borderId="0"/>
    <xf numFmtId="3" fontId="23" fillId="0" borderId="0"/>
    <xf numFmtId="9" fontId="23" fillId="0" borderId="0" applyFont="0" applyFill="0" applyBorder="0" applyAlignment="0" applyProtection="0"/>
    <xf numFmtId="44" fontId="23" fillId="0" borderId="0" applyFont="0" applyFill="0" applyBorder="0" applyAlignment="0" applyProtection="0"/>
    <xf numFmtId="0" fontId="67" fillId="0" borderId="0" applyNumberFormat="0" applyFill="0" applyBorder="0" applyAlignment="0" applyProtection="0">
      <alignment vertical="top"/>
      <protection locked="0"/>
    </xf>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0" fontId="68" fillId="0" borderId="0" applyBorder="0">
      <alignment horizontal="centerContinuous"/>
    </xf>
    <xf numFmtId="0" fontId="69" fillId="0" borderId="0" applyBorder="0">
      <alignment horizontal="centerContinuous"/>
    </xf>
    <xf numFmtId="0" fontId="70" fillId="39" borderId="0">
      <alignment horizontal="right"/>
    </xf>
    <xf numFmtId="0" fontId="69" fillId="39" borderId="7"/>
    <xf numFmtId="9" fontId="23" fillId="0" borderId="0" applyFont="0" applyFill="0" applyBorder="0" applyAlignment="0" applyProtection="0"/>
    <xf numFmtId="42" fontId="9" fillId="0" borderId="0" applyFont="0" applyFill="0" applyBorder="0" applyAlignment="0" applyProtection="0"/>
    <xf numFmtId="0" fontId="71" fillId="40" borderId="0">
      <alignment horizontal="left"/>
    </xf>
    <xf numFmtId="0" fontId="73" fillId="40" borderId="0">
      <alignment horizontal="right"/>
    </xf>
    <xf numFmtId="0" fontId="73" fillId="40" borderId="0">
      <alignment horizontal="center"/>
    </xf>
    <xf numFmtId="0" fontId="73" fillId="40" borderId="0">
      <alignment horizontal="right"/>
    </xf>
    <xf numFmtId="0" fontId="74" fillId="40" borderId="0">
      <alignment horizontal="left"/>
    </xf>
    <xf numFmtId="41"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2"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1" fillId="40" borderId="0">
      <alignment horizontal="left"/>
    </xf>
    <xf numFmtId="0" fontId="71" fillId="40" borderId="0">
      <alignment horizontal="left"/>
    </xf>
    <xf numFmtId="44"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76" fillId="39"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71" fillId="40" borderId="0">
      <alignment horizontal="center"/>
    </xf>
    <xf numFmtId="49" fontId="77" fillId="40" borderId="0">
      <alignment horizontal="center"/>
    </xf>
    <xf numFmtId="0" fontId="73" fillId="40" borderId="0">
      <alignment horizontal="center"/>
    </xf>
    <xf numFmtId="0" fontId="73" fillId="40" borderId="0">
      <alignment horizontal="centerContinuous"/>
    </xf>
    <xf numFmtId="0" fontId="78" fillId="40" borderId="0">
      <alignment horizontal="left"/>
    </xf>
    <xf numFmtId="49" fontId="78" fillId="40" borderId="0">
      <alignment horizontal="center"/>
    </xf>
    <xf numFmtId="0" fontId="71" fillId="40" borderId="0">
      <alignment horizontal="left"/>
    </xf>
    <xf numFmtId="49" fontId="78" fillId="40" borderId="0">
      <alignment horizontal="left"/>
    </xf>
    <xf numFmtId="0" fontId="71" fillId="40" borderId="0">
      <alignment horizontal="centerContinuous"/>
    </xf>
    <xf numFmtId="0" fontId="71" fillId="40" borderId="0">
      <alignment horizontal="right"/>
    </xf>
    <xf numFmtId="49" fontId="71" fillId="40" borderId="0">
      <alignment horizontal="left"/>
    </xf>
    <xf numFmtId="0" fontId="73" fillId="40" borderId="0">
      <alignment horizontal="right"/>
    </xf>
    <xf numFmtId="0" fontId="78" fillId="41" borderId="0">
      <alignment horizontal="center"/>
    </xf>
    <xf numFmtId="0" fontId="49" fillId="41" borderId="0">
      <alignment horizontal="center"/>
    </xf>
    <xf numFmtId="0" fontId="79" fillId="40" borderId="0">
      <alignment horizontal="center"/>
    </xf>
    <xf numFmtId="0" fontId="9"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53" fillId="0" borderId="30" applyNumberFormat="0" applyFill="0" applyAlignment="0" applyProtection="0"/>
    <xf numFmtId="43" fontId="4" fillId="0" borderId="0" applyFont="0" applyFill="0" applyBorder="0" applyAlignment="0" applyProtection="0"/>
    <xf numFmtId="170" fontId="29" fillId="42" borderId="0" applyFont="0" applyFill="0" applyBorder="0" applyAlignment="0" applyProtection="0"/>
    <xf numFmtId="0" fontId="4" fillId="0" borderId="0"/>
    <xf numFmtId="0" fontId="23" fillId="0" borderId="0"/>
    <xf numFmtId="0" fontId="66"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2" fillId="0" borderId="0"/>
    <xf numFmtId="43" fontId="12" fillId="0" borderId="0" applyFont="0" applyFill="0" applyBorder="0" applyAlignment="0" applyProtection="0"/>
    <xf numFmtId="41"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4" fillId="0" borderId="0"/>
    <xf numFmtId="0" fontId="72" fillId="0" borderId="0">
      <alignment vertical="top"/>
    </xf>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32"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32"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32"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32"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47"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4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32"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2" fillId="5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32"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32"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2" fillId="4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0" fontId="32" fillId="52"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53" borderId="0" applyNumberFormat="0" applyBorder="0" applyAlignment="0" applyProtection="0"/>
    <xf numFmtId="0" fontId="80" fillId="53"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80" fillId="50"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51" borderId="0" applyNumberFormat="0" applyBorder="0" applyAlignment="0" applyProtection="0"/>
    <xf numFmtId="0" fontId="80" fillId="51"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54" borderId="0" applyNumberFormat="0" applyBorder="0" applyAlignment="0" applyProtection="0"/>
    <xf numFmtId="0" fontId="80" fillId="5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80" fillId="55"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56" borderId="0" applyNumberFormat="0" applyBorder="0" applyAlignment="0" applyProtection="0"/>
    <xf numFmtId="0" fontId="80" fillId="56"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57" borderId="0" applyNumberFormat="0" applyBorder="0" applyAlignment="0" applyProtection="0"/>
    <xf numFmtId="0" fontId="80" fillId="57"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58" borderId="0" applyNumberFormat="0" applyBorder="0" applyAlignment="0" applyProtection="0"/>
    <xf numFmtId="0" fontId="80" fillId="58"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59" borderId="0" applyNumberFormat="0" applyBorder="0" applyAlignment="0" applyProtection="0"/>
    <xf numFmtId="0" fontId="80" fillId="59"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54" borderId="0" applyNumberFormat="0" applyBorder="0" applyAlignment="0" applyProtection="0"/>
    <xf numFmtId="0" fontId="80" fillId="54"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80" fillId="5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80" fillId="60" borderId="0" applyNumberFormat="0" applyBorder="0" applyAlignment="0" applyProtection="0"/>
    <xf numFmtId="174" fontId="81" fillId="61" borderId="0" applyNumberFormat="0" applyBorder="0" applyAlignment="0" applyProtection="0"/>
    <xf numFmtId="174" fontId="82" fillId="62" borderId="0" applyNumberFormat="0" applyBorder="0" applyAlignment="0" applyProtection="0"/>
    <xf numFmtId="174" fontId="82" fillId="62"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3" fillId="9" borderId="0" applyNumberFormat="0" applyBorder="0" applyAlignment="0" applyProtection="0"/>
    <xf numFmtId="0" fontId="84" fillId="44" borderId="0" applyNumberFormat="0" applyBorder="0" applyAlignment="0" applyProtection="0"/>
    <xf numFmtId="0" fontId="29" fillId="0" borderId="0" applyFill="0" applyBorder="0" applyAlignment="0" applyProtection="0"/>
    <xf numFmtId="0" fontId="59" fillId="12" borderId="31" applyNumberFormat="0" applyAlignment="0" applyProtection="0"/>
    <xf numFmtId="0" fontId="59" fillId="12" borderId="31" applyNumberFormat="0" applyAlignment="0" applyProtection="0"/>
    <xf numFmtId="0" fontId="59" fillId="12" borderId="31" applyNumberFormat="0" applyAlignment="0" applyProtection="0"/>
    <xf numFmtId="0" fontId="59" fillId="63" borderId="31" applyNumberFormat="0" applyAlignment="0" applyProtection="0"/>
    <xf numFmtId="0" fontId="85" fillId="63" borderId="37" applyNumberFormat="0" applyAlignment="0" applyProtection="0"/>
    <xf numFmtId="0" fontId="47" fillId="0" borderId="0" applyFill="0" applyBorder="0" applyProtection="0">
      <alignment horizontal="center" vertical="center"/>
    </xf>
    <xf numFmtId="0" fontId="48" fillId="0" borderId="0" applyFill="0" applyBorder="0" applyProtection="0">
      <alignment horizontal="center"/>
      <protection locked="0"/>
    </xf>
    <xf numFmtId="0" fontId="47" fillId="0" borderId="0" applyFill="0" applyBorder="0" applyProtection="0">
      <alignment horizontal="center" vertical="center"/>
    </xf>
    <xf numFmtId="0" fontId="61" fillId="13" borderId="34" applyNumberFormat="0" applyAlignment="0" applyProtection="0"/>
    <xf numFmtId="0" fontId="61" fillId="13" borderId="34" applyNumberFormat="0" applyAlignment="0" applyProtection="0"/>
    <xf numFmtId="0" fontId="61" fillId="13" borderId="34" applyNumberFormat="0" applyAlignment="0" applyProtection="0"/>
    <xf numFmtId="0" fontId="86" fillId="64" borderId="38" applyNumberFormat="0" applyAlignment="0" applyProtection="0"/>
    <xf numFmtId="0" fontId="87" fillId="0" borderId="26">
      <alignment horizontal="center"/>
    </xf>
    <xf numFmtId="175" fontId="88" fillId="0" borderId="0" applyFont="0" applyFill="0" applyBorder="0" applyAlignment="0" applyProtection="0">
      <alignment horizontal="right"/>
    </xf>
    <xf numFmtId="176" fontId="11" fillId="0" borderId="0" applyFont="0" applyFill="0" applyBorder="0" applyAlignment="0" applyProtection="0"/>
    <xf numFmtId="177" fontId="89" fillId="0" borderId="0" applyFont="0" applyFill="0" applyBorder="0" applyAlignment="0" applyProtection="0"/>
    <xf numFmtId="178" fontId="8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2"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0" fillId="0" borderId="0" applyFont="0" applyFill="0" applyBorder="0" applyAlignment="0" applyProtection="0"/>
    <xf numFmtId="43" fontId="72" fillId="0" borderId="0" applyFont="0" applyFill="0" applyBorder="0" applyAlignment="0" applyProtection="0"/>
    <xf numFmtId="43" fontId="4"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2"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alignment vertical="top"/>
    </xf>
    <xf numFmtId="43" fontId="72" fillId="0" borderId="0" applyFont="0" applyFill="0" applyBorder="0" applyAlignment="0" applyProtection="0">
      <alignment vertical="top"/>
    </xf>
    <xf numFmtId="43" fontId="7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7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9" fontId="9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93"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9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0" fontId="11" fillId="0" borderId="0">
      <protection locked="0"/>
    </xf>
    <xf numFmtId="0" fontId="94" fillId="0" borderId="0" applyFill="0" applyBorder="0" applyAlignment="0" applyProtection="0"/>
    <xf numFmtId="0" fontId="95" fillId="0" borderId="0" applyFill="0" applyBorder="0" applyAlignment="0" applyProtection="0">
      <protection locked="0"/>
    </xf>
    <xf numFmtId="0" fontId="94" fillId="0" borderId="0" applyFill="0" applyBorder="0" applyAlignment="0" applyProtection="0"/>
    <xf numFmtId="181" fontId="89" fillId="0" borderId="0" applyFont="0" applyFill="0" applyBorder="0" applyAlignment="0" applyProtection="0"/>
    <xf numFmtId="182" fontId="89" fillId="0" borderId="0" applyFont="0" applyFill="0" applyBorder="0" applyAlignment="0" applyProtection="0"/>
    <xf numFmtId="183" fontId="8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4"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1"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7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4" fontId="11" fillId="0" borderId="0">
      <protection locked="0"/>
    </xf>
    <xf numFmtId="173" fontId="96" fillId="0" borderId="0" applyFont="0" applyFill="0" applyBorder="0" applyAlignment="0" applyProtection="0"/>
    <xf numFmtId="174" fontId="97" fillId="0" borderId="0" applyNumberFormat="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8" fillId="0" borderId="0" applyNumberFormat="0" applyFill="0" applyBorder="0" applyAlignment="0" applyProtection="0"/>
    <xf numFmtId="185" fontId="99" fillId="0" borderId="0"/>
    <xf numFmtId="186" fontId="99" fillId="0" borderId="0"/>
    <xf numFmtId="165" fontId="99" fillId="0" borderId="0"/>
    <xf numFmtId="186" fontId="99" fillId="0" borderId="0"/>
    <xf numFmtId="187" fontId="99" fillId="0" borderId="0"/>
    <xf numFmtId="187" fontId="99" fillId="0" borderId="0"/>
    <xf numFmtId="185" fontId="99" fillId="0" borderId="0"/>
    <xf numFmtId="188" fontId="99" fillId="0" borderId="0"/>
    <xf numFmtId="189" fontId="99" fillId="0" borderId="0"/>
    <xf numFmtId="190" fontId="99" fillId="0" borderId="0"/>
    <xf numFmtId="191" fontId="99" fillId="0" borderId="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00" fillId="45" borderId="0" applyNumberFormat="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01" fillId="0" borderId="39" applyNumberFormat="0" applyFill="0" applyAlignment="0" applyProtection="0"/>
    <xf numFmtId="0" fontId="102" fillId="0" borderId="3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103" fillId="0" borderId="29" applyNumberFormat="0" applyFill="0" applyAlignment="0" applyProtection="0"/>
    <xf numFmtId="0" fontId="104" fillId="0" borderId="4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105" fillId="0" borderId="41" applyNumberFormat="0" applyFill="0" applyAlignment="0" applyProtection="0"/>
    <xf numFmtId="0" fontId="106" fillId="0" borderId="4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24" fillId="0" borderId="0" applyFill="0" applyAlignment="0" applyProtection="0"/>
    <xf numFmtId="0" fontId="48" fillId="0" borderId="0" applyFill="0" applyAlignment="0" applyProtection="0">
      <protection locked="0"/>
    </xf>
    <xf numFmtId="0" fontId="24" fillId="0" borderId="0" applyFill="0" applyAlignment="0" applyProtection="0"/>
    <xf numFmtId="0" fontId="24" fillId="0" borderId="10" applyFill="0" applyAlignment="0" applyProtection="0"/>
    <xf numFmtId="0" fontId="48" fillId="0" borderId="10" applyFill="0" applyAlignment="0" applyProtection="0">
      <protection locked="0"/>
    </xf>
    <xf numFmtId="0" fontId="24" fillId="0" borderId="10" applyFill="0" applyAlignment="0" applyProtection="0"/>
    <xf numFmtId="0" fontId="48" fillId="0" borderId="0" applyFill="0" applyAlignment="0" applyProtection="0"/>
    <xf numFmtId="174" fontId="107" fillId="39" borderId="0" applyNumberFormat="0" applyBorder="0" applyAlignment="0" applyProtection="0"/>
    <xf numFmtId="0" fontId="57" fillId="11" borderId="31" applyNumberFormat="0" applyAlignment="0" applyProtection="0"/>
    <xf numFmtId="0" fontId="57" fillId="11" borderId="31" applyNumberFormat="0" applyAlignment="0" applyProtection="0"/>
    <xf numFmtId="0" fontId="57" fillId="11" borderId="31" applyNumberFormat="0" applyAlignment="0" applyProtection="0"/>
    <xf numFmtId="0" fontId="108" fillId="48" borderId="37" applyNumberFormat="0" applyAlignment="0" applyProtection="0"/>
    <xf numFmtId="174" fontId="82" fillId="3" borderId="0" applyNumberFormat="0" applyBorder="0" applyAlignment="0" applyProtection="0"/>
    <xf numFmtId="174" fontId="82" fillId="3" borderId="0" applyNumberFormat="0" applyBorder="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109" fillId="0" borderId="42" applyNumberFormat="0" applyFill="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10" fillId="65" borderId="0" applyNumberFormat="0" applyBorder="0" applyAlignment="0" applyProtection="0"/>
    <xf numFmtId="174" fontId="23" fillId="0" borderId="0"/>
    <xf numFmtId="174" fontId="23" fillId="0" borderId="0"/>
    <xf numFmtId="174" fontId="23" fillId="0" borderId="0"/>
    <xf numFmtId="174"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174" fontId="23" fillId="0" borderId="0"/>
    <xf numFmtId="174" fontId="23" fillId="0" borderId="0"/>
    <xf numFmtId="174" fontId="23" fillId="0" borderId="0"/>
    <xf numFmtId="174" fontId="2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174" fontId="23" fillId="0" borderId="0"/>
    <xf numFmtId="174" fontId="23" fillId="0" borderId="0"/>
    <xf numFmtId="174" fontId="23" fillId="0" borderId="0"/>
    <xf numFmtId="174" fontId="2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174" fontId="23" fillId="0" borderId="0"/>
    <xf numFmtId="174" fontId="23" fillId="0" borderId="0"/>
    <xf numFmtId="174" fontId="23" fillId="0" borderId="0"/>
    <xf numFmtId="174" fontId="23" fillId="0" borderId="0"/>
    <xf numFmtId="0" fontId="4" fillId="0" borderId="0"/>
    <xf numFmtId="0" fontId="4" fillId="0" borderId="0"/>
    <xf numFmtId="0" fontId="4" fillId="0" borderId="0"/>
    <xf numFmtId="174" fontId="23" fillId="0" borderId="0"/>
    <xf numFmtId="174" fontId="23" fillId="0" borderId="0"/>
    <xf numFmtId="174" fontId="23" fillId="0" borderId="0"/>
    <xf numFmtId="174" fontId="23" fillId="0" borderId="0"/>
    <xf numFmtId="0" fontId="4" fillId="0" borderId="0"/>
    <xf numFmtId="0" fontId="4" fillId="0" borderId="0"/>
    <xf numFmtId="0" fontId="4" fillId="0" borderId="0"/>
    <xf numFmtId="0" fontId="4" fillId="0" borderId="0"/>
    <xf numFmtId="0" fontId="4" fillId="0" borderId="0"/>
    <xf numFmtId="0" fontId="4" fillId="0" borderId="0"/>
    <xf numFmtId="174" fontId="23" fillId="0" borderId="0"/>
    <xf numFmtId="174" fontId="23" fillId="0" borderId="0"/>
    <xf numFmtId="174" fontId="23" fillId="0" borderId="0"/>
    <xf numFmtId="174" fontId="23" fillId="0" borderId="0"/>
    <xf numFmtId="0" fontId="4" fillId="0" borderId="0"/>
    <xf numFmtId="0" fontId="4" fillId="0" borderId="0"/>
    <xf numFmtId="172" fontId="23" fillId="0" borderId="0"/>
    <xf numFmtId="172" fontId="23" fillId="0" borderId="0"/>
    <xf numFmtId="172" fontId="23" fillId="0" borderId="0"/>
    <xf numFmtId="172" fontId="23"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0" fillId="0" borderId="0"/>
    <xf numFmtId="174" fontId="9" fillId="0" borderId="0"/>
    <xf numFmtId="0" fontId="90" fillId="0" borderId="0"/>
    <xf numFmtId="0" fontId="4" fillId="0" borderId="0"/>
    <xf numFmtId="0" fontId="90" fillId="0" borderId="0"/>
    <xf numFmtId="0" fontId="4" fillId="0" borderId="0"/>
    <xf numFmtId="0" fontId="4" fillId="0" borderId="0"/>
    <xf numFmtId="0" fontId="4" fillId="0" borderId="0"/>
    <xf numFmtId="0" fontId="4" fillId="0" borderId="0"/>
    <xf numFmtId="0" fontId="90" fillId="0" borderId="0"/>
    <xf numFmtId="0" fontId="9" fillId="0" borderId="0"/>
    <xf numFmtId="0" fontId="4" fillId="0" borderId="0"/>
    <xf numFmtId="0" fontId="4" fillId="0" borderId="0"/>
    <xf numFmtId="174" fontId="9"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29" fillId="0" borderId="0"/>
    <xf numFmtId="0" fontId="9" fillId="0" borderId="0"/>
    <xf numFmtId="0" fontId="2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1" fillId="0" borderId="0"/>
    <xf numFmtId="0" fontId="9" fillId="0" borderId="0"/>
    <xf numFmtId="0" fontId="72" fillId="0" borderId="0">
      <alignment vertical="top"/>
    </xf>
    <xf numFmtId="0" fontId="9" fillId="0" borderId="0"/>
    <xf numFmtId="0" fontId="9" fillId="0" borderId="0"/>
    <xf numFmtId="174" fontId="9" fillId="0" borderId="0"/>
    <xf numFmtId="0" fontId="4" fillId="0" borderId="0"/>
    <xf numFmtId="0" fontId="4" fillId="0" borderId="0"/>
    <xf numFmtId="0" fontId="4" fillId="0" borderId="0"/>
    <xf numFmtId="17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72" fillId="0" borderId="0">
      <alignment vertical="top"/>
    </xf>
    <xf numFmtId="0" fontId="72"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72" fillId="0" borderId="0">
      <alignment vertical="top"/>
    </xf>
    <xf numFmtId="0" fontId="72"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9" fillId="0" borderId="0"/>
    <xf numFmtId="0" fontId="9" fillId="0" borderId="0"/>
    <xf numFmtId="0" fontId="29" fillId="0" borderId="0"/>
    <xf numFmtId="174" fontId="23" fillId="0" borderId="0"/>
    <xf numFmtId="174" fontId="23" fillId="0" borderId="0"/>
    <xf numFmtId="174" fontId="23" fillId="0" borderId="0"/>
    <xf numFmtId="174" fontId="23"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172" fontId="23" fillId="0" borderId="0"/>
    <xf numFmtId="172" fontId="23" fillId="0" borderId="0"/>
    <xf numFmtId="172" fontId="23" fillId="0" borderId="0"/>
    <xf numFmtId="172"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172" fontId="9" fillId="0" borderId="0"/>
    <xf numFmtId="0" fontId="72" fillId="0" borderId="0">
      <alignment vertical="top"/>
    </xf>
    <xf numFmtId="0" fontId="72" fillId="0" borderId="0">
      <alignment vertical="top"/>
    </xf>
    <xf numFmtId="0" fontId="23" fillId="0" borderId="0"/>
    <xf numFmtId="0" fontId="4" fillId="0" borderId="0"/>
    <xf numFmtId="0" fontId="23" fillId="0" borderId="0"/>
    <xf numFmtId="0" fontId="23" fillId="0" borderId="0"/>
    <xf numFmtId="0" fontId="23" fillId="0" borderId="0"/>
    <xf numFmtId="174" fontId="23" fillId="0" borderId="0"/>
    <xf numFmtId="174" fontId="23" fillId="0" borderId="0"/>
    <xf numFmtId="0" fontId="72" fillId="0" borderId="0">
      <alignment vertical="top"/>
    </xf>
    <xf numFmtId="174" fontId="23" fillId="0" borderId="0"/>
    <xf numFmtId="174" fontId="23" fillId="0" borderId="0"/>
    <xf numFmtId="0" fontId="9" fillId="0" borderId="0"/>
    <xf numFmtId="0" fontId="4" fillId="0" borderId="0"/>
    <xf numFmtId="0" fontId="23" fillId="0" borderId="0"/>
    <xf numFmtId="0" fontId="72" fillId="0" borderId="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174" fontId="23" fillId="0" borderId="0"/>
    <xf numFmtId="174" fontId="23" fillId="0" borderId="0"/>
    <xf numFmtId="174" fontId="23" fillId="0" borderId="0"/>
    <xf numFmtId="174" fontId="23" fillId="0" borderId="0"/>
    <xf numFmtId="0" fontId="4"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174" fontId="23" fillId="0" borderId="0"/>
    <xf numFmtId="174" fontId="23" fillId="0" borderId="0"/>
    <xf numFmtId="174" fontId="23" fillId="0" borderId="0"/>
    <xf numFmtId="174"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174"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174" fontId="23" fillId="0" borderId="0"/>
    <xf numFmtId="174" fontId="23" fillId="0" borderId="0"/>
    <xf numFmtId="174" fontId="23" fillId="0" borderId="0"/>
    <xf numFmtId="174"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32" fillId="14" borderId="35" applyNumberFormat="0" applyFont="0" applyAlignment="0" applyProtection="0"/>
    <xf numFmtId="0" fontId="9" fillId="66" borderId="43" applyNumberFormat="0" applyFont="0" applyAlignment="0" applyProtection="0"/>
    <xf numFmtId="0" fontId="4" fillId="14" borderId="35" applyNumberFormat="0" applyFont="0" applyAlignment="0" applyProtection="0"/>
    <xf numFmtId="0" fontId="58" fillId="12" borderId="32" applyNumberFormat="0" applyAlignment="0" applyProtection="0"/>
    <xf numFmtId="0" fontId="58" fillId="12" borderId="32" applyNumberFormat="0" applyAlignment="0" applyProtection="0"/>
    <xf numFmtId="0" fontId="58" fillId="12" borderId="32" applyNumberFormat="0" applyAlignment="0" applyProtection="0"/>
    <xf numFmtId="0" fontId="58" fillId="63" borderId="32" applyNumberFormat="0" applyAlignment="0" applyProtection="0"/>
    <xf numFmtId="0" fontId="112" fillId="63" borderId="44" applyNumberFormat="0" applyAlignment="0" applyProtection="0"/>
    <xf numFmtId="174" fontId="9" fillId="42" borderId="0" applyNumberFormat="0" applyBorder="0" applyAlignment="0" applyProtection="0"/>
    <xf numFmtId="174" fontId="9" fillId="42" borderId="0" applyNumberFormat="0" applyBorder="0" applyAlignment="0" applyProtection="0"/>
    <xf numFmtId="192" fontId="89" fillId="0" borderId="0" applyFont="0" applyFill="0" applyBorder="0" applyAlignment="0" applyProtection="0"/>
    <xf numFmtId="193" fontId="11" fillId="0" borderId="0" applyFont="0" applyFill="0" applyBorder="0" applyAlignment="0" applyProtection="0"/>
    <xf numFmtId="194" fontId="89" fillId="0" borderId="0" applyFont="0" applyFill="0" applyBorder="0" applyAlignment="0" applyProtection="0"/>
    <xf numFmtId="195" fontId="11" fillId="0" borderId="0" applyFont="0" applyFill="0" applyBorder="0" applyAlignment="0" applyProtection="0"/>
    <xf numFmtId="196" fontId="89" fillId="0" borderId="0" applyFont="0" applyFill="0" applyBorder="0" applyAlignment="0" applyProtection="0"/>
    <xf numFmtId="197" fontId="11" fillId="0" borderId="0" applyFont="0" applyFill="0" applyBorder="0" applyAlignment="0" applyProtection="0"/>
    <xf numFmtId="198" fontId="89" fillId="0" borderId="0" applyFont="0" applyFill="0" applyBorder="0" applyAlignment="0" applyProtection="0"/>
    <xf numFmtId="199" fontId="11"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0" fillId="0" borderId="0" applyFont="0" applyFill="0" applyBorder="0" applyAlignment="0" applyProtection="0"/>
    <xf numFmtId="9" fontId="72" fillId="0" borderId="0" applyFont="0" applyFill="0" applyBorder="0" applyAlignment="0" applyProtection="0"/>
    <xf numFmtId="9" fontId="90" fillId="0" borderId="0" applyFont="0" applyFill="0" applyBorder="0" applyAlignment="0" applyProtection="0"/>
    <xf numFmtId="9" fontId="7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 fillId="0" borderId="0" applyFont="0" applyFill="0" applyBorder="0" applyAlignment="0" applyProtection="0"/>
    <xf numFmtId="9" fontId="9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4" fontId="81" fillId="61" borderId="0" applyNumberFormat="0" applyBorder="0" applyAlignment="0" applyProtection="0"/>
    <xf numFmtId="0" fontId="113" fillId="0" borderId="0">
      <alignment horizontal="right"/>
    </xf>
    <xf numFmtId="0" fontId="114" fillId="0" borderId="0">
      <alignment horizontal="right"/>
    </xf>
    <xf numFmtId="0" fontId="99" fillId="0" borderId="0"/>
    <xf numFmtId="0" fontId="115" fillId="0" borderId="0" applyNumberFormat="0" applyBorder="0" applyAlignment="0"/>
    <xf numFmtId="0" fontId="115" fillId="0" borderId="0" applyNumberFormat="0" applyBorder="0" applyAlignment="0"/>
    <xf numFmtId="0" fontId="72" fillId="0" borderId="0" applyNumberFormat="0" applyBorder="0" applyAlignment="0"/>
    <xf numFmtId="174" fontId="72" fillId="0" borderId="0" applyNumberFormat="0" applyBorder="0" applyAlignment="0"/>
    <xf numFmtId="0" fontId="99" fillId="0" borderId="0"/>
    <xf numFmtId="174" fontId="72" fillId="0" borderId="0" applyNumberFormat="0" applyBorder="0" applyAlignment="0"/>
    <xf numFmtId="0" fontId="116" fillId="0" borderId="0"/>
    <xf numFmtId="0" fontId="117" fillId="0" borderId="0" applyNumberFormat="0" applyBorder="0" applyAlignment="0"/>
    <xf numFmtId="0" fontId="117" fillId="0" borderId="0" applyNumberFormat="0" applyBorder="0" applyAlignment="0"/>
    <xf numFmtId="0" fontId="116" fillId="0" borderId="0"/>
    <xf numFmtId="0" fontId="118" fillId="0" borderId="0"/>
    <xf numFmtId="174" fontId="119" fillId="0" borderId="0"/>
    <xf numFmtId="0" fontId="120" fillId="0" borderId="0"/>
    <xf numFmtId="0" fontId="121" fillId="0" borderId="0" applyNumberFormat="0" applyBorder="0" applyAlignment="0"/>
    <xf numFmtId="0" fontId="121" fillId="0" borderId="0" applyNumberFormat="0" applyBorder="0" applyAlignment="0"/>
    <xf numFmtId="0" fontId="120" fillId="0" borderId="0"/>
    <xf numFmtId="0" fontId="122" fillId="0" borderId="0" applyNumberFormat="0" applyBorder="0" applyAlignment="0"/>
    <xf numFmtId="0" fontId="123" fillId="0" borderId="0"/>
    <xf numFmtId="174" fontId="124" fillId="0" borderId="0"/>
    <xf numFmtId="0" fontId="125" fillId="0" borderId="0"/>
    <xf numFmtId="0" fontId="121" fillId="67" borderId="0" applyNumberFormat="0" applyBorder="0" applyAlignment="0"/>
    <xf numFmtId="0" fontId="126" fillId="0" borderId="0"/>
    <xf numFmtId="0" fontId="127" fillId="0" borderId="0"/>
    <xf numFmtId="0" fontId="128" fillId="0" borderId="0"/>
    <xf numFmtId="0" fontId="127" fillId="68" borderId="0"/>
    <xf numFmtId="0" fontId="50" fillId="0" borderId="0" applyNumberFormat="0" applyFill="0" applyBorder="0" applyAlignment="0" applyProtection="0"/>
    <xf numFmtId="0" fontId="129" fillId="69" borderId="45" applyNumberFormat="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29" fillId="69" borderId="46">
      <alignment horizontal="left"/>
    </xf>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47" applyNumberFormat="0" applyFill="0" applyAlignment="0" applyProtection="0"/>
    <xf numFmtId="0" fontId="132" fillId="0" borderId="47"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33" fillId="0" borderId="0" applyNumberFormat="0" applyFill="0" applyBorder="0" applyAlignment="0" applyProtection="0"/>
    <xf numFmtId="174" fontId="24" fillId="70" borderId="0" applyNumberFormat="0" applyBorder="0" applyAlignment="0" applyProtection="0"/>
    <xf numFmtId="202" fontId="11" fillId="0" borderId="0" applyFont="0" applyFill="0" applyBorder="0" applyAlignment="0" applyProtection="0"/>
    <xf numFmtId="203" fontId="11"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206" fontId="11" fillId="0" borderId="0" applyFont="0" applyFill="0" applyBorder="0" applyAlignment="0" applyProtection="0"/>
    <xf numFmtId="207" fontId="11" fillId="0" borderId="0" applyFont="0" applyFill="0" applyBorder="0" applyAlignment="0" applyProtection="0"/>
    <xf numFmtId="208" fontId="11" fillId="0" borderId="0" applyFont="0" applyFill="0" applyBorder="0" applyAlignment="0" applyProtection="0"/>
    <xf numFmtId="209" fontId="11" fillId="0" borderId="0" applyFont="0" applyFill="0" applyBorder="0" applyAlignment="0" applyProtection="0"/>
    <xf numFmtId="210" fontId="29" fillId="0" borderId="0" applyFont="0" applyFill="0" applyBorder="0" applyAlignment="0" applyProtection="0">
      <alignment horizontal="right"/>
    </xf>
    <xf numFmtId="3" fontId="23" fillId="0" borderId="0"/>
    <xf numFmtId="0" fontId="66" fillId="0" borderId="30" applyNumberFormat="0" applyFill="0" applyAlignment="0" applyProtection="0"/>
    <xf numFmtId="3" fontId="23"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75"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66"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66" fillId="0" borderId="30" applyNumberFormat="0" applyFill="0" applyAlignment="0" applyProtection="0"/>
    <xf numFmtId="0" fontId="23"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12" fillId="63" borderId="44" applyNumberFormat="0" applyAlignment="0" applyProtection="0"/>
    <xf numFmtId="0" fontId="85" fillId="63" borderId="37" applyNumberFormat="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85" fillId="63" borderId="37" applyNumberFormat="0" applyAlignment="0" applyProtection="0"/>
    <xf numFmtId="43" fontId="23" fillId="0" borderId="0" applyFont="0" applyFill="0" applyBorder="0" applyAlignment="0" applyProtection="0"/>
    <xf numFmtId="0" fontId="9" fillId="66" borderId="43" applyNumberFormat="0" applyFont="0" applyAlignment="0" applyProtection="0"/>
    <xf numFmtId="9" fontId="23" fillId="0" borderId="0" applyFont="0" applyFill="0" applyBorder="0" applyAlignment="0" applyProtection="0"/>
    <xf numFmtId="0" fontId="132" fillId="0" borderId="47" applyNumberFormat="0" applyFill="0" applyAlignment="0" applyProtection="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132" fillId="0" borderId="47"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0" fontId="85" fillId="63" borderId="37" applyNumberFormat="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08" fillId="48" borderId="37" applyNumberFormat="0" applyAlignment="0" applyProtection="0"/>
    <xf numFmtId="0" fontId="108" fillId="48" borderId="37" applyNumberFormat="0" applyAlignment="0" applyProtection="0"/>
    <xf numFmtId="0" fontId="108" fillId="48" borderId="37" applyNumberFormat="0" applyAlignment="0" applyProtection="0"/>
    <xf numFmtId="0" fontId="9" fillId="66" borderId="43" applyNumberFormat="0" applyFont="0" applyAlignment="0" applyProtection="0"/>
    <xf numFmtId="0" fontId="64" fillId="0" borderId="47"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9" fillId="66" borderId="43" applyNumberFormat="0" applyFont="0" applyAlignment="0" applyProtection="0"/>
    <xf numFmtId="0" fontId="112" fillId="63" borderId="44" applyNumberFormat="0" applyAlignment="0" applyProtection="0"/>
    <xf numFmtId="44" fontId="23" fillId="0" borderId="0" applyFont="0" applyFill="0" applyBorder="0" applyAlignment="0" applyProtection="0"/>
    <xf numFmtId="0" fontId="64"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0" fontId="132" fillId="0" borderId="47" applyNumberFormat="0" applyFill="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9" fillId="66" borderId="43" applyNumberFormat="0" applyFont="0" applyAlignment="0" applyProtection="0"/>
    <xf numFmtId="0" fontId="112" fillId="63" borderId="44" applyNumberFormat="0" applyAlignment="0" applyProtection="0"/>
    <xf numFmtId="0" fontId="85" fillId="63" borderId="37" applyNumberFormat="0" applyAlignment="0" applyProtection="0"/>
    <xf numFmtId="9" fontId="23" fillId="0" borderId="0" applyFont="0" applyFill="0" applyBorder="0" applyAlignment="0" applyProtection="0"/>
    <xf numFmtId="0" fontId="112" fillId="63" borderId="44" applyNumberFormat="0" applyAlignment="0" applyProtection="0"/>
    <xf numFmtId="0" fontId="64"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64" fillId="0" borderId="47" applyNumberFormat="0" applyFill="0" applyAlignment="0" applyProtection="0"/>
    <xf numFmtId="0" fontId="132"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08" fillId="48" borderId="37" applyNumberFormat="0" applyAlignment="0" applyProtection="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64" fillId="0" borderId="47" applyNumberFormat="0" applyFill="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66" borderId="43" applyNumberFormat="0" applyFont="0" applyAlignment="0" applyProtection="0"/>
    <xf numFmtId="0" fontId="112" fillId="63" borderId="44"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32" fillId="0" borderId="4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5" fillId="63" borderId="37" applyNumberFormat="0" applyAlignment="0" applyProtection="0"/>
    <xf numFmtId="0" fontId="132" fillId="0" borderId="47" applyNumberFormat="0" applyFill="0" applyAlignment="0" applyProtection="0"/>
    <xf numFmtId="0" fontId="132" fillId="0" borderId="47" applyNumberFormat="0" applyFill="0" applyAlignment="0" applyProtection="0"/>
    <xf numFmtId="0" fontId="85" fillId="63"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8" fillId="48"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64"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0" fontId="85" fillId="63"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4"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2"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8" fillId="48"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9" fillId="66" borderId="4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64" fillId="0" borderId="47" applyNumberFormat="0" applyFill="0" applyAlignment="0" applyProtection="0"/>
    <xf numFmtId="0" fontId="112" fillId="63" borderId="44" applyNumberFormat="0" applyAlignment="0" applyProtection="0"/>
    <xf numFmtId="0" fontId="112" fillId="63" borderId="44" applyNumberFormat="0" applyAlignment="0" applyProtection="0"/>
    <xf numFmtId="0" fontId="132" fillId="0" borderId="47" applyNumberFormat="0" applyFill="0" applyAlignment="0" applyProtection="0"/>
    <xf numFmtId="0" fontId="64" fillId="0" borderId="47" applyNumberFormat="0" applyFill="0" applyAlignment="0" applyProtection="0"/>
    <xf numFmtId="0" fontId="112" fillId="63" borderId="44" applyNumberFormat="0" applyAlignment="0" applyProtection="0"/>
    <xf numFmtId="0" fontId="108" fillId="48" borderId="37" applyNumberFormat="0" applyAlignment="0" applyProtection="0"/>
    <xf numFmtId="0" fontId="108" fillId="48" borderId="37" applyNumberFormat="0" applyAlignment="0" applyProtection="0"/>
    <xf numFmtId="0" fontId="85" fillId="63" borderId="37" applyNumberFormat="0" applyAlignment="0" applyProtection="0"/>
    <xf numFmtId="0" fontId="112" fillId="63" borderId="44" applyNumberFormat="0" applyAlignment="0" applyProtection="0"/>
    <xf numFmtId="0" fontId="108" fillId="48" borderId="37" applyNumberFormat="0" applyAlignment="0" applyProtection="0"/>
    <xf numFmtId="0" fontId="85" fillId="63" borderId="37" applyNumberFormat="0" applyAlignment="0" applyProtection="0"/>
    <xf numFmtId="0" fontId="4" fillId="0" borderId="0"/>
    <xf numFmtId="0" fontId="23" fillId="0" borderId="0"/>
    <xf numFmtId="0" fontId="66"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39" fontId="134" fillId="0" borderId="0"/>
    <xf numFmtId="40" fontId="10" fillId="0" borderId="0" applyFont="0" applyFill="0" applyBorder="0" applyAlignment="0" applyProtection="0"/>
    <xf numFmtId="8" fontId="10" fillId="0" borderId="0" applyFont="0" applyFill="0" applyBorder="0" applyAlignment="0" applyProtection="0"/>
    <xf numFmtId="9" fontId="10" fillId="0" borderId="0" applyFont="0" applyFill="0" applyBorder="0" applyAlignment="0" applyProtection="0"/>
    <xf numFmtId="0" fontId="135" fillId="0" borderId="0"/>
    <xf numFmtId="44" fontId="135"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3" fontId="4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11" fontId="46" fillId="0" borderId="0" applyFont="0" applyFill="0" applyBorder="0" applyAlignment="0" applyProtection="0"/>
    <xf numFmtId="0" fontId="46" fillId="0" borderId="0" applyFont="0" applyFill="0" applyBorder="0" applyAlignment="0" applyProtection="0"/>
    <xf numFmtId="2" fontId="46" fillId="0" borderId="0" applyFont="0" applyFill="0" applyBorder="0" applyAlignment="0" applyProtection="0"/>
    <xf numFmtId="0" fontId="46" fillId="0" borderId="0"/>
    <xf numFmtId="0" fontId="23" fillId="0" borderId="0"/>
    <xf numFmtId="0" fontId="4" fillId="0" borderId="0"/>
    <xf numFmtId="10" fontId="4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0"/>
    <xf numFmtId="43"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0" fontId="23" fillId="0" borderId="0"/>
    <xf numFmtId="9" fontId="23"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3" fontId="4" fillId="0" borderId="0" applyFont="0" applyFill="0" applyBorder="0" applyAlignment="0" applyProtection="0"/>
    <xf numFmtId="44" fontId="135" fillId="0" borderId="0" applyFont="0" applyFill="0" applyBorder="0" applyAlignment="0" applyProtection="0"/>
    <xf numFmtId="9" fontId="135" fillId="0" borderId="0" applyFont="0" applyFill="0" applyBorder="0" applyAlignment="0" applyProtection="0"/>
    <xf numFmtId="43" fontId="4" fillId="0" borderId="0" applyFont="0" applyFill="0" applyBorder="0" applyAlignment="0" applyProtection="0"/>
    <xf numFmtId="0" fontId="4" fillId="0" borderId="0"/>
    <xf numFmtId="0" fontId="23" fillId="0" borderId="0"/>
    <xf numFmtId="0" fontId="66"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0" borderId="28" applyNumberFormat="0" applyFill="0" applyAlignment="0" applyProtection="0"/>
    <xf numFmtId="0" fontId="52" fillId="0" borderId="29" applyNumberFormat="0" applyFill="0" applyAlignment="0" applyProtection="0"/>
    <xf numFmtId="0" fontId="53" fillId="0" borderId="30" applyNumberFormat="0" applyFill="0" applyAlignment="0" applyProtection="0"/>
    <xf numFmtId="0" fontId="53" fillId="0" borderId="0" applyNumberFormat="0" applyFill="0" applyBorder="0" applyAlignment="0" applyProtection="0"/>
    <xf numFmtId="0" fontId="54" fillId="8" borderId="0" applyNumberFormat="0" applyBorder="0" applyAlignment="0" applyProtection="0"/>
    <xf numFmtId="0" fontId="55" fillId="9" borderId="0" applyNumberFormat="0" applyBorder="0" applyAlignment="0" applyProtection="0"/>
    <xf numFmtId="0" fontId="56" fillId="10" borderId="0" applyNumberFormat="0" applyBorder="0" applyAlignment="0" applyProtection="0"/>
    <xf numFmtId="0" fontId="57" fillId="11" borderId="31" applyNumberFormat="0" applyAlignment="0" applyProtection="0"/>
    <xf numFmtId="0" fontId="58" fillId="12" borderId="32" applyNumberFormat="0" applyAlignment="0" applyProtection="0"/>
    <xf numFmtId="0" fontId="59" fillId="12" borderId="31" applyNumberFormat="0" applyAlignment="0" applyProtection="0"/>
    <xf numFmtId="0" fontId="60" fillId="0" borderId="33" applyNumberFormat="0" applyFill="0" applyAlignment="0" applyProtection="0"/>
    <xf numFmtId="0" fontId="61" fillId="13" borderId="34"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6" applyNumberFormat="0" applyFill="0" applyAlignment="0" applyProtection="0"/>
    <xf numFmtId="0" fontId="6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65" fillId="38"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93" fillId="0" borderId="0" applyFont="0" applyFill="0" applyBorder="0" applyAlignment="0" applyProtection="0"/>
    <xf numFmtId="40" fontId="10" fillId="0" borderId="0" applyFont="0" applyFill="0" applyBorder="0" applyAlignment="0" applyProtection="0"/>
    <xf numFmtId="8"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9" fillId="0" borderId="0"/>
    <xf numFmtId="9" fontId="29" fillId="0" borderId="0" applyFont="0" applyFill="0" applyBorder="0" applyAlignment="0" applyProtection="0"/>
    <xf numFmtId="0" fontId="37" fillId="0" borderId="0"/>
    <xf numFmtId="0" fontId="29" fillId="0" borderId="0"/>
    <xf numFmtId="0" fontId="37" fillId="0" borderId="0"/>
    <xf numFmtId="0" fontId="9" fillId="0" borderId="0"/>
    <xf numFmtId="0" fontId="137" fillId="0" borderId="0"/>
    <xf numFmtId="0" fontId="9" fillId="0" borderId="0"/>
    <xf numFmtId="9" fontId="37" fillId="0" borderId="0" applyFont="0" applyFill="0" applyBorder="0" applyAlignment="0" applyProtection="0"/>
    <xf numFmtId="44" fontId="9"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38" fillId="0" borderId="0"/>
    <xf numFmtId="43" fontId="37" fillId="0" borderId="0" applyFont="0" applyFill="0" applyBorder="0" applyAlignment="0" applyProtection="0"/>
    <xf numFmtId="44" fontId="37" fillId="0" borderId="0" applyFont="0" applyFill="0" applyBorder="0" applyAlignment="0" applyProtection="0"/>
    <xf numFmtId="9" fontId="29"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23" fillId="0" borderId="0"/>
    <xf numFmtId="43" fontId="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3" fontId="9" fillId="71" borderId="0" applyFont="0" applyFill="0" applyBorder="0" applyAlignment="0" applyProtection="0"/>
    <xf numFmtId="5" fontId="9" fillId="71" borderId="0" applyFont="0" applyFill="0" applyBorder="0" applyAlignment="0" applyProtection="0"/>
    <xf numFmtId="0" fontId="9" fillId="71" borderId="0" applyFont="0" applyFill="0" applyBorder="0" applyAlignment="0" applyProtection="0"/>
    <xf numFmtId="2" fontId="9" fillId="71" borderId="0" applyFont="0" applyFill="0" applyBorder="0" applyAlignment="0" applyProtection="0"/>
    <xf numFmtId="41" fontId="139" fillId="3" borderId="48">
      <alignment horizontal="left"/>
      <protection locked="0"/>
    </xf>
    <xf numFmtId="0" fontId="29" fillId="0" borderId="0"/>
    <xf numFmtId="44" fontId="29"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43" fontId="10" fillId="0" borderId="0" applyFont="0" applyFill="0" applyBorder="0" applyAlignment="0" applyProtection="0"/>
    <xf numFmtId="0" fontId="23" fillId="0" borderId="0"/>
    <xf numFmtId="9" fontId="2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23" fillId="0" borderId="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29" fillId="0" borderId="0" applyFont="0" applyFill="0" applyBorder="0" applyAlignment="0" applyProtection="0"/>
    <xf numFmtId="0" fontId="10" fillId="0" borderId="0"/>
    <xf numFmtId="9" fontId="29" fillId="0" borderId="0" applyFont="0" applyFill="0" applyBorder="0" applyAlignment="0" applyProtection="0"/>
    <xf numFmtId="43" fontId="9" fillId="0" borderId="0" applyFont="0" applyFill="0" applyBorder="0" applyAlignment="0" applyProtection="0"/>
    <xf numFmtId="9" fontId="23" fillId="0" borderId="0" applyFont="0" applyFill="0" applyBorder="0" applyAlignment="0" applyProtection="0"/>
    <xf numFmtId="0" fontId="29" fillId="0" borderId="0"/>
    <xf numFmtId="9"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3" fillId="0" borderId="0"/>
    <xf numFmtId="43" fontId="29"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3" fontId="10" fillId="0" borderId="0" applyFont="0" applyFill="0" applyBorder="0" applyAlignment="0" applyProtection="0"/>
    <xf numFmtId="9" fontId="23"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29" fillId="0" borderId="0"/>
    <xf numFmtId="44" fontId="29" fillId="0" borderId="0" applyFont="0" applyFill="0" applyBorder="0" applyAlignment="0" applyProtection="0"/>
    <xf numFmtId="0" fontId="23" fillId="0" borderId="0"/>
    <xf numFmtId="9" fontId="10" fillId="0" borderId="0" applyFont="0" applyFill="0" applyBorder="0" applyAlignment="0" applyProtection="0"/>
    <xf numFmtId="0" fontId="10"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23" fillId="0" borderId="0"/>
    <xf numFmtId="0" fontId="23" fillId="0" borderId="0"/>
    <xf numFmtId="0" fontId="23" fillId="0" borderId="0"/>
    <xf numFmtId="0" fontId="3" fillId="0" borderId="0"/>
    <xf numFmtId="9" fontId="1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23" fillId="0" borderId="0"/>
    <xf numFmtId="9" fontId="23" fillId="0" borderId="0" applyFont="0" applyFill="0" applyBorder="0" applyAlignment="0" applyProtection="0"/>
    <xf numFmtId="9" fontId="10" fillId="0" borderId="0" applyFont="0" applyFill="0" applyBorder="0" applyAlignment="0" applyProtection="0"/>
    <xf numFmtId="0" fontId="3" fillId="0" borderId="0"/>
    <xf numFmtId="9"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9" fontId="29" fillId="0" borderId="0" applyFont="0" applyFill="0" applyBorder="0" applyAlignment="0" applyProtection="0"/>
    <xf numFmtId="0" fontId="23" fillId="0" borderId="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0" fontId="23" fillId="0" borderId="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0" fillId="0" borderId="0"/>
    <xf numFmtId="43" fontId="29" fillId="0" borderId="0" applyFont="0" applyFill="0" applyBorder="0" applyAlignment="0" applyProtection="0"/>
    <xf numFmtId="0" fontId="29" fillId="0" borderId="0"/>
    <xf numFmtId="43" fontId="10"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29"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43" fontId="29" fillId="0" borderId="0" applyFont="0" applyFill="0" applyBorder="0" applyAlignment="0" applyProtection="0"/>
    <xf numFmtId="0" fontId="23" fillId="0" borderId="0"/>
    <xf numFmtId="43"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9"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23" fillId="0" borderId="0"/>
    <xf numFmtId="9" fontId="23" fillId="0" borderId="0" applyFont="0" applyFill="0" applyBorder="0" applyAlignment="0" applyProtection="0"/>
    <xf numFmtId="43" fontId="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9" fontId="9"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23"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0" fontId="23"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10" fillId="0" borderId="0"/>
    <xf numFmtId="43" fontId="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10" fillId="0" borderId="0" applyFont="0" applyFill="0" applyBorder="0" applyAlignment="0" applyProtection="0"/>
    <xf numFmtId="0" fontId="29" fillId="0" borderId="0"/>
    <xf numFmtId="0" fontId="3" fillId="24" borderId="0" applyNumberFormat="0" applyBorder="0" applyAlignment="0" applyProtection="0"/>
    <xf numFmtId="0" fontId="3" fillId="25" borderId="0" applyNumberFormat="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9" fontId="9" fillId="0" borderId="0" applyFont="0" applyFill="0" applyBorder="0" applyAlignment="0" applyProtection="0"/>
    <xf numFmtId="0" fontId="10" fillId="0" borderId="0"/>
    <xf numFmtId="0" fontId="3" fillId="32" borderId="0" applyNumberFormat="0" applyBorder="0" applyAlignment="0" applyProtection="0"/>
    <xf numFmtId="0" fontId="3" fillId="33" borderId="0" applyNumberFormat="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43" fontId="2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9" fontId="2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3"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9" fontId="10" fillId="0" borderId="0" applyFont="0" applyFill="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9" fontId="9"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3"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10"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10" fillId="0" borderId="0"/>
    <xf numFmtId="0" fontId="23" fillId="0" borderId="0"/>
    <xf numFmtId="0" fontId="3" fillId="16" borderId="0" applyNumberFormat="0" applyBorder="0" applyAlignment="0" applyProtection="0"/>
    <xf numFmtId="0" fontId="3" fillId="17" borderId="0" applyNumberFormat="0" applyBorder="0" applyAlignment="0" applyProtection="0"/>
    <xf numFmtId="9" fontId="10"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43"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10" fillId="0" borderId="0"/>
    <xf numFmtId="0" fontId="29" fillId="0" borderId="0"/>
    <xf numFmtId="0" fontId="3" fillId="32" borderId="0" applyNumberFormat="0" applyBorder="0" applyAlignment="0" applyProtection="0"/>
    <xf numFmtId="0" fontId="3" fillId="33" borderId="0" applyNumberFormat="0" applyBorder="0" applyAlignment="0" applyProtection="0"/>
    <xf numFmtId="0" fontId="10" fillId="0" borderId="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0" fontId="3" fillId="16" borderId="0" applyNumberFormat="0" applyBorder="0" applyAlignment="0" applyProtection="0"/>
    <xf numFmtId="0" fontId="3" fillId="17" borderId="0" applyNumberFormat="0" applyBorder="0" applyAlignment="0" applyProtection="0"/>
    <xf numFmtId="43" fontId="10"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29" fillId="0" borderId="0"/>
    <xf numFmtId="0" fontId="3" fillId="24" borderId="0" applyNumberFormat="0" applyBorder="0" applyAlignment="0" applyProtection="0"/>
    <xf numFmtId="0" fontId="3" fillId="25" borderId="0" applyNumberFormat="0" applyBorder="0" applyAlignment="0" applyProtection="0"/>
    <xf numFmtId="0" fontId="10" fillId="0" borderId="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3" fontId="9" fillId="0" borderId="0" applyFont="0" applyFill="0" applyBorder="0" applyAlignment="0" applyProtection="0"/>
    <xf numFmtId="9" fontId="23"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29" fillId="0" borderId="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9" fontId="10" fillId="0" borderId="0" applyFont="0" applyFill="0" applyBorder="0" applyAlignment="0" applyProtection="0"/>
    <xf numFmtId="9" fontId="2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2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0" borderId="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43" fontId="2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44" fontId="29"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0" borderId="0"/>
    <xf numFmtId="44" fontId="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10" fillId="0" borderId="0"/>
    <xf numFmtId="43"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10" fillId="0" borderId="0" applyFont="0" applyFill="0" applyBorder="0" applyAlignment="0" applyProtection="0"/>
    <xf numFmtId="0" fontId="29" fillId="0" borderId="0"/>
    <xf numFmtId="0" fontId="3" fillId="32" borderId="0" applyNumberFormat="0" applyBorder="0" applyAlignment="0" applyProtection="0"/>
    <xf numFmtId="0" fontId="3" fillId="33" borderId="0" applyNumberFormat="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9" fontId="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10" fillId="0" borderId="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2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40" fillId="0" borderId="0"/>
    <xf numFmtId="44" fontId="9" fillId="0" borderId="0" applyFont="0" applyFill="0" applyBorder="0" applyAlignment="0" applyProtection="0"/>
    <xf numFmtId="0" fontId="3" fillId="3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23"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23" fillId="0" borderId="0"/>
    <xf numFmtId="3" fontId="23"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3" fillId="21" borderId="0" applyNumberFormat="0" applyBorder="0" applyAlignment="0" applyProtection="0"/>
    <xf numFmtId="44" fontId="3"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2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7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2"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2"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2"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2"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2"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2"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2"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2" fillId="52" borderId="0" applyNumberFormat="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2" fillId="0" borderId="0" applyFont="0" applyFill="0" applyBorder="0" applyAlignment="0" applyProtection="0"/>
    <xf numFmtId="43" fontId="90"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alignment vertical="top"/>
    </xf>
    <xf numFmtId="43" fontId="72" fillId="0" borderId="0" applyFont="0" applyFill="0" applyBorder="0" applyAlignment="0" applyProtection="0">
      <alignment vertical="top"/>
    </xf>
    <xf numFmtId="43" fontId="72"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7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179" fontId="93"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171" fontId="9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3" fontId="96" fillId="0" borderId="0" applyFont="0" applyFill="0" applyBorder="0" applyAlignment="0" applyProtection="0"/>
    <xf numFmtId="174" fontId="23" fillId="0" borderId="0"/>
    <xf numFmtId="174"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23" fillId="0" borderId="0"/>
    <xf numFmtId="174"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9"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0" borderId="0"/>
    <xf numFmtId="0" fontId="9" fillId="0" borderId="0"/>
    <xf numFmtId="174"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74" fontId="23" fillId="0" borderId="0"/>
    <xf numFmtId="174" fontId="23" fillId="0" borderId="0"/>
    <xf numFmtId="0" fontId="9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3" fillId="0" borderId="0"/>
    <xf numFmtId="174" fontId="23" fillId="0" borderId="0"/>
    <xf numFmtId="174" fontId="23" fillId="0" borderId="0"/>
    <xf numFmtId="174" fontId="23" fillId="0" borderId="0"/>
    <xf numFmtId="174" fontId="23"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2" fillId="0" borderId="0" applyFont="0" applyFill="0" applyBorder="0" applyAlignment="0" applyProtection="0"/>
    <xf numFmtId="9" fontId="90" fillId="0" borderId="0" applyFont="0" applyFill="0" applyBorder="0" applyAlignment="0" applyProtection="0"/>
    <xf numFmtId="9" fontId="72" fillId="0" borderId="0" applyFont="0" applyFill="0" applyBorder="0" applyAlignment="0" applyProtection="0"/>
    <xf numFmtId="9" fontId="9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3" fontId="23" fillId="0" borderId="0"/>
    <xf numFmtId="3" fontId="23" fillId="0" borderId="0"/>
    <xf numFmtId="3" fontId="23" fillId="0" borderId="0"/>
    <xf numFmtId="43" fontId="12"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135" fillId="0" borderId="0" applyFont="0" applyFill="0" applyBorder="0" applyAlignment="0" applyProtection="0"/>
    <xf numFmtId="43" fontId="135" fillId="0" borderId="0" applyFont="0" applyFill="0" applyBorder="0" applyAlignment="0" applyProtection="0"/>
    <xf numFmtId="43" fontId="3" fillId="0" borderId="0" applyFont="0" applyFill="0" applyBorder="0" applyAlignment="0" applyProtection="0"/>
    <xf numFmtId="3" fontId="46"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1" fontId="46" fillId="0" borderId="0" applyFont="0" applyFill="0" applyBorder="0" applyAlignment="0" applyProtection="0"/>
    <xf numFmtId="2" fontId="46" fillId="0" borderId="0" applyFont="0" applyFill="0" applyBorder="0" applyAlignment="0" applyProtection="0"/>
    <xf numFmtId="0" fontId="46" fillId="0" borderId="0"/>
    <xf numFmtId="0" fontId="23" fillId="0" borderId="0"/>
    <xf numFmtId="0" fontId="3" fillId="0" borderId="0"/>
    <xf numFmtId="10" fontId="46"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3" fillId="36" borderId="0" applyNumberFormat="0" applyBorder="0" applyAlignment="0" applyProtection="0"/>
    <xf numFmtId="0" fontId="3" fillId="36" borderId="0" applyNumberFormat="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17" borderId="0" applyNumberFormat="0" applyBorder="0" applyAlignment="0" applyProtection="0"/>
    <xf numFmtId="0" fontId="3" fillId="14" borderId="35" applyNumberFormat="0" applyFont="0" applyAlignment="0" applyProtection="0"/>
    <xf numFmtId="0" fontId="3" fillId="32" borderId="0" applyNumberFormat="0" applyBorder="0" applyAlignment="0" applyProtection="0"/>
    <xf numFmtId="0" fontId="3" fillId="0" borderId="0"/>
    <xf numFmtId="0" fontId="3" fillId="16"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21" borderId="0" applyNumberFormat="0" applyBorder="0" applyAlignment="0" applyProtection="0"/>
    <xf numFmtId="0" fontId="3" fillId="0" borderId="0"/>
    <xf numFmtId="0" fontId="3" fillId="0" borderId="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4" borderId="35" applyNumberFormat="0" applyFont="0" applyAlignment="0" applyProtection="0"/>
    <xf numFmtId="0" fontId="3" fillId="29" borderId="0" applyNumberFormat="0" applyBorder="0" applyAlignment="0" applyProtection="0"/>
    <xf numFmtId="43" fontId="3" fillId="0" borderId="0" applyFont="0" applyFill="0" applyBorder="0" applyAlignment="0" applyProtection="0"/>
    <xf numFmtId="0" fontId="3" fillId="37"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0" fontId="3"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1"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5" borderId="0" applyNumberFormat="0" applyBorder="0" applyAlignment="0" applyProtection="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5" borderId="0" applyNumberFormat="0" applyBorder="0" applyAlignment="0" applyProtection="0"/>
    <xf numFmtId="0" fontId="3" fillId="2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7" borderId="0" applyNumberFormat="0" applyBorder="0" applyAlignment="0" applyProtection="0"/>
    <xf numFmtId="0" fontId="3" fillId="14" borderId="35" applyNumberFormat="0" applyFont="0" applyAlignment="0" applyProtection="0"/>
    <xf numFmtId="43" fontId="3" fillId="0" borderId="0" applyFont="0" applyFill="0" applyBorder="0" applyAlignment="0" applyProtection="0"/>
    <xf numFmtId="0" fontId="3" fillId="14" borderId="35" applyNumberFormat="0" applyFont="0" applyAlignment="0" applyProtection="0"/>
    <xf numFmtId="0" fontId="3" fillId="24"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0" borderId="0"/>
    <xf numFmtId="0" fontId="3" fillId="29"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6"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43" fontId="3" fillId="0" borderId="0" applyFont="0" applyFill="0" applyBorder="0" applyAlignment="0" applyProtection="0"/>
    <xf numFmtId="0" fontId="3" fillId="21"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0" borderId="0"/>
    <xf numFmtId="0" fontId="3" fillId="36" borderId="0" applyNumberFormat="0" applyBorder="0" applyAlignment="0" applyProtection="0"/>
    <xf numFmtId="0" fontId="3" fillId="20"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4" borderId="35" applyNumberFormat="0" applyFont="0" applyAlignment="0" applyProtection="0"/>
    <xf numFmtId="43" fontId="3" fillId="0" borderId="0" applyFont="0" applyFill="0" applyBorder="0" applyAlignment="0" applyProtection="0"/>
    <xf numFmtId="0" fontId="3" fillId="32"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14" borderId="35" applyNumberFormat="0" applyFont="0" applyAlignment="0" applyProtection="0"/>
    <xf numFmtId="0" fontId="3" fillId="25" borderId="0" applyNumberFormat="0" applyBorder="0" applyAlignment="0" applyProtection="0"/>
    <xf numFmtId="0" fontId="3" fillId="37"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5"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14" borderId="35" applyNumberFormat="0" applyFont="0" applyAlignment="0" applyProtection="0"/>
    <xf numFmtId="0" fontId="3" fillId="0" borderId="0"/>
    <xf numFmtId="0" fontId="3" fillId="36" borderId="0" applyNumberFormat="0" applyBorder="0" applyAlignment="0" applyProtection="0"/>
    <xf numFmtId="0" fontId="3" fillId="16" borderId="0" applyNumberFormat="0" applyBorder="0" applyAlignment="0" applyProtection="0"/>
    <xf numFmtId="0" fontId="3"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37" borderId="0" applyNumberFormat="0" applyBorder="0" applyAlignment="0" applyProtection="0"/>
    <xf numFmtId="43" fontId="3" fillId="0" borderId="0" applyFont="0" applyFill="0" applyBorder="0" applyAlignment="0" applyProtection="0"/>
    <xf numFmtId="0" fontId="3" fillId="16" borderId="0" applyNumberFormat="0" applyBorder="0" applyAlignment="0" applyProtection="0"/>
    <xf numFmtId="0" fontId="3" fillId="21"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17" borderId="0" applyNumberFormat="0" applyBorder="0" applyAlignment="0" applyProtection="0"/>
    <xf numFmtId="0" fontId="3" fillId="0" borderId="0"/>
    <xf numFmtId="0"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6"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43" fontId="3" fillId="0" borderId="0" applyFont="0" applyFill="0" applyBorder="0" applyAlignment="0" applyProtection="0"/>
    <xf numFmtId="0" fontId="3" fillId="0" borderId="0"/>
    <xf numFmtId="0" fontId="3" fillId="21" borderId="0" applyNumberFormat="0" applyBorder="0" applyAlignment="0" applyProtection="0"/>
    <xf numFmtId="0" fontId="3" fillId="37"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4" borderId="0" applyNumberFormat="0" applyBorder="0" applyAlignment="0" applyProtection="0"/>
    <xf numFmtId="0" fontId="3" fillId="33" borderId="0" applyNumberFormat="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0" borderId="0"/>
    <xf numFmtId="0" fontId="3" fillId="33"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14" borderId="35" applyNumberFormat="0" applyFont="0" applyAlignment="0" applyProtection="0"/>
    <xf numFmtId="0" fontId="3" fillId="32" borderId="0" applyNumberFormat="0" applyBorder="0" applyAlignment="0" applyProtection="0"/>
    <xf numFmtId="0" fontId="3" fillId="21"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0" borderId="0"/>
    <xf numFmtId="0" fontId="3" fillId="37"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8" borderId="0" applyNumberFormat="0" applyBorder="0" applyAlignment="0" applyProtection="0"/>
    <xf numFmtId="43" fontId="3" fillId="0" borderId="0" applyFont="0" applyFill="0" applyBorder="0" applyAlignment="0" applyProtection="0"/>
    <xf numFmtId="0" fontId="3" fillId="1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3" fillId="0" borderId="0" applyFont="0" applyFill="0" applyBorder="0" applyAlignment="0" applyProtection="0"/>
    <xf numFmtId="0" fontId="9" fillId="0" borderId="0"/>
    <xf numFmtId="0" fontId="9" fillId="0" borderId="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0" fontId="142" fillId="0" borderId="0" applyNumberFormat="0" applyFill="0" applyBorder="0" applyAlignment="0" applyProtection="0">
      <alignment vertical="top"/>
      <protection locked="0"/>
    </xf>
    <xf numFmtId="0" fontId="138" fillId="0" borderId="0"/>
    <xf numFmtId="0" fontId="9" fillId="0" borderId="0"/>
    <xf numFmtId="0" fontId="3" fillId="0" borderId="0"/>
    <xf numFmtId="0" fontId="3"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38"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3" fillId="0" borderId="0"/>
    <xf numFmtId="0" fontId="3" fillId="0" borderId="0"/>
    <xf numFmtId="0" fontId="9" fillId="0" borderId="0"/>
    <xf numFmtId="0" fontId="9" fillId="0" borderId="0"/>
    <xf numFmtId="43" fontId="93" fillId="0" borderId="0" applyFont="0" applyFill="0" applyBorder="0" applyAlignment="0" applyProtection="0"/>
    <xf numFmtId="0" fontId="9"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72" fillId="0" borderId="0"/>
    <xf numFmtId="0" fontId="72" fillId="0" borderId="0"/>
    <xf numFmtId="0" fontId="9" fillId="0" borderId="0"/>
    <xf numFmtId="0" fontId="9" fillId="0" borderId="0"/>
    <xf numFmtId="0" fontId="72" fillId="0" borderId="0"/>
    <xf numFmtId="0" fontId="9" fillId="0" borderId="0"/>
    <xf numFmtId="0" fontId="141" fillId="0" borderId="0"/>
    <xf numFmtId="0" fontId="141" fillId="0" borderId="0"/>
    <xf numFmtId="0" fontId="141"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38"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9"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13" fontId="136" fillId="40" borderId="0" applyBorder="0">
      <alignment horizontal="right"/>
    </xf>
    <xf numFmtId="0" fontId="143" fillId="72" borderId="0" applyBorder="0"/>
    <xf numFmtId="9" fontId="141"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38"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4" fontId="72" fillId="0" borderId="0" applyFont="0" applyFill="0" applyBorder="0" applyAlignment="0" applyProtection="0"/>
    <xf numFmtId="0" fontId="2" fillId="0" borderId="0"/>
    <xf numFmtId="0" fontId="23" fillId="0" borderId="0"/>
    <xf numFmtId="0" fontId="2" fillId="0" borderId="0"/>
    <xf numFmtId="0" fontId="2" fillId="0" borderId="0"/>
    <xf numFmtId="0" fontId="2" fillId="0" borderId="0"/>
    <xf numFmtId="0" fontId="32" fillId="0" borderId="0"/>
    <xf numFmtId="0" fontId="2" fillId="0" borderId="0"/>
    <xf numFmtId="0" fontId="32" fillId="0" borderId="0"/>
    <xf numFmtId="0" fontId="32" fillId="0" borderId="0"/>
    <xf numFmtId="0" fontId="2" fillId="0" borderId="0"/>
    <xf numFmtId="43" fontId="2" fillId="0" borderId="0" applyFont="0" applyFill="0" applyBorder="0" applyAlignment="0" applyProtection="0"/>
  </cellStyleXfs>
  <cellXfs count="541">
    <xf numFmtId="0" fontId="0" fillId="0" borderId="0" xfId="0"/>
    <xf numFmtId="0" fontId="11" fillId="0" borderId="0" xfId="0" applyFont="1"/>
    <xf numFmtId="0" fontId="15" fillId="0" borderId="0" xfId="2" applyNumberFormat="1" applyFont="1" applyAlignment="1">
      <alignment horizontal="left"/>
    </xf>
    <xf numFmtId="0" fontId="15" fillId="0" borderId="0" xfId="2" applyFont="1"/>
    <xf numFmtId="3" fontId="16" fillId="0" borderId="0" xfId="2" applyNumberFormat="1" applyFont="1"/>
    <xf numFmtId="0" fontId="16" fillId="0" borderId="0" xfId="2" applyNumberFormat="1" applyFont="1" applyAlignment="1">
      <alignment horizontal="center"/>
    </xf>
    <xf numFmtId="0" fontId="16" fillId="0" borderId="0" xfId="2" applyFont="1" applyAlignment="1">
      <alignment horizontal="center"/>
    </xf>
    <xf numFmtId="3" fontId="16" fillId="0" borderId="0" xfId="2" applyNumberFormat="1" applyFont="1" applyAlignment="1">
      <alignment horizontal="center"/>
    </xf>
    <xf numFmtId="0" fontId="16" fillId="0" borderId="1" xfId="2" applyNumberFormat="1" applyFont="1" applyBorder="1" applyAlignment="1">
      <alignment horizontal="center"/>
    </xf>
    <xf numFmtId="0" fontId="16" fillId="0" borderId="2" xfId="2" applyFont="1" applyBorder="1" applyAlignment="1">
      <alignment horizontal="center"/>
    </xf>
    <xf numFmtId="0" fontId="16" fillId="0" borderId="3" xfId="2" applyFont="1" applyBorder="1" applyAlignment="1">
      <alignment horizontal="center"/>
    </xf>
    <xf numFmtId="0" fontId="15" fillId="0" borderId="4" xfId="2" applyFont="1" applyBorder="1"/>
    <xf numFmtId="0" fontId="16" fillId="0" borderId="5" xfId="2" applyNumberFormat="1" applyFont="1" applyBorder="1" applyAlignment="1">
      <alignment horizontal="center"/>
    </xf>
    <xf numFmtId="0" fontId="16" fillId="0" borderId="6" xfId="2" applyFont="1" applyBorder="1" applyAlignment="1">
      <alignment horizontal="center"/>
    </xf>
    <xf numFmtId="0" fontId="16" fillId="0" borderId="0" xfId="2" applyFont="1" applyBorder="1" applyAlignment="1">
      <alignment horizontal="center"/>
    </xf>
    <xf numFmtId="0" fontId="15" fillId="0" borderId="7" xfId="2" applyFont="1" applyBorder="1"/>
    <xf numFmtId="3" fontId="16" fillId="0" borderId="5" xfId="2" applyNumberFormat="1" applyFont="1" applyBorder="1" applyAlignment="1">
      <alignment horizontal="center"/>
    </xf>
    <xf numFmtId="0" fontId="16" fillId="0" borderId="8" xfId="2" applyNumberFormat="1" applyFont="1" applyBorder="1" applyAlignment="1">
      <alignment horizontal="center"/>
    </xf>
    <xf numFmtId="0" fontId="16" fillId="0" borderId="9" xfId="2" applyFont="1" applyBorder="1" applyAlignment="1">
      <alignment horizontal="center"/>
    </xf>
    <xf numFmtId="0" fontId="16" fillId="0" borderId="10" xfId="2" applyFont="1" applyBorder="1" applyAlignment="1">
      <alignment horizontal="center"/>
    </xf>
    <xf numFmtId="0" fontId="16" fillId="0" borderId="11" xfId="2" applyFont="1" applyBorder="1" applyAlignment="1">
      <alignment horizontal="center"/>
    </xf>
    <xf numFmtId="3" fontId="16" fillId="0" borderId="8" xfId="2" applyNumberFormat="1" applyFont="1" applyBorder="1" applyAlignment="1">
      <alignment horizontal="center"/>
    </xf>
    <xf numFmtId="0" fontId="15" fillId="0" borderId="0" xfId="2" applyNumberFormat="1" applyFont="1" applyAlignment="1">
      <alignment horizontal="center"/>
    </xf>
    <xf numFmtId="5" fontId="15" fillId="0" borderId="0" xfId="2" applyNumberFormat="1" applyFont="1"/>
    <xf numFmtId="37" fontId="15" fillId="0" borderId="0" xfId="2" applyNumberFormat="1" applyFont="1"/>
    <xf numFmtId="0" fontId="15" fillId="0" borderId="0" xfId="2" applyNumberFormat="1" applyFont="1" applyBorder="1" applyAlignment="1">
      <alignment horizontal="center"/>
    </xf>
    <xf numFmtId="37" fontId="15" fillId="0" borderId="0" xfId="2" applyNumberFormat="1" applyFont="1" applyBorder="1"/>
    <xf numFmtId="0" fontId="15" fillId="0" borderId="0" xfId="2" applyFont="1" applyBorder="1"/>
    <xf numFmtId="0" fontId="15" fillId="0" borderId="0" xfId="2" applyFont="1" applyFill="1"/>
    <xf numFmtId="3" fontId="16" fillId="0" borderId="0" xfId="2" applyNumberFormat="1" applyFont="1" applyFill="1"/>
    <xf numFmtId="0" fontId="15" fillId="0" borderId="0" xfId="2" applyNumberFormat="1" applyFont="1" applyFill="1" applyAlignment="1">
      <alignment horizontal="center"/>
    </xf>
    <xf numFmtId="0" fontId="15" fillId="0" borderId="0" xfId="1" applyFont="1" applyFill="1" applyAlignment="1">
      <alignment horizontal="right"/>
    </xf>
    <xf numFmtId="41" fontId="16" fillId="0" borderId="0" xfId="2" applyNumberFormat="1" applyFont="1"/>
    <xf numFmtId="41" fontId="16" fillId="0" borderId="10" xfId="2" applyNumberFormat="1" applyFont="1" applyBorder="1"/>
    <xf numFmtId="41" fontId="16" fillId="0" borderId="13" xfId="2" applyNumberFormat="1" applyFont="1" applyBorder="1"/>
    <xf numFmtId="41" fontId="16" fillId="0" borderId="0" xfId="2" applyNumberFormat="1" applyFont="1" applyBorder="1"/>
    <xf numFmtId="42" fontId="16" fillId="0" borderId="0" xfId="2" applyNumberFormat="1" applyFont="1"/>
    <xf numFmtId="5" fontId="16" fillId="0" borderId="0" xfId="2" applyNumberFormat="1" applyFont="1"/>
    <xf numFmtId="42" fontId="16" fillId="0" borderId="12" xfId="2" applyNumberFormat="1" applyFont="1" applyBorder="1"/>
    <xf numFmtId="1" fontId="16" fillId="0" borderId="1" xfId="2" applyNumberFormat="1" applyFont="1" applyBorder="1" applyAlignment="1">
      <alignment horizontal="center"/>
    </xf>
    <xf numFmtId="0" fontId="9" fillId="0" borderId="0" xfId="0" applyFont="1" applyAlignment="1">
      <alignment horizontal="center"/>
    </xf>
    <xf numFmtId="0" fontId="0" fillId="0" borderId="0" xfId="0" applyAlignment="1">
      <alignment horizontal="centerContinuous"/>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8" fillId="0" borderId="6" xfId="0" quotePrefix="1" applyFont="1" applyBorder="1" applyAlignment="1">
      <alignment horizontal="centerContinuous"/>
    </xf>
    <xf numFmtId="0" fontId="0" fillId="0" borderId="6" xfId="0" applyBorder="1" applyAlignment="1">
      <alignment horizontal="center"/>
    </xf>
    <xf numFmtId="0" fontId="9" fillId="0" borderId="6" xfId="0" applyFont="1" applyBorder="1" applyAlignment="1">
      <alignment horizontal="center"/>
    </xf>
    <xf numFmtId="0" fontId="18"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9" fillId="0" borderId="7" xfId="0" applyFont="1" applyBorder="1" applyAlignment="1">
      <alignment horizontal="center"/>
    </xf>
    <xf numFmtId="0" fontId="18"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6" fillId="0" borderId="10" xfId="2" applyNumberFormat="1" applyFont="1" applyBorder="1"/>
    <xf numFmtId="3" fontId="16" fillId="0" borderId="16" xfId="2" applyNumberFormat="1" applyFont="1" applyFill="1" applyBorder="1"/>
    <xf numFmtId="3" fontId="16" fillId="0" borderId="16" xfId="2" applyNumberFormat="1" applyFont="1" applyBorder="1"/>
    <xf numFmtId="0" fontId="18" fillId="0" borderId="6" xfId="0" applyFont="1" applyBorder="1" applyAlignment="1">
      <alignment horizontal="centerContinuous"/>
    </xf>
    <xf numFmtId="0" fontId="16" fillId="0" borderId="0" xfId="2" applyFont="1" applyFill="1"/>
    <xf numFmtId="0" fontId="16" fillId="0" borderId="0" xfId="2" applyFont="1"/>
    <xf numFmtId="0" fontId="19" fillId="0" borderId="0" xfId="0" applyFont="1"/>
    <xf numFmtId="0" fontId="9" fillId="0" borderId="0" xfId="0" applyFont="1"/>
    <xf numFmtId="10" fontId="0" fillId="0" borderId="0" xfId="0" applyNumberFormat="1"/>
    <xf numFmtId="0" fontId="20" fillId="0" borderId="10" xfId="0" applyFont="1" applyBorder="1"/>
    <xf numFmtId="0" fontId="15" fillId="0" borderId="10" xfId="2" applyFont="1" applyBorder="1"/>
    <xf numFmtId="0" fontId="21" fillId="0" borderId="0" xfId="2" applyNumberFormat="1" applyFont="1" applyAlignment="1">
      <alignment horizontal="center"/>
    </xf>
    <xf numFmtId="3" fontId="15" fillId="0" borderId="0" xfId="2" applyNumberFormat="1" applyFont="1" applyFill="1"/>
    <xf numFmtId="10" fontId="15" fillId="0" borderId="0" xfId="2" applyNumberFormat="1" applyFont="1"/>
    <xf numFmtId="0" fontId="0" fillId="0" borderId="10" xfId="0" applyBorder="1"/>
    <xf numFmtId="3" fontId="16" fillId="0" borderId="0" xfId="2" applyNumberFormat="1" applyFont="1" applyBorder="1"/>
    <xf numFmtId="10" fontId="0" fillId="0" borderId="0" xfId="0" applyNumberFormat="1" applyFill="1"/>
    <xf numFmtId="0" fontId="23" fillId="0" borderId="0" xfId="15"/>
    <xf numFmtId="0" fontId="23" fillId="0" borderId="10" xfId="15" applyBorder="1" applyAlignment="1">
      <alignment horizontal="center"/>
    </xf>
    <xf numFmtId="165" fontId="0" fillId="0" borderId="0" xfId="0" applyNumberFormat="1"/>
    <xf numFmtId="165" fontId="0" fillId="0" borderId="0" xfId="14" applyNumberFormat="1" applyFont="1"/>
    <xf numFmtId="165" fontId="9" fillId="0" borderId="0" xfId="14" applyNumberFormat="1" applyFont="1"/>
    <xf numFmtId="3" fontId="11" fillId="0" borderId="0" xfId="0" applyNumberFormat="1" applyFont="1" applyFill="1" applyAlignment="1">
      <alignment horizontal="center"/>
    </xf>
    <xf numFmtId="3" fontId="11" fillId="0" borderId="0" xfId="0" applyNumberFormat="1" applyFont="1" applyFill="1"/>
    <xf numFmtId="5" fontId="11" fillId="0" borderId="0" xfId="0" applyNumberFormat="1" applyFont="1" applyFill="1" applyBorder="1"/>
    <xf numFmtId="0" fontId="24" fillId="0" borderId="0" xfId="0" applyFont="1"/>
    <xf numFmtId="0" fontId="9" fillId="0" borderId="0" xfId="0" applyFont="1" applyAlignment="1">
      <alignment horizontal="right"/>
    </xf>
    <xf numFmtId="165" fontId="9" fillId="0" borderId="0" xfId="14" applyNumberFormat="1" applyFont="1" applyBorder="1"/>
    <xf numFmtId="165" fontId="0" fillId="0" borderId="3" xfId="14" applyNumberFormat="1" applyFont="1" applyBorder="1"/>
    <xf numFmtId="165" fontId="0" fillId="0" borderId="3" xfId="0" applyNumberFormat="1" applyBorder="1"/>
    <xf numFmtId="42" fontId="11" fillId="0" borderId="0" xfId="0" applyNumberFormat="1" applyFont="1" applyFill="1" applyBorder="1"/>
    <xf numFmtId="0" fontId="0" fillId="0" borderId="0" xfId="0" applyBorder="1"/>
    <xf numFmtId="0" fontId="0" fillId="0" borderId="0" xfId="0" applyBorder="1" applyAlignment="1">
      <alignment horizontal="centerContinuous"/>
    </xf>
    <xf numFmtId="0" fontId="9" fillId="0" borderId="0" xfId="0" applyFont="1" applyBorder="1" applyAlignment="1">
      <alignment horizontal="center"/>
    </xf>
    <xf numFmtId="0" fontId="18"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8" fillId="0" borderId="0" xfId="0" applyFont="1" applyBorder="1" applyAlignment="1">
      <alignment horizontal="centerContinuous"/>
    </xf>
    <xf numFmtId="0" fontId="0" fillId="0" borderId="0" xfId="0" applyBorder="1" applyAlignment="1">
      <alignment horizontal="center"/>
    </xf>
    <xf numFmtId="0" fontId="18" fillId="0" borderId="0" xfId="0" quotePrefix="1" applyFont="1" applyBorder="1" applyAlignment="1">
      <alignment horizontal="centerContinuous"/>
    </xf>
    <xf numFmtId="41" fontId="0" fillId="0" borderId="0" xfId="0" applyNumberFormat="1"/>
    <xf numFmtId="10" fontId="15" fillId="0" borderId="0" xfId="16" applyNumberFormat="1" applyFont="1"/>
    <xf numFmtId="10" fontId="0" fillId="0" borderId="0" xfId="0" applyNumberFormat="1" applyFill="1" applyBorder="1"/>
    <xf numFmtId="0" fontId="0" fillId="0" borderId="0" xfId="0" applyFill="1"/>
    <xf numFmtId="0" fontId="0" fillId="0" borderId="0" xfId="0" applyFill="1" applyAlignment="1">
      <alignment horizontal="center"/>
    </xf>
    <xf numFmtId="10" fontId="0" fillId="0" borderId="0" xfId="0" applyNumberFormat="1" applyBorder="1"/>
    <xf numFmtId="10" fontId="15" fillId="0" borderId="0" xfId="2" applyNumberFormat="1" applyFont="1" applyBorder="1"/>
    <xf numFmtId="164" fontId="0" fillId="0" borderId="0" xfId="0" applyNumberFormat="1" applyFill="1"/>
    <xf numFmtId="10" fontId="15" fillId="0" borderId="0" xfId="16" applyNumberFormat="1" applyFont="1" applyBorder="1"/>
    <xf numFmtId="0" fontId="16" fillId="0" borderId="0" xfId="2" applyNumberFormat="1" applyFont="1" applyFill="1" applyAlignment="1">
      <alignment horizontal="center"/>
    </xf>
    <xf numFmtId="0" fontId="0" fillId="0" borderId="0" xfId="0" applyFill="1" applyBorder="1"/>
    <xf numFmtId="0" fontId="8" fillId="0" borderId="0" xfId="17"/>
    <xf numFmtId="0" fontId="20" fillId="0" borderId="0" xfId="0" applyFont="1" applyAlignment="1">
      <alignment horizontal="centerContinuous"/>
    </xf>
    <xf numFmtId="0" fontId="28" fillId="0" borderId="0" xfId="0" applyFont="1" applyAlignment="1">
      <alignment horizontal="centerContinuous"/>
    </xf>
    <xf numFmtId="0" fontId="20" fillId="0" borderId="20" xfId="17" applyFont="1" applyFill="1" applyBorder="1" applyAlignment="1">
      <alignment horizontal="left"/>
    </xf>
    <xf numFmtId="0" fontId="20" fillId="0" borderId="21" xfId="17" applyFont="1" applyFill="1" applyBorder="1" applyAlignment="1">
      <alignment horizontal="center"/>
    </xf>
    <xf numFmtId="0" fontId="20" fillId="0" borderId="22" xfId="17" applyFont="1" applyFill="1" applyBorder="1" applyAlignment="1">
      <alignment horizontal="center"/>
    </xf>
    <xf numFmtId="0" fontId="29" fillId="0" borderId="0" xfId="0" applyFont="1"/>
    <xf numFmtId="0" fontId="30" fillId="0" borderId="0" xfId="0" applyFont="1"/>
    <xf numFmtId="37" fontId="29" fillId="0" borderId="23" xfId="1" applyNumberFormat="1" applyFont="1" applyFill="1" applyBorder="1"/>
    <xf numFmtId="37" fontId="29" fillId="0" borderId="0" xfId="1" applyNumberFormat="1" applyFont="1" applyFill="1" applyBorder="1"/>
    <xf numFmtId="0" fontId="20" fillId="0" borderId="0" xfId="17" applyFont="1" applyFill="1" applyBorder="1" applyAlignment="1">
      <alignment horizontal="center"/>
    </xf>
    <xf numFmtId="37" fontId="31" fillId="0" borderId="0" xfId="1" applyNumberFormat="1" applyFont="1" applyFill="1" applyBorder="1"/>
    <xf numFmtId="37" fontId="29" fillId="0" borderId="24" xfId="1" applyNumberFormat="1" applyFont="1" applyFill="1" applyBorder="1"/>
    <xf numFmtId="0" fontId="20" fillId="0" borderId="0" xfId="0" applyFont="1" applyAlignment="1">
      <alignment horizontal="center"/>
    </xf>
    <xf numFmtId="0" fontId="28" fillId="0" borderId="0" xfId="0" applyFont="1" applyBorder="1" applyAlignment="1">
      <alignment horizontal="center"/>
    </xf>
    <xf numFmtId="0" fontId="29" fillId="0" borderId="0" xfId="17"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28" fillId="0" borderId="10" xfId="0" applyFont="1" applyBorder="1" applyAlignment="1">
      <alignment horizontal="center"/>
    </xf>
    <xf numFmtId="0" fontId="20" fillId="0" borderId="10" xfId="17" applyFont="1" applyFill="1" applyBorder="1" applyAlignment="1">
      <alignment horizontal="center"/>
    </xf>
    <xf numFmtId="0" fontId="29" fillId="0" borderId="24" xfId="17" applyFont="1" applyFill="1" applyBorder="1"/>
    <xf numFmtId="0" fontId="29" fillId="0" borderId="0" xfId="0" applyFont="1" applyAlignment="1">
      <alignment horizontal="center"/>
    </xf>
    <xf numFmtId="0" fontId="20" fillId="0" borderId="0" xfId="0" applyFont="1"/>
    <xf numFmtId="167" fontId="30" fillId="0" borderId="0" xfId="0" applyNumberFormat="1" applyFont="1"/>
    <xf numFmtId="5" fontId="29" fillId="0" borderId="0" xfId="17" applyNumberFormat="1" applyFont="1" applyFill="1" applyBorder="1"/>
    <xf numFmtId="10" fontId="29" fillId="0" borderId="0" xfId="18" applyNumberFormat="1" applyFont="1" applyFill="1" applyBorder="1"/>
    <xf numFmtId="10" fontId="31" fillId="0" borderId="0" xfId="18" applyNumberFormat="1" applyFont="1" applyFill="1" applyBorder="1"/>
    <xf numFmtId="37" fontId="20" fillId="0" borderId="24" xfId="1" applyNumberFormat="1" applyFont="1" applyFill="1" applyBorder="1" applyAlignment="1">
      <alignment horizontal="center"/>
    </xf>
    <xf numFmtId="165" fontId="29" fillId="0" borderId="0" xfId="19" applyNumberFormat="1" applyFont="1" applyFill="1" applyBorder="1"/>
    <xf numFmtId="10" fontId="20" fillId="0" borderId="24" xfId="18" applyNumberFormat="1" applyFont="1" applyFill="1" applyBorder="1" applyAlignment="1">
      <alignment horizontal="center"/>
    </xf>
    <xf numFmtId="167" fontId="20" fillId="0" borderId="0" xfId="0" applyNumberFormat="1" applyFont="1"/>
    <xf numFmtId="167" fontId="29" fillId="0" borderId="0" xfId="0" applyNumberFormat="1" applyFont="1"/>
    <xf numFmtId="168" fontId="29" fillId="0" borderId="0" xfId="18" applyNumberFormat="1" applyFont="1" applyFill="1" applyBorder="1"/>
    <xf numFmtId="168" fontId="31" fillId="0" borderId="0" xfId="18" applyNumberFormat="1" applyFont="1" applyFill="1" applyBorder="1"/>
    <xf numFmtId="10" fontId="29" fillId="0" borderId="16" xfId="18" applyNumberFormat="1" applyFont="1" applyFill="1" applyBorder="1"/>
    <xf numFmtId="37" fontId="29" fillId="0" borderId="25" xfId="1" applyNumberFormat="1" applyFont="1" applyFill="1" applyBorder="1"/>
    <xf numFmtId="0" fontId="29" fillId="0" borderId="26" xfId="17" applyFont="1" applyFill="1" applyBorder="1"/>
    <xf numFmtId="165" fontId="29" fillId="0" borderId="26" xfId="19" applyNumberFormat="1" applyFont="1" applyFill="1" applyBorder="1"/>
    <xf numFmtId="10" fontId="29" fillId="0" borderId="26" xfId="18" applyNumberFormat="1" applyFont="1" applyFill="1" applyBorder="1"/>
    <xf numFmtId="10" fontId="31" fillId="0" borderId="26" xfId="18" applyNumberFormat="1" applyFont="1" applyFill="1" applyBorder="1"/>
    <xf numFmtId="37" fontId="29" fillId="0" borderId="27" xfId="1" applyNumberFormat="1" applyFont="1" applyFill="1" applyBorder="1"/>
    <xf numFmtId="167" fontId="30" fillId="0" borderId="13" xfId="0" applyNumberFormat="1" applyFont="1" applyBorder="1"/>
    <xf numFmtId="167" fontId="30" fillId="0" borderId="0" xfId="0" applyNumberFormat="1" applyFont="1" applyBorder="1"/>
    <xf numFmtId="10" fontId="33" fillId="0" borderId="0" xfId="0" applyNumberFormat="1" applyFont="1"/>
    <xf numFmtId="167" fontId="30" fillId="0" borderId="10" xfId="0" applyNumberFormat="1" applyFont="1" applyBorder="1"/>
    <xf numFmtId="3" fontId="35" fillId="0" borderId="0" xfId="0" applyNumberFormat="1" applyFont="1" applyFill="1" applyBorder="1" applyAlignment="1"/>
    <xf numFmtId="42" fontId="16" fillId="0" borderId="0" xfId="2" applyNumberFormat="1" applyFont="1" applyBorder="1"/>
    <xf numFmtId="3" fontId="11" fillId="0" borderId="0" xfId="0" applyNumberFormat="1" applyFont="1" applyFill="1" applyAlignment="1">
      <alignment vertical="top"/>
    </xf>
    <xf numFmtId="10" fontId="35" fillId="0" borderId="0" xfId="13" applyNumberFormat="1" applyFont="1" applyFill="1" applyBorder="1" applyAlignment="1">
      <alignment horizontal="center"/>
    </xf>
    <xf numFmtId="0" fontId="15" fillId="0" borderId="0" xfId="2" applyFont="1" applyFill="1" applyAlignment="1">
      <alignment horizontal="right"/>
    </xf>
    <xf numFmtId="3" fontId="15" fillId="0" borderId="3" xfId="2" applyNumberFormat="1" applyFont="1" applyFill="1" applyBorder="1"/>
    <xf numFmtId="3" fontId="15" fillId="0" borderId="10" xfId="2" applyNumberFormat="1" applyFont="1" applyFill="1" applyBorder="1"/>
    <xf numFmtId="10" fontId="29" fillId="0" borderId="0" xfId="13" applyNumberFormat="1" applyFont="1" applyBorder="1"/>
    <xf numFmtId="168" fontId="29" fillId="0" borderId="0" xfId="13" applyNumberFormat="1" applyFont="1" applyBorder="1"/>
    <xf numFmtId="0" fontId="29" fillId="0" borderId="0" xfId="0" applyFont="1" applyBorder="1"/>
    <xf numFmtId="5" fontId="20" fillId="0" borderId="0" xfId="0" applyNumberFormat="1" applyFont="1" applyBorder="1"/>
    <xf numFmtId="5" fontId="29" fillId="0" borderId="0" xfId="0" applyNumberFormat="1" applyFont="1" applyBorder="1"/>
    <xf numFmtId="37" fontId="29" fillId="0" borderId="0" xfId="1" applyNumberFormat="1" applyFont="1"/>
    <xf numFmtId="10" fontId="20" fillId="0" borderId="0" xfId="13" applyNumberFormat="1" applyFont="1" applyBorder="1"/>
    <xf numFmtId="0" fontId="29" fillId="0" borderId="0" xfId="1" applyFont="1" applyBorder="1"/>
    <xf numFmtId="42" fontId="29" fillId="0" borderId="0" xfId="0" applyNumberFormat="1" applyFont="1" applyBorder="1"/>
    <xf numFmtId="0" fontId="41" fillId="0" borderId="0" xfId="2" applyNumberFormat="1" applyFont="1" applyAlignment="1">
      <alignment horizontal="left"/>
    </xf>
    <xf numFmtId="3" fontId="12" fillId="0" borderId="0" xfId="12" applyNumberFormat="1" applyFont="1" applyFill="1" applyAlignment="1">
      <alignment vertical="top" wrapText="1"/>
    </xf>
    <xf numFmtId="0" fontId="44" fillId="0" borderId="0" xfId="0" applyFont="1"/>
    <xf numFmtId="0" fontId="45" fillId="0" borderId="0" xfId="2" applyNumberFormat="1" applyFont="1" applyAlignment="1">
      <alignment horizontal="left"/>
    </xf>
    <xf numFmtId="0" fontId="15" fillId="0" borderId="0" xfId="2" applyNumberFormat="1" applyFont="1" applyFill="1" applyAlignment="1">
      <alignment horizontal="center" wrapText="1"/>
    </xf>
    <xf numFmtId="0" fontId="19" fillId="0" borderId="10" xfId="0" applyFont="1" applyBorder="1" applyAlignment="1">
      <alignment horizontal="center"/>
    </xf>
    <xf numFmtId="3" fontId="15" fillId="0" borderId="10" xfId="2" applyNumberFormat="1" applyFont="1" applyBorder="1"/>
    <xf numFmtId="3" fontId="15" fillId="0" borderId="3" xfId="2" applyNumberFormat="1" applyFont="1" applyBorder="1"/>
    <xf numFmtId="3" fontId="15" fillId="0" borderId="0" xfId="2" applyNumberFormat="1" applyFont="1"/>
    <xf numFmtId="0" fontId="15" fillId="0" borderId="0" xfId="2" applyFont="1" applyAlignment="1">
      <alignment horizontal="left"/>
    </xf>
    <xf numFmtId="3" fontId="11" fillId="0" borderId="0" xfId="0" applyNumberFormat="1" applyFont="1" applyFill="1" applyAlignment="1"/>
    <xf numFmtId="1" fontId="19" fillId="0" borderId="0" xfId="150" applyNumberFormat="1" applyFont="1" applyFill="1" applyBorder="1" applyAlignment="1">
      <alignment horizontal="center"/>
    </xf>
    <xf numFmtId="0" fontId="16" fillId="0" borderId="0" xfId="20" applyFont="1" applyFill="1"/>
    <xf numFmtId="0" fontId="16" fillId="0" borderId="0" xfId="2" applyFont="1" applyAlignment="1">
      <alignment horizontal="left"/>
    </xf>
    <xf numFmtId="10" fontId="9" fillId="0" borderId="0" xfId="0" applyNumberFormat="1" applyFont="1"/>
    <xf numFmtId="41" fontId="16" fillId="0" borderId="0" xfId="2" applyNumberFormat="1" applyFont="1" applyFill="1"/>
    <xf numFmtId="42" fontId="16" fillId="0" borderId="0" xfId="2" applyNumberFormat="1" applyFont="1" applyFill="1"/>
    <xf numFmtId="41" fontId="16" fillId="0" borderId="10" xfId="2" applyNumberFormat="1" applyFont="1" applyFill="1" applyBorder="1"/>
    <xf numFmtId="41" fontId="16" fillId="0" borderId="0" xfId="2" applyNumberFormat="1" applyFont="1" applyFill="1" applyBorder="1"/>
    <xf numFmtId="165" fontId="0" fillId="0" borderId="0" xfId="14" applyNumberFormat="1" applyFont="1" applyFill="1"/>
    <xf numFmtId="3" fontId="16" fillId="0" borderId="0" xfId="2" applyNumberFormat="1" applyFont="1" applyFill="1" applyBorder="1"/>
    <xf numFmtId="37" fontId="29" fillId="0" borderId="0" xfId="2" applyNumberFormat="1" applyFont="1"/>
    <xf numFmtId="3" fontId="16" fillId="0" borderId="0" xfId="20" applyNumberFormat="1" applyFont="1" applyBorder="1"/>
    <xf numFmtId="3" fontId="0" fillId="0" borderId="11" xfId="0" applyNumberFormat="1" applyFill="1" applyBorder="1"/>
    <xf numFmtId="3" fontId="0" fillId="0" borderId="7" xfId="0" applyNumberFormat="1" applyFill="1" applyBorder="1"/>
    <xf numFmtId="165" fontId="16" fillId="0" borderId="0" xfId="2" applyNumberFormat="1" applyFont="1"/>
    <xf numFmtId="0" fontId="15" fillId="0" borderId="0" xfId="2" applyFont="1" applyFill="1" applyBorder="1"/>
    <xf numFmtId="165" fontId="15" fillId="0" borderId="0" xfId="2" applyNumberFormat="1" applyFont="1" applyBorder="1"/>
    <xf numFmtId="212" fontId="29" fillId="0" borderId="0" xfId="0" applyNumberFormat="1" applyFont="1" applyBorder="1"/>
    <xf numFmtId="10" fontId="29" fillId="0" borderId="0" xfId="13" applyNumberFormat="1" applyFont="1" applyFill="1" applyBorder="1"/>
    <xf numFmtId="10" fontId="9" fillId="0" borderId="18" xfId="0" applyNumberFormat="1" applyFont="1" applyBorder="1"/>
    <xf numFmtId="10" fontId="23" fillId="0" borderId="17" xfId="2" applyNumberFormat="1" applyFont="1" applyFill="1" applyBorder="1"/>
    <xf numFmtId="10" fontId="144" fillId="0" borderId="18" xfId="2" applyNumberFormat="1" applyFont="1" applyFill="1" applyBorder="1"/>
    <xf numFmtId="10" fontId="23" fillId="0" borderId="18" xfId="2" applyNumberFormat="1" applyFont="1" applyFill="1" applyBorder="1"/>
    <xf numFmtId="10" fontId="23" fillId="0" borderId="18" xfId="2" applyNumberFormat="1" applyFont="1" applyBorder="1"/>
    <xf numFmtId="0" fontId="0" fillId="0" borderId="7" xfId="0" applyFill="1" applyBorder="1"/>
    <xf numFmtId="0" fontId="9" fillId="0" borderId="7" xfId="0" applyFont="1" applyFill="1" applyBorder="1" applyAlignment="1">
      <alignment horizontal="center"/>
    </xf>
    <xf numFmtId="0" fontId="18" fillId="0" borderId="7" xfId="0" applyFont="1" applyFill="1" applyBorder="1" applyAlignment="1">
      <alignment horizontal="center"/>
    </xf>
    <xf numFmtId="41" fontId="0" fillId="0" borderId="0" xfId="0" applyNumberFormat="1" applyFill="1"/>
    <xf numFmtId="0" fontId="23" fillId="0" borderId="10" xfId="15" applyFill="1" applyBorder="1" applyAlignment="1">
      <alignment horizontal="center"/>
    </xf>
    <xf numFmtId="165" fontId="0" fillId="0" borderId="0" xfId="0" applyNumberFormat="1" applyFill="1"/>
    <xf numFmtId="165" fontId="0" fillId="0" borderId="3" xfId="14" applyNumberFormat="1" applyFont="1" applyFill="1" applyBorder="1"/>
    <xf numFmtId="165" fontId="9" fillId="0" borderId="0" xfId="14" applyNumberFormat="1" applyFont="1" applyFill="1" applyBorder="1"/>
    <xf numFmtId="165" fontId="0" fillId="0" borderId="3" xfId="0" applyNumberFormat="1" applyFill="1" applyBorder="1"/>
    <xf numFmtId="41" fontId="16" fillId="0" borderId="13" xfId="2" applyNumberFormat="1" applyFont="1" applyFill="1" applyBorder="1"/>
    <xf numFmtId="42" fontId="16" fillId="0" borderId="12" xfId="2" applyNumberFormat="1" applyFont="1" applyFill="1" applyBorder="1"/>
    <xf numFmtId="0" fontId="16" fillId="74" borderId="0" xfId="2" applyFont="1" applyFill="1" applyAlignment="1">
      <alignment horizontal="center"/>
    </xf>
    <xf numFmtId="10" fontId="0" fillId="0" borderId="18" xfId="0" applyNumberFormat="1" applyBorder="1"/>
    <xf numFmtId="0" fontId="20" fillId="0" borderId="0" xfId="0" applyFont="1" applyAlignment="1">
      <alignment horizontal="center"/>
    </xf>
    <xf numFmtId="0" fontId="16" fillId="0" borderId="0" xfId="2" applyFont="1" applyFill="1" applyAlignment="1">
      <alignment horizontal="center"/>
    </xf>
    <xf numFmtId="10" fontId="23" fillId="73" borderId="18" xfId="2" applyNumberFormat="1" applyFont="1" applyFill="1" applyBorder="1"/>
    <xf numFmtId="10" fontId="23" fillId="73" borderId="19" xfId="2" applyNumberFormat="1" applyFont="1" applyFill="1" applyBorder="1"/>
    <xf numFmtId="10" fontId="0" fillId="0" borderId="17" xfId="0" applyNumberFormat="1" applyBorder="1"/>
    <xf numFmtId="10" fontId="0" fillId="0" borderId="19" xfId="0" applyNumberFormat="1" applyBorder="1"/>
    <xf numFmtId="165" fontId="0" fillId="0" borderId="0" xfId="96" applyNumberFormat="1" applyFont="1"/>
    <xf numFmtId="37" fontId="29" fillId="0" borderId="0" xfId="1" applyNumberFormat="1" applyFont="1" applyBorder="1"/>
    <xf numFmtId="169" fontId="29" fillId="0" borderId="0" xfId="0" applyNumberFormat="1" applyFont="1" applyBorder="1"/>
    <xf numFmtId="10" fontId="29" fillId="0" borderId="10" xfId="13" applyNumberFormat="1" applyFont="1" applyBorder="1"/>
    <xf numFmtId="0" fontId="145" fillId="0" borderId="0" xfId="0" applyFont="1" applyBorder="1" applyAlignment="1">
      <alignment horizontal="center"/>
    </xf>
    <xf numFmtId="5" fontId="0" fillId="0" borderId="0" xfId="0" applyNumberFormat="1" applyBorder="1"/>
    <xf numFmtId="0" fontId="29" fillId="0" borderId="0" xfId="0" applyFont="1" applyBorder="1" applyAlignment="1">
      <alignment horizontal="center"/>
    </xf>
    <xf numFmtId="5" fontId="145" fillId="0" borderId="0" xfId="0" applyNumberFormat="1" applyFont="1" applyFill="1" applyBorder="1" applyAlignment="1">
      <alignment horizontal="center"/>
    </xf>
    <xf numFmtId="5" fontId="29" fillId="0" borderId="0" xfId="0" applyNumberFormat="1" applyFont="1" applyFill="1" applyBorder="1"/>
    <xf numFmtId="10" fontId="29" fillId="0" borderId="0" xfId="0" applyNumberFormat="1" applyFont="1" applyFill="1" applyBorder="1"/>
    <xf numFmtId="0" fontId="0" fillId="6" borderId="0" xfId="0" applyFill="1"/>
    <xf numFmtId="3" fontId="0" fillId="6" borderId="0" xfId="0" applyNumberFormat="1" applyFill="1" applyBorder="1"/>
    <xf numFmtId="165" fontId="0" fillId="0" borderId="0" xfId="96" applyNumberFormat="1" applyFont="1" applyFill="1"/>
    <xf numFmtId="5" fontId="29" fillId="0" borderId="0" xfId="0" applyNumberFormat="1" applyFont="1" applyBorder="1" applyAlignment="1">
      <alignment horizontal="right"/>
    </xf>
    <xf numFmtId="167" fontId="30" fillId="74" borderId="12" xfId="0" applyNumberFormat="1" applyFont="1" applyFill="1" applyBorder="1"/>
    <xf numFmtId="0" fontId="20" fillId="0" borderId="0" xfId="17" applyFont="1" applyAlignment="1"/>
    <xf numFmtId="0" fontId="16" fillId="0" borderId="0" xfId="2" applyFont="1" applyFill="1" applyBorder="1" applyAlignment="1">
      <alignment horizontal="center"/>
    </xf>
    <xf numFmtId="10" fontId="15" fillId="0" borderId="0" xfId="2" applyNumberFormat="1" applyFont="1" applyFill="1"/>
    <xf numFmtId="0" fontId="19" fillId="0" borderId="10" xfId="0" applyFont="1" applyFill="1" applyBorder="1" applyAlignment="1">
      <alignment horizontal="center"/>
    </xf>
    <xf numFmtId="3" fontId="16" fillId="0" borderId="0" xfId="2" applyNumberFormat="1" applyFont="1" applyFill="1" applyBorder="1" applyAlignment="1">
      <alignment horizontal="center"/>
    </xf>
    <xf numFmtId="1" fontId="16" fillId="0" borderId="0" xfId="2" applyNumberFormat="1" applyFont="1" applyFill="1" applyBorder="1" applyAlignment="1">
      <alignment horizontal="center"/>
    </xf>
    <xf numFmtId="10" fontId="15" fillId="0" borderId="0" xfId="16" applyNumberFormat="1" applyFont="1" applyFill="1" applyBorder="1"/>
    <xf numFmtId="0" fontId="19" fillId="0" borderId="0" xfId="0" applyFont="1" applyFill="1" applyBorder="1" applyAlignment="1">
      <alignment horizontal="center"/>
    </xf>
    <xf numFmtId="10" fontId="15" fillId="0" borderId="0" xfId="2" applyNumberFormat="1" applyFont="1" applyFill="1" applyBorder="1"/>
    <xf numFmtId="10" fontId="20" fillId="0" borderId="0" xfId="16" applyNumberFormat="1" applyFont="1"/>
    <xf numFmtId="37" fontId="11" fillId="0" borderId="0" xfId="1" applyNumberFormat="1" applyFont="1" applyFill="1" applyBorder="1"/>
    <xf numFmtId="0" fontId="147" fillId="0" borderId="0" xfId="283" applyFont="1"/>
    <xf numFmtId="0" fontId="37" fillId="0" borderId="0" xfId="283" applyFont="1"/>
    <xf numFmtId="0" fontId="9" fillId="0" borderId="0" xfId="283"/>
    <xf numFmtId="0" fontId="9" fillId="0" borderId="0" xfId="283" applyFill="1" applyBorder="1"/>
    <xf numFmtId="0" fontId="146" fillId="0" borderId="0" xfId="283" applyFont="1" applyFill="1" applyBorder="1" applyAlignment="1"/>
    <xf numFmtId="0" fontId="24" fillId="0" borderId="0" xfId="283" quotePrefix="1" applyFont="1" applyAlignment="1">
      <alignment horizontal="centerContinuous" vertical="center"/>
    </xf>
    <xf numFmtId="0" fontId="18" fillId="0" borderId="0" xfId="283" applyFont="1" applyFill="1" applyBorder="1" applyAlignment="1">
      <alignment horizontal="centerContinuous" vertical="center"/>
    </xf>
    <xf numFmtId="0" fontId="9" fillId="0" borderId="0" xfId="283" applyFont="1" applyBorder="1" applyAlignment="1">
      <alignment horizontal="centerContinuous" vertical="center"/>
    </xf>
    <xf numFmtId="37" fontId="9" fillId="0" borderId="0" xfId="283" applyNumberFormat="1" applyFont="1" applyFill="1" applyBorder="1" applyAlignment="1">
      <alignment horizontal="centerContinuous" vertical="center"/>
    </xf>
    <xf numFmtId="0" fontId="24" fillId="0" borderId="0" xfId="283" applyFont="1" applyFill="1" applyBorder="1" applyAlignment="1">
      <alignment horizontal="center"/>
    </xf>
    <xf numFmtId="0" fontId="24" fillId="0" borderId="0" xfId="283" applyFont="1" applyBorder="1" applyAlignment="1">
      <alignment horizontal="center"/>
    </xf>
    <xf numFmtId="0" fontId="0" fillId="0" borderId="0" xfId="96" applyNumberFormat="1" applyFont="1" applyFill="1" applyAlignment="1">
      <alignment horizontal="fill"/>
    </xf>
    <xf numFmtId="37" fontId="9" fillId="0" borderId="0" xfId="283" applyNumberFormat="1"/>
    <xf numFmtId="0" fontId="24" fillId="0" borderId="0" xfId="283" applyFont="1" applyAlignment="1">
      <alignment vertical="center" wrapText="1"/>
    </xf>
    <xf numFmtId="165" fontId="24" fillId="0" borderId="0" xfId="283" applyNumberFormat="1" applyFont="1" applyAlignment="1">
      <alignment vertical="center"/>
    </xf>
    <xf numFmtId="0" fontId="9" fillId="0" borderId="0" xfId="283" applyFont="1"/>
    <xf numFmtId="0" fontId="24" fillId="0" borderId="13" xfId="283" applyFont="1" applyBorder="1"/>
    <xf numFmtId="0" fontId="9" fillId="0" borderId="13" xfId="283" applyBorder="1"/>
    <xf numFmtId="0" fontId="9" fillId="0" borderId="0" xfId="283" applyBorder="1"/>
    <xf numFmtId="0" fontId="9" fillId="0" borderId="13" xfId="283" applyFont="1" applyBorder="1"/>
    <xf numFmtId="215" fontId="9" fillId="0" borderId="0" xfId="283" applyNumberFormat="1"/>
    <xf numFmtId="41" fontId="9" fillId="0" borderId="0" xfId="283" applyNumberFormat="1"/>
    <xf numFmtId="10" fontId="9" fillId="0" borderId="0" xfId="283" applyNumberFormat="1"/>
    <xf numFmtId="10" fontId="9" fillId="0" borderId="0" xfId="283" applyNumberFormat="1" applyFont="1" applyFill="1" applyBorder="1"/>
    <xf numFmtId="10" fontId="0" fillId="0" borderId="0" xfId="3259" applyNumberFormat="1" applyFont="1" applyFill="1"/>
    <xf numFmtId="0" fontId="148" fillId="0" borderId="0" xfId="283" applyFont="1" applyFill="1" applyBorder="1" applyAlignment="1">
      <alignment horizontal="centerContinuous"/>
    </xf>
    <xf numFmtId="0" fontId="9" fillId="0" borderId="0" xfId="283" applyFill="1" applyBorder="1" applyAlignment="1"/>
    <xf numFmtId="0" fontId="148" fillId="0" borderId="0" xfId="283" applyFont="1" applyFill="1" applyBorder="1" applyAlignment="1">
      <alignment horizontal="center"/>
    </xf>
    <xf numFmtId="0" fontId="9" fillId="76" borderId="49" xfId="283" applyFill="1" applyBorder="1" applyAlignment="1">
      <alignment horizontal="centerContinuous" vertical="center"/>
    </xf>
    <xf numFmtId="0" fontId="9" fillId="0" borderId="49" xfId="283" applyBorder="1" applyAlignment="1">
      <alignment horizontal="center" vertical="center"/>
    </xf>
    <xf numFmtId="41" fontId="148" fillId="0" borderId="0" xfId="283" applyNumberFormat="1" applyFont="1"/>
    <xf numFmtId="41" fontId="148" fillId="0" borderId="0" xfId="283" applyNumberFormat="1" applyFont="1" applyAlignment="1">
      <alignment horizontal="center"/>
    </xf>
    <xf numFmtId="0" fontId="148" fillId="0" borderId="0" xfId="283" applyFont="1"/>
    <xf numFmtId="0" fontId="9" fillId="0" borderId="0" xfId="283" applyAlignment="1">
      <alignment horizontal="right"/>
    </xf>
    <xf numFmtId="0" fontId="9" fillId="0" borderId="14" xfId="283" applyBorder="1"/>
    <xf numFmtId="0" fontId="9" fillId="0" borderId="15" xfId="283" applyBorder="1"/>
    <xf numFmtId="0" fontId="9" fillId="0" borderId="49" xfId="283" applyBorder="1"/>
    <xf numFmtId="0" fontId="9" fillId="0" borderId="0" xfId="283" applyFill="1" applyBorder="1" applyAlignment="1">
      <alignment horizontal="right"/>
    </xf>
    <xf numFmtId="215" fontId="9" fillId="0" borderId="0" xfId="283" applyNumberFormat="1" applyAlignment="1">
      <alignment horizontal="right"/>
    </xf>
    <xf numFmtId="41" fontId="0" fillId="0" borderId="0" xfId="96" applyNumberFormat="1" applyFont="1" applyFill="1" applyAlignment="1">
      <alignment horizontal="fill"/>
    </xf>
    <xf numFmtId="10" fontId="24" fillId="0" borderId="0" xfId="283" applyNumberFormat="1" applyFont="1" applyFill="1" applyBorder="1"/>
    <xf numFmtId="0" fontId="20" fillId="0" borderId="0" xfId="0" applyFont="1" applyFill="1" applyAlignment="1">
      <alignment horizontal="centerContinuous"/>
    </xf>
    <xf numFmtId="0" fontId="28" fillId="0" borderId="0" xfId="0" applyFont="1" applyFill="1" applyAlignment="1">
      <alignment horizontal="centerContinuous"/>
    </xf>
    <xf numFmtId="0" fontId="149" fillId="0" borderId="0" xfId="2" applyFont="1" applyFill="1"/>
    <xf numFmtId="0" fontId="149" fillId="0" borderId="0" xfId="2" applyFont="1"/>
    <xf numFmtId="0" fontId="149" fillId="0" borderId="0" xfId="2" applyFont="1" applyBorder="1"/>
    <xf numFmtId="10" fontId="149" fillId="0" borderId="0" xfId="16" applyNumberFormat="1" applyFont="1" applyBorder="1"/>
    <xf numFmtId="0" fontId="149" fillId="0" borderId="0" xfId="2" applyNumberFormat="1" applyFont="1" applyAlignment="1">
      <alignment horizontal="center"/>
    </xf>
    <xf numFmtId="3" fontId="150" fillId="0" borderId="0" xfId="2" applyNumberFormat="1" applyFont="1"/>
    <xf numFmtId="0" fontId="37" fillId="0" borderId="0" xfId="0" applyFont="1"/>
    <xf numFmtId="0" fontId="151" fillId="0" borderId="0" xfId="2" applyNumberFormat="1" applyFont="1" applyFill="1" applyBorder="1" applyAlignment="1">
      <alignment horizontal="center"/>
    </xf>
    <xf numFmtId="0" fontId="151" fillId="0" borderId="0" xfId="2" applyFont="1" applyFill="1" applyBorder="1" applyAlignment="1">
      <alignment horizontal="center"/>
    </xf>
    <xf numFmtId="0" fontId="152" fillId="0" borderId="0" xfId="2" applyFont="1" applyFill="1" applyBorder="1" applyAlignment="1">
      <alignment horizontal="center" vertical="center" wrapText="1"/>
    </xf>
    <xf numFmtId="0" fontId="152" fillId="0" borderId="0" xfId="2" applyNumberFormat="1" applyFont="1" applyFill="1" applyBorder="1" applyAlignment="1">
      <alignment horizontal="center"/>
    </xf>
    <xf numFmtId="0" fontId="152" fillId="0" borderId="0" xfId="2" applyFont="1" applyFill="1" applyBorder="1" applyAlignment="1">
      <alignment horizontal="center"/>
    </xf>
    <xf numFmtId="0" fontId="152" fillId="0" borderId="0" xfId="2" applyFont="1" applyFill="1" applyBorder="1"/>
    <xf numFmtId="0" fontId="151" fillId="0" borderId="0" xfId="2" applyFont="1" applyAlignment="1">
      <alignment horizontal="center"/>
    </xf>
    <xf numFmtId="0" fontId="153" fillId="0" borderId="0" xfId="2" applyNumberFormat="1" applyFont="1" applyFill="1" applyBorder="1" applyAlignment="1">
      <alignment horizontal="center" wrapText="1"/>
    </xf>
    <xf numFmtId="0" fontId="153" fillId="0" borderId="0" xfId="2" applyFont="1" applyFill="1" applyBorder="1" applyAlignment="1">
      <alignment horizontal="center"/>
    </xf>
    <xf numFmtId="0" fontId="153" fillId="0" borderId="0" xfId="2" applyFont="1" applyFill="1" applyBorder="1" applyAlignment="1">
      <alignment horizontal="left"/>
    </xf>
    <xf numFmtId="3" fontId="154" fillId="0" borderId="0" xfId="12" applyNumberFormat="1" applyFont="1" applyFill="1" applyBorder="1" applyAlignment="1">
      <alignment horizontal="center" wrapText="1"/>
    </xf>
    <xf numFmtId="0" fontId="152" fillId="0" borderId="0" xfId="0" applyFont="1" applyFill="1" applyBorder="1" applyAlignment="1">
      <alignment horizontal="center"/>
    </xf>
    <xf numFmtId="0" fontId="152" fillId="0" borderId="0" xfId="2" applyFont="1" applyFill="1"/>
    <xf numFmtId="3" fontId="151" fillId="0" borderId="0" xfId="2" applyNumberFormat="1" applyFont="1" applyFill="1"/>
    <xf numFmtId="0" fontId="152" fillId="0" borderId="0" xfId="2" applyFont="1"/>
    <xf numFmtId="5" fontId="152" fillId="0" borderId="0" xfId="2" applyNumberFormat="1" applyFont="1" applyFill="1"/>
    <xf numFmtId="10" fontId="152" fillId="0" borderId="0" xfId="2" applyNumberFormat="1" applyFont="1" applyFill="1"/>
    <xf numFmtId="10" fontId="154" fillId="0" borderId="0" xfId="2" applyNumberFormat="1" applyFont="1" applyFill="1"/>
    <xf numFmtId="41" fontId="152" fillId="0" borderId="0" xfId="2" applyNumberFormat="1" applyFont="1" applyFill="1"/>
    <xf numFmtId="5" fontId="152" fillId="0" borderId="0" xfId="2" applyNumberFormat="1" applyFont="1"/>
    <xf numFmtId="37" fontId="152" fillId="0" borderId="0" xfId="2" applyNumberFormat="1" applyFont="1" applyFill="1"/>
    <xf numFmtId="41" fontId="152" fillId="0" borderId="10" xfId="2" applyNumberFormat="1" applyFont="1" applyFill="1" applyBorder="1"/>
    <xf numFmtId="10" fontId="154" fillId="0" borderId="10" xfId="16" applyNumberFormat="1" applyFont="1" applyFill="1" applyBorder="1"/>
    <xf numFmtId="0" fontId="154" fillId="0" borderId="0" xfId="2" applyFont="1" applyFill="1"/>
    <xf numFmtId="0" fontId="154" fillId="0" borderId="0" xfId="2" applyFont="1" applyFill="1" applyAlignment="1">
      <alignment horizontal="right"/>
    </xf>
    <xf numFmtId="41" fontId="152" fillId="0" borderId="0" xfId="2" applyNumberFormat="1" applyFont="1" applyFill="1" applyBorder="1"/>
    <xf numFmtId="165" fontId="152" fillId="0" borderId="0" xfId="14" applyNumberFormat="1" applyFont="1" applyFill="1"/>
    <xf numFmtId="10" fontId="154" fillId="75" borderId="49" xfId="2" applyNumberFormat="1" applyFont="1" applyFill="1" applyBorder="1"/>
    <xf numFmtId="41" fontId="154" fillId="0" borderId="0" xfId="2" applyNumberFormat="1" applyFont="1" applyFill="1"/>
    <xf numFmtId="0" fontId="152" fillId="0" borderId="0" xfId="2" applyFont="1" applyBorder="1"/>
    <xf numFmtId="165" fontId="152" fillId="0" borderId="0" xfId="2" applyNumberFormat="1" applyFont="1" applyBorder="1"/>
    <xf numFmtId="41" fontId="152" fillId="75" borderId="0" xfId="2" applyNumberFormat="1" applyFont="1" applyFill="1"/>
    <xf numFmtId="10" fontId="152" fillId="0" borderId="0" xfId="16" applyNumberFormat="1" applyFont="1" applyBorder="1"/>
    <xf numFmtId="41" fontId="154" fillId="75" borderId="49" xfId="2" applyNumberFormat="1" applyFont="1" applyFill="1" applyBorder="1"/>
    <xf numFmtId="0" fontId="151" fillId="0" borderId="0" xfId="2" applyFont="1" applyBorder="1"/>
    <xf numFmtId="37" fontId="154" fillId="0" borderId="0" xfId="2" applyNumberFormat="1" applyFont="1" applyFill="1"/>
    <xf numFmtId="165" fontId="152" fillId="0" borderId="0" xfId="14" applyNumberFormat="1" applyFont="1" applyBorder="1"/>
    <xf numFmtId="165" fontId="151" fillId="0" borderId="0" xfId="2" applyNumberFormat="1" applyFont="1" applyBorder="1"/>
    <xf numFmtId="0" fontId="152" fillId="0" borderId="0" xfId="2" applyNumberFormat="1" applyFont="1" applyFill="1" applyAlignment="1">
      <alignment horizontal="center"/>
    </xf>
    <xf numFmtId="0" fontId="152" fillId="0" borderId="0" xfId="2" applyFont="1" applyAlignment="1">
      <alignment horizontal="center"/>
    </xf>
    <xf numFmtId="0" fontId="154" fillId="0" borderId="0" xfId="0" applyFont="1" applyFill="1"/>
    <xf numFmtId="41" fontId="152" fillId="0" borderId="3" xfId="2" applyNumberFormat="1" applyFont="1" applyFill="1" applyBorder="1"/>
    <xf numFmtId="3" fontId="152" fillId="0" borderId="3" xfId="2" applyNumberFormat="1" applyFont="1" applyFill="1" applyBorder="1" applyAlignment="1">
      <alignment horizontal="center"/>
    </xf>
    <xf numFmtId="5" fontId="154" fillId="0" borderId="0" xfId="2" applyNumberFormat="1" applyFont="1" applyFill="1"/>
    <xf numFmtId="10" fontId="154" fillId="0" borderId="0" xfId="2" applyNumberFormat="1" applyFont="1" applyFill="1" applyBorder="1"/>
    <xf numFmtId="0" fontId="154" fillId="0" borderId="13" xfId="2" applyFont="1" applyFill="1" applyBorder="1"/>
    <xf numFmtId="41" fontId="152" fillId="0" borderId="13" xfId="2" applyNumberFormat="1" applyFont="1" applyFill="1" applyBorder="1"/>
    <xf numFmtId="37" fontId="152" fillId="0" borderId="0" xfId="2" applyNumberFormat="1" applyFont="1" applyFill="1" applyBorder="1"/>
    <xf numFmtId="0" fontId="154" fillId="0" borderId="0" xfId="2" applyFont="1" applyFill="1" applyBorder="1"/>
    <xf numFmtId="165" fontId="152" fillId="0" borderId="0" xfId="2" applyNumberFormat="1" applyFont="1"/>
    <xf numFmtId="165" fontId="152" fillId="0" borderId="0" xfId="14" applyNumberFormat="1" applyFont="1"/>
    <xf numFmtId="10" fontId="152" fillId="0" borderId="0" xfId="16" applyNumberFormat="1" applyFont="1"/>
    <xf numFmtId="5" fontId="151" fillId="0" borderId="0" xfId="2" applyNumberFormat="1" applyFont="1"/>
    <xf numFmtId="5" fontId="151" fillId="0" borderId="0" xfId="2" applyNumberFormat="1" applyFont="1" applyFill="1"/>
    <xf numFmtId="0" fontId="151" fillId="0" borderId="0" xfId="2" applyNumberFormat="1" applyFont="1" applyAlignment="1">
      <alignment horizontal="center"/>
    </xf>
    <xf numFmtId="37" fontId="152" fillId="0" borderId="0" xfId="2" applyNumberFormat="1" applyFont="1"/>
    <xf numFmtId="42" fontId="152" fillId="0" borderId="0" xfId="2" applyNumberFormat="1" applyFont="1" applyBorder="1"/>
    <xf numFmtId="42" fontId="152" fillId="0" borderId="0" xfId="2" applyNumberFormat="1" applyFont="1" applyFill="1" applyBorder="1"/>
    <xf numFmtId="5" fontId="151" fillId="0" borderId="0" xfId="2" applyNumberFormat="1" applyFont="1" applyBorder="1"/>
    <xf numFmtId="0" fontId="152" fillId="0" borderId="0" xfId="2" applyNumberFormat="1" applyFont="1" applyAlignment="1">
      <alignment horizontal="center"/>
    </xf>
    <xf numFmtId="0" fontId="152" fillId="0" borderId="0" xfId="1" applyFont="1" applyFill="1" applyAlignment="1">
      <alignment horizontal="right"/>
    </xf>
    <xf numFmtId="3" fontId="152" fillId="0" borderId="0" xfId="2" applyNumberFormat="1" applyFont="1" applyFill="1"/>
    <xf numFmtId="0" fontId="151" fillId="0" borderId="0" xfId="2" applyFont="1" applyAlignment="1">
      <alignment horizontal="left"/>
    </xf>
    <xf numFmtId="0" fontId="152" fillId="0" borderId="0" xfId="2" applyFont="1" applyFill="1" applyBorder="1" applyAlignment="1">
      <alignment vertical="top"/>
    </xf>
    <xf numFmtId="0" fontId="152" fillId="0" borderId="0" xfId="2" applyFont="1" applyFill="1" applyBorder="1" applyAlignment="1">
      <alignment vertical="top" wrapText="1"/>
    </xf>
    <xf numFmtId="0" fontId="151" fillId="0" borderId="0" xfId="2" applyFont="1" applyBorder="1" applyAlignment="1">
      <alignment horizontal="left"/>
    </xf>
    <xf numFmtId="0" fontId="152" fillId="0" borderId="10" xfId="2" applyFont="1" applyFill="1" applyBorder="1" applyAlignment="1">
      <alignment vertical="top" wrapText="1"/>
    </xf>
    <xf numFmtId="0" fontId="152" fillId="0" borderId="0" xfId="2" applyNumberFormat="1" applyFont="1" applyFill="1" applyBorder="1" applyAlignment="1">
      <alignment horizontal="left"/>
    </xf>
    <xf numFmtId="0" fontId="154" fillId="0" borderId="0" xfId="2" applyFont="1" applyFill="1" applyBorder="1" applyAlignment="1">
      <alignment horizontal="right"/>
    </xf>
    <xf numFmtId="41" fontId="154" fillId="0" borderId="0" xfId="2" applyNumberFormat="1" applyFont="1" applyFill="1" applyBorder="1"/>
    <xf numFmtId="10" fontId="154" fillId="0" borderId="0" xfId="16" applyNumberFormat="1" applyFont="1" applyFill="1" applyBorder="1"/>
    <xf numFmtId="10" fontId="152" fillId="0" borderId="0" xfId="2" applyNumberFormat="1" applyFont="1" applyFill="1" applyBorder="1"/>
    <xf numFmtId="41" fontId="152" fillId="0" borderId="12" xfId="2" applyNumberFormat="1" applyFont="1" applyFill="1" applyBorder="1"/>
    <xf numFmtId="41" fontId="152" fillId="0" borderId="0" xfId="14" applyNumberFormat="1" applyFont="1" applyFill="1"/>
    <xf numFmtId="41" fontId="152" fillId="0" borderId="10" xfId="14" applyNumberFormat="1" applyFont="1" applyFill="1" applyBorder="1"/>
    <xf numFmtId="216" fontId="152" fillId="0" borderId="0" xfId="2" applyNumberFormat="1" applyFont="1" applyFill="1"/>
    <xf numFmtId="216" fontId="152" fillId="75" borderId="0" xfId="2" applyNumberFormat="1" applyFont="1" applyFill="1"/>
    <xf numFmtId="3" fontId="151" fillId="0" borderId="0" xfId="2" applyNumberFormat="1" applyFont="1" applyFill="1" applyBorder="1"/>
    <xf numFmtId="0" fontId="151" fillId="0" borderId="0" xfId="2" applyNumberFormat="1" applyFont="1" applyFill="1" applyBorder="1" applyAlignment="1">
      <alignment horizontal="left"/>
    </xf>
    <xf numFmtId="0" fontId="151" fillId="0" borderId="14" xfId="2" applyNumberFormat="1" applyFont="1" applyFill="1" applyBorder="1" applyAlignment="1">
      <alignment horizontal="left"/>
    </xf>
    <xf numFmtId="0" fontId="151" fillId="0" borderId="15" xfId="2" applyNumberFormat="1" applyFont="1" applyFill="1" applyBorder="1" applyAlignment="1">
      <alignment horizontal="left"/>
    </xf>
    <xf numFmtId="3" fontId="43" fillId="0" borderId="50" xfId="12" applyNumberFormat="1" applyFont="1" applyFill="1" applyBorder="1" applyAlignment="1">
      <alignment horizontal="centerContinuous"/>
    </xf>
    <xf numFmtId="3" fontId="151" fillId="0" borderId="51" xfId="2" applyNumberFormat="1" applyFont="1" applyFill="1" applyBorder="1" applyAlignment="1">
      <alignment horizontal="centerContinuous"/>
    </xf>
    <xf numFmtId="3" fontId="151" fillId="0" borderId="52" xfId="2" applyNumberFormat="1" applyFont="1" applyFill="1" applyBorder="1" applyAlignment="1">
      <alignment horizontal="centerContinuous"/>
    </xf>
    <xf numFmtId="0" fontId="151" fillId="0" borderId="0" xfId="2" applyFont="1" applyFill="1" applyBorder="1"/>
    <xf numFmtId="0" fontId="151" fillId="0" borderId="14" xfId="2" applyFont="1" applyFill="1" applyBorder="1" applyAlignment="1">
      <alignment horizontal="centerContinuous"/>
    </xf>
    <xf numFmtId="0" fontId="151" fillId="0" borderId="13" xfId="2" applyFont="1" applyFill="1" applyBorder="1" applyAlignment="1">
      <alignment horizontal="centerContinuous"/>
    </xf>
    <xf numFmtId="0" fontId="151" fillId="0" borderId="15" xfId="2" applyFont="1" applyFill="1" applyBorder="1" applyAlignment="1">
      <alignment horizontal="centerContinuous"/>
    </xf>
    <xf numFmtId="0" fontId="155" fillId="0" borderId="49" xfId="0" applyFont="1" applyFill="1" applyBorder="1" applyAlignment="1"/>
    <xf numFmtId="3" fontId="151" fillId="0" borderId="0" xfId="2" applyNumberFormat="1" applyFont="1"/>
    <xf numFmtId="0" fontId="37" fillId="0" borderId="0" xfId="283" applyFont="1" applyAlignment="1">
      <alignment horizontal="left" indent="2"/>
    </xf>
    <xf numFmtId="0" fontId="156" fillId="0" borderId="0" xfId="283" quotePrefix="1" applyFont="1" applyAlignment="1">
      <alignment horizontal="left" indent="1"/>
    </xf>
    <xf numFmtId="0" fontId="157" fillId="0" borderId="0" xfId="283" quotePrefix="1" applyFont="1" applyAlignment="1">
      <alignment horizontal="left" indent="2"/>
    </xf>
    <xf numFmtId="0" fontId="158" fillId="0" borderId="0" xfId="283" applyFont="1"/>
    <xf numFmtId="0" fontId="37" fillId="0" borderId="0" xfId="283" applyFont="1" applyFill="1" applyBorder="1"/>
    <xf numFmtId="0" fontId="20" fillId="0" borderId="0" xfId="0" applyFont="1" applyAlignment="1">
      <alignment horizontal="center"/>
    </xf>
    <xf numFmtId="0" fontId="152" fillId="0" borderId="55" xfId="2" applyFont="1" applyFill="1" applyBorder="1"/>
    <xf numFmtId="0" fontId="152" fillId="0" borderId="6" xfId="2" applyFont="1" applyFill="1" applyBorder="1"/>
    <xf numFmtId="0" fontId="152" fillId="0" borderId="7" xfId="2" applyFont="1" applyFill="1" applyBorder="1"/>
    <xf numFmtId="10" fontId="152" fillId="0" borderId="7" xfId="2" applyNumberFormat="1" applyFont="1" applyFill="1" applyBorder="1"/>
    <xf numFmtId="41" fontId="152" fillId="0" borderId="7" xfId="2" applyNumberFormat="1" applyFont="1" applyFill="1" applyBorder="1"/>
    <xf numFmtId="0" fontId="152" fillId="0" borderId="9" xfId="2" applyFont="1" applyFill="1" applyBorder="1"/>
    <xf numFmtId="0" fontId="152" fillId="0" borderId="10" xfId="2" applyFont="1" applyFill="1" applyBorder="1"/>
    <xf numFmtId="3" fontId="151" fillId="0" borderId="10" xfId="2" applyNumberFormat="1" applyFont="1" applyFill="1" applyBorder="1"/>
    <xf numFmtId="0" fontId="152" fillId="0" borderId="54" xfId="2" applyFont="1" applyFill="1" applyBorder="1"/>
    <xf numFmtId="3" fontId="151" fillId="0" borderId="55" xfId="2" applyNumberFormat="1" applyFont="1" applyFill="1" applyBorder="1"/>
    <xf numFmtId="0" fontId="152" fillId="0" borderId="56" xfId="2" applyFont="1" applyFill="1" applyBorder="1"/>
    <xf numFmtId="214" fontId="152" fillId="0" borderId="11" xfId="2" applyNumberFormat="1" applyFont="1" applyFill="1" applyBorder="1"/>
    <xf numFmtId="0" fontId="159" fillId="0" borderId="0" xfId="2" applyFont="1" applyFill="1" applyBorder="1"/>
    <xf numFmtId="3" fontId="147" fillId="0" borderId="0" xfId="12" applyNumberFormat="1" applyFont="1" applyFill="1" applyBorder="1" applyAlignment="1">
      <alignment horizontal="left"/>
    </xf>
    <xf numFmtId="10" fontId="20" fillId="78" borderId="53" xfId="13" applyNumberFormat="1" applyFont="1" applyFill="1" applyBorder="1"/>
    <xf numFmtId="0" fontId="43" fillId="0" borderId="0" xfId="0" applyFont="1" applyFill="1" applyAlignment="1"/>
    <xf numFmtId="0" fontId="43" fillId="0" borderId="0" xfId="0" applyFont="1" applyAlignment="1"/>
    <xf numFmtId="0" fontId="43" fillId="0" borderId="0" xfId="0" applyFont="1" applyFill="1" applyAlignment="1">
      <alignment horizontal="centerContinuous"/>
    </xf>
    <xf numFmtId="0" fontId="43" fillId="0" borderId="0" xfId="0" applyFont="1" applyAlignment="1">
      <alignment horizontal="centerContinuous"/>
    </xf>
    <xf numFmtId="0" fontId="160" fillId="0" borderId="0" xfId="0" applyFont="1" applyFill="1" applyAlignment="1">
      <alignment horizontal="centerContinuous"/>
    </xf>
    <xf numFmtId="41" fontId="29" fillId="0" borderId="0" xfId="0" applyNumberFormat="1" applyFont="1" applyBorder="1"/>
    <xf numFmtId="41" fontId="29" fillId="0" borderId="0" xfId="13" applyNumberFormat="1" applyFont="1" applyBorder="1"/>
    <xf numFmtId="41" fontId="29" fillId="0" borderId="0" xfId="0" applyNumberFormat="1" applyFont="1" applyFill="1" applyBorder="1"/>
    <xf numFmtId="216" fontId="29" fillId="0" borderId="0" xfId="0" applyNumberFormat="1" applyFont="1" applyBorder="1"/>
    <xf numFmtId="216" fontId="29" fillId="0" borderId="10" xfId="0" applyNumberFormat="1" applyFont="1" applyBorder="1"/>
    <xf numFmtId="216" fontId="29" fillId="0" borderId="53" xfId="0" applyNumberFormat="1" applyFont="1" applyBorder="1"/>
    <xf numFmtId="216" fontId="20" fillId="78" borderId="53" xfId="0" applyNumberFormat="1" applyFont="1" applyFill="1" applyBorder="1"/>
    <xf numFmtId="0" fontId="12" fillId="0" borderId="0" xfId="0" applyFont="1" applyFill="1" applyAlignment="1">
      <alignment horizontal="centerContinuous"/>
    </xf>
    <xf numFmtId="0" fontId="12" fillId="0" borderId="0" xfId="0" applyFont="1" applyAlignment="1">
      <alignment horizontal="centerContinuous"/>
    </xf>
    <xf numFmtId="0" fontId="20" fillId="0" borderId="0" xfId="17" applyFont="1" applyFill="1" applyAlignment="1">
      <alignment horizontal="centerContinuous"/>
    </xf>
    <xf numFmtId="0" fontId="29" fillId="0" borderId="0" xfId="17" applyFont="1" applyAlignment="1">
      <alignment horizontal="centerContinuous"/>
    </xf>
    <xf numFmtId="0" fontId="1" fillId="0" borderId="0" xfId="17" applyFont="1"/>
    <xf numFmtId="0" fontId="29" fillId="0" borderId="0" xfId="0" applyFont="1" applyAlignment="1">
      <alignment horizontal="centerContinuous"/>
    </xf>
    <xf numFmtId="0" fontId="30" fillId="0" borderId="0" xfId="0" applyFont="1" applyAlignment="1">
      <alignment horizontal="centerContinuous"/>
    </xf>
    <xf numFmtId="3" fontId="161" fillId="0" borderId="0" xfId="12" applyNumberFormat="1" applyFont="1" applyFill="1" applyBorder="1" applyAlignment="1">
      <alignment horizontal="centerContinuous"/>
    </xf>
    <xf numFmtId="41" fontId="151" fillId="0" borderId="11" xfId="2" applyNumberFormat="1" applyFont="1" applyFill="1" applyBorder="1"/>
    <xf numFmtId="10" fontId="29" fillId="77" borderId="53" xfId="18" applyNumberFormat="1" applyFont="1" applyFill="1" applyBorder="1"/>
    <xf numFmtId="37" fontId="29" fillId="0" borderId="6" xfId="1" applyNumberFormat="1" applyFont="1" applyFill="1" applyBorder="1"/>
    <xf numFmtId="37" fontId="29" fillId="0" borderId="7" xfId="1" applyNumberFormat="1" applyFont="1" applyFill="1" applyBorder="1"/>
    <xf numFmtId="0" fontId="29" fillId="0" borderId="7" xfId="17" applyFont="1" applyFill="1" applyBorder="1"/>
    <xf numFmtId="37" fontId="20" fillId="0" borderId="7" xfId="1" applyNumberFormat="1" applyFont="1" applyFill="1" applyBorder="1" applyAlignment="1">
      <alignment horizontal="center"/>
    </xf>
    <xf numFmtId="10" fontId="20" fillId="0" borderId="7" xfId="18" applyNumberFormat="1" applyFont="1" applyFill="1" applyBorder="1" applyAlignment="1">
      <alignment horizontal="center"/>
    </xf>
    <xf numFmtId="37" fontId="29" fillId="0" borderId="9" xfId="1" applyNumberFormat="1" applyFont="1" applyFill="1" applyBorder="1"/>
    <xf numFmtId="0" fontId="29" fillId="0" borderId="10" xfId="17" applyFont="1" applyFill="1" applyBorder="1"/>
    <xf numFmtId="165" fontId="29" fillId="0" borderId="10" xfId="19" applyNumberFormat="1" applyFont="1" applyFill="1" applyBorder="1"/>
    <xf numFmtId="10" fontId="29" fillId="0" borderId="10" xfId="18" applyNumberFormat="1" applyFont="1" applyFill="1" applyBorder="1"/>
    <xf numFmtId="10" fontId="31" fillId="0" borderId="10" xfId="18" applyNumberFormat="1" applyFont="1" applyFill="1" applyBorder="1"/>
    <xf numFmtId="37" fontId="29" fillId="0" borderId="11" xfId="1" applyNumberFormat="1" applyFont="1" applyFill="1" applyBorder="1"/>
    <xf numFmtId="0" fontId="20" fillId="0" borderId="50" xfId="17" applyFont="1" applyFill="1" applyBorder="1" applyAlignment="1">
      <alignment horizontal="left"/>
    </xf>
    <xf numFmtId="0" fontId="20" fillId="0" borderId="51" xfId="17" applyFont="1" applyFill="1" applyBorder="1" applyAlignment="1">
      <alignment horizontal="center"/>
    </xf>
    <xf numFmtId="0" fontId="20" fillId="0" borderId="52" xfId="17" applyFont="1" applyFill="1" applyBorder="1" applyAlignment="1">
      <alignment horizontal="center"/>
    </xf>
    <xf numFmtId="3" fontId="162" fillId="0" borderId="0" xfId="12" applyNumberFormat="1" applyFont="1" applyFill="1" applyAlignment="1">
      <alignment horizontal="left"/>
    </xf>
    <xf numFmtId="41" fontId="152" fillId="75" borderId="53" xfId="2" applyNumberFormat="1" applyFont="1" applyFill="1" applyBorder="1"/>
    <xf numFmtId="212" fontId="29" fillId="0" borderId="0" xfId="14" applyNumberFormat="1" applyFont="1" applyBorder="1"/>
    <xf numFmtId="0" fontId="151" fillId="0" borderId="49" xfId="2" applyFont="1" applyFill="1" applyBorder="1" applyAlignment="1">
      <alignment horizontal="center"/>
    </xf>
    <xf numFmtId="216" fontId="152" fillId="0" borderId="7" xfId="2" applyNumberFormat="1" applyFont="1" applyFill="1" applyBorder="1"/>
    <xf numFmtId="166" fontId="16" fillId="75" borderId="2" xfId="2" quotePrefix="1" applyNumberFormat="1" applyFont="1" applyFill="1" applyBorder="1" applyAlignment="1">
      <alignment horizontal="center"/>
    </xf>
    <xf numFmtId="3" fontId="16" fillId="75" borderId="6" xfId="2" applyNumberFormat="1" applyFont="1" applyFill="1" applyBorder="1" applyAlignment="1">
      <alignment horizontal="center"/>
    </xf>
    <xf numFmtId="3" fontId="16" fillId="75" borderId="9" xfId="2" applyNumberFormat="1" applyFont="1" applyFill="1" applyBorder="1" applyAlignment="1">
      <alignment horizontal="center"/>
    </xf>
    <xf numFmtId="3" fontId="16" fillId="75" borderId="0" xfId="2" applyNumberFormat="1" applyFont="1" applyFill="1"/>
    <xf numFmtId="42" fontId="16" fillId="75" borderId="0" xfId="2" applyNumberFormat="1" applyFont="1" applyFill="1"/>
    <xf numFmtId="41" fontId="16" fillId="75" borderId="0" xfId="2" applyNumberFormat="1" applyFont="1" applyFill="1"/>
    <xf numFmtId="41" fontId="16" fillId="75" borderId="10" xfId="2" applyNumberFormat="1" applyFont="1" applyFill="1" applyBorder="1"/>
    <xf numFmtId="42" fontId="16" fillId="75" borderId="12" xfId="2" applyNumberFormat="1" applyFont="1" applyFill="1" applyBorder="1"/>
    <xf numFmtId="0" fontId="15" fillId="75" borderId="0" xfId="2" applyFont="1" applyFill="1"/>
    <xf numFmtId="0" fontId="16" fillId="75" borderId="0" xfId="2" applyFont="1" applyFill="1" applyAlignment="1">
      <alignment horizontal="center"/>
    </xf>
    <xf numFmtId="41" fontId="16" fillId="75" borderId="13" xfId="2" applyNumberFormat="1" applyFont="1" applyFill="1" applyBorder="1"/>
    <xf numFmtId="41" fontId="16" fillId="75" borderId="0" xfId="2" applyNumberFormat="1" applyFont="1" applyFill="1" applyBorder="1"/>
    <xf numFmtId="1" fontId="19" fillId="75" borderId="0" xfId="150" applyNumberFormat="1" applyFont="1" applyFill="1" applyBorder="1" applyAlignment="1">
      <alignment horizontal="center"/>
    </xf>
    <xf numFmtId="3" fontId="15" fillId="75" borderId="0" xfId="2" applyNumberFormat="1" applyFont="1" applyFill="1"/>
    <xf numFmtId="3" fontId="15" fillId="75" borderId="3" xfId="2" applyNumberFormat="1" applyFont="1" applyFill="1" applyBorder="1"/>
    <xf numFmtId="3" fontId="15" fillId="75" borderId="10" xfId="2" applyNumberFormat="1" applyFont="1" applyFill="1" applyBorder="1"/>
    <xf numFmtId="3" fontId="16" fillId="75" borderId="16" xfId="2" applyNumberFormat="1" applyFont="1" applyFill="1" applyBorder="1"/>
    <xf numFmtId="10" fontId="15" fillId="75" borderId="0" xfId="16" applyNumberFormat="1" applyFont="1" applyFill="1"/>
    <xf numFmtId="3" fontId="16" fillId="75" borderId="0" xfId="2" applyNumberFormat="1" applyFont="1" applyFill="1" applyBorder="1"/>
    <xf numFmtId="0" fontId="0" fillId="0" borderId="0" xfId="0" applyFill="1" applyAlignment="1">
      <alignment horizontal="right"/>
    </xf>
    <xf numFmtId="0" fontId="0" fillId="6" borderId="6" xfId="0" applyFill="1" applyBorder="1"/>
    <xf numFmtId="0" fontId="0" fillId="6" borderId="0" xfId="0" applyFill="1" applyBorder="1"/>
    <xf numFmtId="0" fontId="16" fillId="6" borderId="0" xfId="2" applyFont="1" applyFill="1" applyAlignment="1">
      <alignment horizontal="center"/>
    </xf>
    <xf numFmtId="0" fontId="0" fillId="6" borderId="6" xfId="0" applyFill="1" applyBorder="1" applyAlignment="1">
      <alignment horizontal="center"/>
    </xf>
    <xf numFmtId="0" fontId="9" fillId="6" borderId="0" xfId="0" applyFont="1" applyFill="1" applyBorder="1" applyAlignment="1">
      <alignment horizontal="center"/>
    </xf>
    <xf numFmtId="0" fontId="0" fillId="6" borderId="7" xfId="0" applyFill="1" applyBorder="1"/>
    <xf numFmtId="0" fontId="9" fillId="6" borderId="6" xfId="0" applyFont="1" applyFill="1" applyBorder="1" applyAlignment="1">
      <alignment horizontal="center"/>
    </xf>
    <xf numFmtId="0" fontId="9" fillId="6" borderId="7" xfId="0" applyFont="1" applyFill="1" applyBorder="1" applyAlignment="1">
      <alignment horizontal="center"/>
    </xf>
    <xf numFmtId="0" fontId="18" fillId="6" borderId="6" xfId="0" applyFont="1" applyFill="1" applyBorder="1" applyAlignment="1">
      <alignment horizontal="center"/>
    </xf>
    <xf numFmtId="0" fontId="18" fillId="6" borderId="0" xfId="0" applyFont="1" applyFill="1" applyBorder="1" applyAlignment="1">
      <alignment horizontal="center"/>
    </xf>
    <xf numFmtId="0" fontId="18" fillId="6" borderId="7" xfId="0" applyFont="1" applyFill="1" applyBorder="1" applyAlignment="1">
      <alignment horizontal="center"/>
    </xf>
    <xf numFmtId="3" fontId="0" fillId="6" borderId="6" xfId="0" applyNumberFormat="1" applyFill="1" applyBorder="1"/>
    <xf numFmtId="3" fontId="0" fillId="6" borderId="7" xfId="0" applyNumberFormat="1" applyFill="1" applyBorder="1"/>
    <xf numFmtId="3" fontId="0" fillId="6" borderId="9" xfId="0" applyNumberFormat="1" applyFill="1" applyBorder="1"/>
    <xf numFmtId="3" fontId="0" fillId="6" borderId="10" xfId="0" applyNumberFormat="1" applyFill="1" applyBorder="1"/>
    <xf numFmtId="3" fontId="0" fillId="6" borderId="11" xfId="0" applyNumberFormat="1" applyFill="1" applyBorder="1"/>
    <xf numFmtId="3" fontId="0" fillId="0" borderId="56" xfId="0" applyNumberFormat="1" applyFill="1" applyBorder="1"/>
    <xf numFmtId="3" fontId="0" fillId="6" borderId="56" xfId="0" applyNumberFormat="1" applyFill="1" applyBorder="1"/>
    <xf numFmtId="3" fontId="0" fillId="0" borderId="50" xfId="0" applyNumberFormat="1" applyBorder="1"/>
    <xf numFmtId="3" fontId="0" fillId="0" borderId="51" xfId="0" applyNumberFormat="1" applyBorder="1"/>
    <xf numFmtId="3" fontId="0" fillId="0" borderId="52" xfId="0" applyNumberFormat="1" applyFill="1" applyBorder="1"/>
    <xf numFmtId="3" fontId="0" fillId="6" borderId="50" xfId="0" applyNumberFormat="1" applyFill="1" applyBorder="1"/>
    <xf numFmtId="3" fontId="0" fillId="6" borderId="51" xfId="0" applyNumberFormat="1" applyFill="1" applyBorder="1"/>
    <xf numFmtId="3" fontId="0" fillId="6" borderId="52" xfId="0" applyNumberFormat="1" applyFill="1" applyBorder="1"/>
    <xf numFmtId="165" fontId="0" fillId="6" borderId="0" xfId="96" applyNumberFormat="1" applyFont="1" applyFill="1"/>
    <xf numFmtId="41" fontId="0" fillId="6" borderId="0" xfId="0" applyNumberFormat="1" applyFill="1"/>
    <xf numFmtId="0" fontId="151" fillId="0" borderId="49" xfId="2" applyFont="1" applyFill="1" applyBorder="1" applyAlignment="1">
      <alignment horizontal="center" vertical="center" wrapText="1"/>
    </xf>
    <xf numFmtId="0" fontId="20" fillId="0" borderId="0" xfId="0" applyFont="1" applyAlignment="1">
      <alignment horizontal="center"/>
    </xf>
    <xf numFmtId="41" fontId="16" fillId="0" borderId="51" xfId="2" applyNumberFormat="1" applyFont="1" applyFill="1" applyBorder="1"/>
    <xf numFmtId="3" fontId="15" fillId="0" borderId="55" xfId="2" applyNumberFormat="1" applyFont="1" applyFill="1" applyBorder="1"/>
    <xf numFmtId="10" fontId="15" fillId="0" borderId="0" xfId="13" applyNumberFormat="1" applyFont="1" applyFill="1"/>
    <xf numFmtId="41" fontId="163" fillId="0" borderId="0" xfId="2" applyNumberFormat="1" applyFont="1" applyFill="1" applyBorder="1"/>
    <xf numFmtId="2" fontId="151" fillId="75" borderId="49" xfId="2" applyNumberFormat="1" applyFont="1" applyFill="1" applyBorder="1" applyAlignment="1">
      <alignment horizontal="center" vertical="center" wrapText="1"/>
    </xf>
    <xf numFmtId="37" fontId="152" fillId="7" borderId="0" xfId="2" applyNumberFormat="1" applyFont="1" applyFill="1"/>
    <xf numFmtId="0" fontId="0" fillId="0" borderId="0" xfId="0" applyAlignment="1">
      <alignment horizontal="right"/>
    </xf>
    <xf numFmtId="0" fontId="0" fillId="75" borderId="53" xfId="0" applyFill="1" applyBorder="1"/>
    <xf numFmtId="0" fontId="29" fillId="0" borderId="0" xfId="17" applyFont="1" applyAlignment="1">
      <alignment horizontal="center"/>
    </xf>
    <xf numFmtId="0" fontId="20" fillId="0" borderId="0" xfId="17" applyFont="1" applyBorder="1" applyAlignment="1">
      <alignment horizontal="center"/>
    </xf>
    <xf numFmtId="0" fontId="20" fillId="0" borderId="0" xfId="17" applyFont="1" applyAlignment="1">
      <alignment horizontal="center"/>
    </xf>
    <xf numFmtId="0" fontId="152" fillId="0" borderId="49" xfId="2" applyFont="1" applyFill="1" applyBorder="1" applyAlignment="1">
      <alignment horizontal="center" vertical="center" wrapText="1"/>
    </xf>
    <xf numFmtId="0" fontId="152" fillId="0" borderId="53" xfId="2" applyFont="1" applyFill="1" applyBorder="1" applyAlignment="1">
      <alignment horizontal="center" wrapText="1"/>
    </xf>
    <xf numFmtId="0" fontId="152" fillId="0" borderId="49" xfId="2" applyFont="1" applyFill="1" applyBorder="1" applyAlignment="1">
      <alignment horizontal="center" wrapText="1"/>
    </xf>
    <xf numFmtId="0" fontId="152" fillId="0" borderId="53" xfId="2" applyFont="1" applyFill="1" applyBorder="1" applyAlignment="1">
      <alignment horizontal="center" vertical="center" wrapText="1"/>
    </xf>
    <xf numFmtId="0" fontId="151" fillId="0" borderId="57" xfId="2" applyFont="1" applyFill="1" applyBorder="1" applyAlignment="1">
      <alignment horizontal="center" vertical="center" wrapText="1"/>
    </xf>
    <xf numFmtId="0" fontId="151" fillId="0" borderId="5" xfId="2" applyFont="1" applyFill="1" applyBorder="1" applyAlignment="1">
      <alignment horizontal="center" vertical="center" wrapText="1"/>
    </xf>
    <xf numFmtId="0" fontId="151" fillId="0" borderId="8" xfId="2" applyFont="1" applyFill="1" applyBorder="1" applyAlignment="1">
      <alignment horizontal="center" vertical="center" wrapText="1"/>
    </xf>
    <xf numFmtId="0" fontId="152" fillId="0" borderId="1" xfId="2" applyFont="1" applyFill="1" applyBorder="1" applyAlignment="1">
      <alignment horizontal="center" vertical="center" wrapText="1"/>
    </xf>
    <xf numFmtId="0" fontId="152" fillId="0" borderId="5" xfId="2" applyFont="1" applyFill="1" applyBorder="1" applyAlignment="1">
      <alignment horizontal="center" vertical="center" wrapText="1"/>
    </xf>
    <xf numFmtId="0" fontId="152" fillId="0" borderId="8" xfId="2"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8" xfId="0" applyFont="1" applyFill="1" applyBorder="1" applyAlignment="1">
      <alignment horizontal="center" vertical="center" wrapText="1"/>
    </xf>
    <xf numFmtId="166" fontId="152" fillId="0" borderId="53" xfId="2" applyNumberFormat="1" applyFont="1" applyFill="1" applyBorder="1" applyAlignment="1">
      <alignment horizontal="center" wrapText="1"/>
    </xf>
    <xf numFmtId="166" fontId="152" fillId="0" borderId="49" xfId="2" quotePrefix="1" applyNumberFormat="1" applyFont="1" applyFill="1" applyBorder="1" applyAlignment="1">
      <alignment horizontal="center" wrapText="1"/>
    </xf>
    <xf numFmtId="0" fontId="152" fillId="0" borderId="49" xfId="2" quotePrefix="1" applyFont="1" applyFill="1" applyBorder="1" applyAlignment="1">
      <alignment horizontal="center" wrapText="1"/>
    </xf>
    <xf numFmtId="0" fontId="151" fillId="0" borderId="49" xfId="2" applyFont="1" applyFill="1" applyBorder="1" applyAlignment="1">
      <alignment horizontal="center" vertical="center" wrapText="1"/>
    </xf>
    <xf numFmtId="10" fontId="35" fillId="0" borderId="0" xfId="13" applyNumberFormat="1" applyFont="1" applyFill="1" applyBorder="1" applyAlignment="1">
      <alignment horizontal="center"/>
    </xf>
    <xf numFmtId="3" fontId="34" fillId="0" borderId="0" xfId="12" applyNumberFormat="1" applyFont="1" applyFill="1" applyBorder="1" applyAlignment="1">
      <alignment horizontal="center"/>
    </xf>
    <xf numFmtId="3" fontId="42"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0" fontId="18" fillId="0" borderId="6" xfId="0" quotePrefix="1" applyFont="1" applyBorder="1" applyAlignment="1">
      <alignment horizontal="center"/>
    </xf>
    <xf numFmtId="0" fontId="18" fillId="0" borderId="0" xfId="0" quotePrefix="1" applyFont="1" applyBorder="1" applyAlignment="1">
      <alignment horizontal="center"/>
    </xf>
    <xf numFmtId="0" fontId="18" fillId="0" borderId="7" xfId="0" quotePrefix="1" applyFont="1" applyBorder="1" applyAlignment="1">
      <alignment horizontal="center"/>
    </xf>
    <xf numFmtId="0" fontId="18" fillId="6" borderId="6" xfId="0" quotePrefix="1" applyFont="1" applyFill="1" applyBorder="1" applyAlignment="1">
      <alignment horizontal="center"/>
    </xf>
    <xf numFmtId="0" fontId="18" fillId="6" borderId="0" xfId="0" quotePrefix="1" applyFont="1" applyFill="1" applyBorder="1" applyAlignment="1">
      <alignment horizontal="center"/>
    </xf>
    <xf numFmtId="0" fontId="18" fillId="6" borderId="7" xfId="0" quotePrefix="1" applyFont="1" applyFill="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35">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4"/>
      <tableStyleElement type="headerRow" dxfId="33"/>
    </tableStyle>
    <tableStyle name="Table Style 2" pivot="0" count="3">
      <tableStyleElement type="wholeTable" dxfId="32"/>
      <tableStyleElement type="headerRow" dxfId="31"/>
      <tableStyleElement type="totalRow"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'4.01'!$A$15</c:f>
              <c:strCache>
                <c:ptCount val="1"/>
                <c:pt idx="0">
                  <c:v>Total Purchased Gas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'4.01'!$B$15:$R$15</c:f>
              <c:numCache>
                <c:formatCode>_(* #,##0_);_(* \(#,##0\);_(* "-"??_);_(@_)</c:formatCode>
                <c:ptCount val="17"/>
                <c:pt idx="0">
                  <c:v>163</c:v>
                </c:pt>
                <c:pt idx="1">
                  <c:v>232</c:v>
                </c:pt>
                <c:pt idx="2">
                  <c:v>261</c:v>
                </c:pt>
                <c:pt idx="3">
                  <c:v>285</c:v>
                </c:pt>
                <c:pt idx="4">
                  <c:v>369</c:v>
                </c:pt>
                <c:pt idx="5">
                  <c:v>651</c:v>
                </c:pt>
                <c:pt idx="6">
                  <c:v>653</c:v>
                </c:pt>
                <c:pt idx="7">
                  <c:v>792</c:v>
                </c:pt>
                <c:pt idx="8">
                  <c:v>783</c:v>
                </c:pt>
                <c:pt idx="9">
                  <c:v>803</c:v>
                </c:pt>
                <c:pt idx="10">
                  <c:v>800</c:v>
                </c:pt>
                <c:pt idx="11">
                  <c:v>981</c:v>
                </c:pt>
                <c:pt idx="12">
                  <c:v>928</c:v>
                </c:pt>
                <c:pt idx="13">
                  <c:v>891</c:v>
                </c:pt>
                <c:pt idx="14">
                  <c:v>779</c:v>
                </c:pt>
                <c:pt idx="15">
                  <c:v>840</c:v>
                </c:pt>
                <c:pt idx="16">
                  <c:v>994</c:v>
                </c:pt>
              </c:numCache>
            </c:numRef>
          </c:yVal>
          <c:smooth val="0"/>
          <c:extLst>
            <c:ext xmlns:c16="http://schemas.microsoft.com/office/drawing/2014/chart" uri="{C3380CC4-5D6E-409C-BE32-E72D297353CC}">
              <c16:uniqueId val="{00000000-FEF6-4AB1-A3E0-A79194B7110E}"/>
            </c:ext>
          </c:extLst>
        </c:ser>
        <c:ser>
          <c:idx val="1"/>
          <c:order val="1"/>
          <c:tx>
            <c:strRef>
              <c:f>'4.01'!$A$69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'4.01'!$B$76:$R$76</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'4.01'!$B$77:$R$77</c:f>
              <c:numCache>
                <c:formatCode>_(* #,##0_);_(* \(#,##0\);_(* "-"_);_(@_)</c:formatCode>
                <c:ptCount val="17"/>
                <c:pt idx="0">
                  <c:v>792</c:v>
                </c:pt>
                <c:pt idx="1">
                  <c:v>783</c:v>
                </c:pt>
                <c:pt idx="2">
                  <c:v>803</c:v>
                </c:pt>
                <c:pt idx="3">
                  <c:v>800</c:v>
                </c:pt>
                <c:pt idx="4">
                  <c:v>981</c:v>
                </c:pt>
                <c:pt idx="5">
                  <c:v>928</c:v>
                </c:pt>
                <c:pt idx="6">
                  <c:v>891</c:v>
                </c:pt>
                <c:pt idx="7">
                  <c:v>779</c:v>
                </c:pt>
                <c:pt idx="8">
                  <c:v>840</c:v>
                </c:pt>
                <c:pt idx="9">
                  <c:v>994</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FEF6-4AB1-A3E0-A79194B7110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Underground Storage Operating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'4.02'!$B$14:$R$14</c:f>
              <c:numCache>
                <c:formatCode>_(* #,##0_);_(* \(#,##0\);_(* "-"??_);_(@_)</c:formatCode>
                <c:ptCount val="17"/>
                <c:pt idx="0">
                  <c:v>312</c:v>
                </c:pt>
                <c:pt idx="1">
                  <c:v>322</c:v>
                </c:pt>
                <c:pt idx="2">
                  <c:v>357</c:v>
                </c:pt>
                <c:pt idx="3">
                  <c:v>342</c:v>
                </c:pt>
                <c:pt idx="4">
                  <c:v>381</c:v>
                </c:pt>
                <c:pt idx="5">
                  <c:v>450</c:v>
                </c:pt>
                <c:pt idx="6">
                  <c:v>492</c:v>
                </c:pt>
                <c:pt idx="7">
                  <c:v>451</c:v>
                </c:pt>
                <c:pt idx="8">
                  <c:v>436</c:v>
                </c:pt>
                <c:pt idx="9">
                  <c:v>403</c:v>
                </c:pt>
                <c:pt idx="10">
                  <c:v>380</c:v>
                </c:pt>
                <c:pt idx="11">
                  <c:v>585</c:v>
                </c:pt>
                <c:pt idx="12">
                  <c:v>712</c:v>
                </c:pt>
                <c:pt idx="13">
                  <c:v>820</c:v>
                </c:pt>
                <c:pt idx="14">
                  <c:v>893</c:v>
                </c:pt>
                <c:pt idx="15">
                  <c:v>857</c:v>
                </c:pt>
                <c:pt idx="16">
                  <c:v>974</c:v>
                </c:pt>
              </c:numCache>
            </c:numRef>
          </c:yVal>
          <c:smooth val="0"/>
          <c:extLst>
            <c:ext xmlns:c16="http://schemas.microsoft.com/office/drawing/2014/chart" uri="{C3380CC4-5D6E-409C-BE32-E72D297353CC}">
              <c16:uniqueId val="{00000000-CA70-44F6-97E1-29A0B345A7EE}"/>
            </c:ext>
          </c:extLst>
        </c:ser>
        <c:ser>
          <c:idx val="1"/>
          <c:order val="1"/>
          <c:tx>
            <c:strRef>
              <c:f>'4.02'!$A$69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'4.02'!$B$76:$R$76</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#N/A</c:v>
                </c:pt>
                <c:pt idx="12">
                  <c:v>#N/A</c:v>
                </c:pt>
                <c:pt idx="13">
                  <c:v>#N/A</c:v>
                </c:pt>
                <c:pt idx="14">
                  <c:v>#N/A</c:v>
                </c:pt>
                <c:pt idx="15">
                  <c:v>#N/A</c:v>
                </c:pt>
                <c:pt idx="16">
                  <c:v>#N/A</c:v>
                </c:pt>
              </c:numCache>
            </c:numRef>
          </c:xVal>
          <c:yVal>
            <c:numRef>
              <c:f>'4.02'!$B$77:$R$77</c:f>
              <c:numCache>
                <c:formatCode>_(* #,##0_);_(* \(#,##0\);_(* "-"_);_(@_)</c:formatCode>
                <c:ptCount val="17"/>
                <c:pt idx="0">
                  <c:v>312</c:v>
                </c:pt>
                <c:pt idx="1">
                  <c:v>322</c:v>
                </c:pt>
                <c:pt idx="2">
                  <c:v>357</c:v>
                </c:pt>
                <c:pt idx="3">
                  <c:v>342</c:v>
                </c:pt>
                <c:pt idx="4">
                  <c:v>381</c:v>
                </c:pt>
                <c:pt idx="5">
                  <c:v>450</c:v>
                </c:pt>
                <c:pt idx="6">
                  <c:v>492</c:v>
                </c:pt>
                <c:pt idx="7">
                  <c:v>451</c:v>
                </c:pt>
                <c:pt idx="8">
                  <c:v>436</c:v>
                </c:pt>
                <c:pt idx="9">
                  <c:v>403</c:v>
                </c:pt>
                <c:pt idx="10">
                  <c:v>380</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CA70-44F6-97E1-29A0B345A7E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'4.03'!$A$14</c:f>
              <c:strCache>
                <c:ptCount val="1"/>
                <c:pt idx="0">
                  <c:v>Total Underground Storage Depreciation and Amortization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'4.03'!$B$9:$R$9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'4.03'!$B$14:$R$14</c:f>
              <c:numCache>
                <c:formatCode>_(* #,##0_);_(* \(#,##0\);_(* "-"??_);_(@_)</c:formatCode>
                <c:ptCount val="17"/>
                <c:pt idx="0">
                  <c:v>314</c:v>
                </c:pt>
                <c:pt idx="1">
                  <c:v>314</c:v>
                </c:pt>
                <c:pt idx="2">
                  <c:v>297</c:v>
                </c:pt>
                <c:pt idx="3">
                  <c:v>309</c:v>
                </c:pt>
                <c:pt idx="4">
                  <c:v>309</c:v>
                </c:pt>
                <c:pt idx="5">
                  <c:v>310</c:v>
                </c:pt>
                <c:pt idx="6">
                  <c:v>312</c:v>
                </c:pt>
                <c:pt idx="7">
                  <c:v>310</c:v>
                </c:pt>
                <c:pt idx="8">
                  <c:v>276</c:v>
                </c:pt>
                <c:pt idx="9">
                  <c:v>393</c:v>
                </c:pt>
                <c:pt idx="10">
                  <c:v>348</c:v>
                </c:pt>
                <c:pt idx="11">
                  <c:v>395</c:v>
                </c:pt>
                <c:pt idx="12">
                  <c:v>438</c:v>
                </c:pt>
                <c:pt idx="13">
                  <c:v>380</c:v>
                </c:pt>
                <c:pt idx="14">
                  <c:v>402</c:v>
                </c:pt>
                <c:pt idx="15">
                  <c:v>439</c:v>
                </c:pt>
                <c:pt idx="16">
                  <c:v>492</c:v>
                </c:pt>
              </c:numCache>
            </c:numRef>
          </c:yVal>
          <c:smooth val="0"/>
          <c:extLst>
            <c:ext xmlns:c16="http://schemas.microsoft.com/office/drawing/2014/chart" uri="{C3380CC4-5D6E-409C-BE32-E72D297353CC}">
              <c16:uniqueId val="{00000000-937A-4AF3-AA1C-563E122DB45E}"/>
            </c:ext>
          </c:extLst>
        </c:ser>
        <c:ser>
          <c:idx val="1"/>
          <c:order val="1"/>
          <c:tx>
            <c:strRef>
              <c:f>'4.03'!$A$69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'4.03'!$B$76:$R$76</c:f>
              <c:numCache>
                <c:formatCode>General</c:formatCode>
                <c:ptCount val="17"/>
                <c:pt idx="0">
                  <c:v>2009</c:v>
                </c:pt>
                <c:pt idx="1">
                  <c:v>2010</c:v>
                </c:pt>
                <c:pt idx="2">
                  <c:v>2011</c:v>
                </c:pt>
                <c:pt idx="3">
                  <c:v>2012</c:v>
                </c:pt>
                <c:pt idx="4">
                  <c:v>2013</c:v>
                </c:pt>
                <c:pt idx="5">
                  <c:v>2014</c:v>
                </c:pt>
                <c:pt idx="6">
                  <c:v>2015</c:v>
                </c:pt>
                <c:pt idx="7">
                  <c:v>2016</c:v>
                </c:pt>
                <c:pt idx="8">
                  <c:v>#N/A</c:v>
                </c:pt>
                <c:pt idx="9">
                  <c:v>#N/A</c:v>
                </c:pt>
                <c:pt idx="10">
                  <c:v>#N/A</c:v>
                </c:pt>
                <c:pt idx="11">
                  <c:v>#N/A</c:v>
                </c:pt>
                <c:pt idx="12">
                  <c:v>#N/A</c:v>
                </c:pt>
                <c:pt idx="13">
                  <c:v>#N/A</c:v>
                </c:pt>
                <c:pt idx="14">
                  <c:v>#N/A</c:v>
                </c:pt>
                <c:pt idx="15">
                  <c:v>#N/A</c:v>
                </c:pt>
                <c:pt idx="16">
                  <c:v>#N/A</c:v>
                </c:pt>
              </c:numCache>
            </c:numRef>
          </c:xVal>
          <c:yVal>
            <c:numRef>
              <c:f>'4.03'!$B$77:$R$77</c:f>
              <c:numCache>
                <c:formatCode>_(* #,##0_);_(* \(#,##0\);_(* "-"_);_(@_)</c:formatCode>
                <c:ptCount val="17"/>
                <c:pt idx="0">
                  <c:v>393</c:v>
                </c:pt>
                <c:pt idx="1">
                  <c:v>348</c:v>
                </c:pt>
                <c:pt idx="2">
                  <c:v>395</c:v>
                </c:pt>
                <c:pt idx="3">
                  <c:v>438</c:v>
                </c:pt>
                <c:pt idx="4">
                  <c:v>380</c:v>
                </c:pt>
                <c:pt idx="5">
                  <c:v>402</c:v>
                </c:pt>
                <c:pt idx="6">
                  <c:v>439</c:v>
                </c:pt>
                <c:pt idx="7">
                  <c:v>492</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937A-4AF3-AA1C-563E122DB45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'4.04'!$A$14</c:f>
              <c:strCache>
                <c:ptCount val="1"/>
                <c:pt idx="0">
                  <c:v>Total Underground Storage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'4.04'!$B$9:$R$9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'4.04'!$B$14:$R$14</c:f>
              <c:numCache>
                <c:formatCode>_(* #,##0_);_(* \(#,##0\);_(* "-"??_);_(@_)</c:formatCode>
                <c:ptCount val="17"/>
                <c:pt idx="0">
                  <c:v>111</c:v>
                </c:pt>
                <c:pt idx="1">
                  <c:v>108</c:v>
                </c:pt>
                <c:pt idx="2">
                  <c:v>120</c:v>
                </c:pt>
                <c:pt idx="3">
                  <c:v>118</c:v>
                </c:pt>
                <c:pt idx="4">
                  <c:v>120</c:v>
                </c:pt>
                <c:pt idx="5">
                  <c:v>115</c:v>
                </c:pt>
                <c:pt idx="6">
                  <c:v>122</c:v>
                </c:pt>
                <c:pt idx="7">
                  <c:v>95</c:v>
                </c:pt>
                <c:pt idx="8">
                  <c:v>113</c:v>
                </c:pt>
                <c:pt idx="9">
                  <c:v>121</c:v>
                </c:pt>
                <c:pt idx="10">
                  <c:v>116</c:v>
                </c:pt>
                <c:pt idx="11">
                  <c:v>19</c:v>
                </c:pt>
                <c:pt idx="12">
                  <c:v>17</c:v>
                </c:pt>
                <c:pt idx="13">
                  <c:v>158</c:v>
                </c:pt>
                <c:pt idx="14">
                  <c:v>184</c:v>
                </c:pt>
                <c:pt idx="15">
                  <c:v>196</c:v>
                </c:pt>
                <c:pt idx="16">
                  <c:v>210</c:v>
                </c:pt>
              </c:numCache>
            </c:numRef>
          </c:yVal>
          <c:smooth val="0"/>
          <c:extLst>
            <c:ext xmlns:c16="http://schemas.microsoft.com/office/drawing/2014/chart" uri="{C3380CC4-5D6E-409C-BE32-E72D297353CC}">
              <c16:uniqueId val="{00000000-6B7D-4DB6-B2D0-51B8A0FED16C}"/>
            </c:ext>
          </c:extLst>
        </c:ser>
        <c:ser>
          <c:idx val="1"/>
          <c:order val="1"/>
          <c:tx>
            <c:strRef>
              <c:f>'4.04'!$A$69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'4.04'!$B$76:$R$76</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2013</c:v>
                </c:pt>
                <c:pt idx="12">
                  <c:v>2014</c:v>
                </c:pt>
                <c:pt idx="13">
                  <c:v>2015</c:v>
                </c:pt>
                <c:pt idx="14">
                  <c:v>2016</c:v>
                </c:pt>
                <c:pt idx="15">
                  <c:v>#N/A</c:v>
                </c:pt>
                <c:pt idx="16">
                  <c:v>#N/A</c:v>
                </c:pt>
              </c:numCache>
            </c:numRef>
          </c:xVal>
          <c:yVal>
            <c:numRef>
              <c:f>'4.04'!$B$77:$R$77</c:f>
              <c:numCache>
                <c:formatCode>_(* #,##0_);_(* \(#,##0\);_(* "-"_);_(@_)</c:formatCode>
                <c:ptCount val="17"/>
                <c:pt idx="0">
                  <c:v>111</c:v>
                </c:pt>
                <c:pt idx="1">
                  <c:v>108</c:v>
                </c:pt>
                <c:pt idx="2">
                  <c:v>120</c:v>
                </c:pt>
                <c:pt idx="3">
                  <c:v>118</c:v>
                </c:pt>
                <c:pt idx="4">
                  <c:v>120</c:v>
                </c:pt>
                <c:pt idx="5">
                  <c:v>115</c:v>
                </c:pt>
                <c:pt idx="6">
                  <c:v>122</c:v>
                </c:pt>
                <c:pt idx="7">
                  <c:v>95</c:v>
                </c:pt>
                <c:pt idx="8">
                  <c:v>113</c:v>
                </c:pt>
                <c:pt idx="9">
                  <c:v>121</c:v>
                </c:pt>
                <c:pt idx="10">
                  <c:v>116</c:v>
                </c:pt>
                <c:pt idx="11">
                  <c:v>158</c:v>
                </c:pt>
                <c:pt idx="12">
                  <c:v>184</c:v>
                </c:pt>
                <c:pt idx="13">
                  <c:v>196</c:v>
                </c:pt>
                <c:pt idx="14">
                  <c:v>210</c:v>
                </c:pt>
                <c:pt idx="15">
                  <c:v>#N/A</c:v>
                </c:pt>
                <c:pt idx="16">
                  <c:v>#N/A</c:v>
                </c:pt>
              </c:numCache>
            </c:numRef>
          </c:yVal>
          <c:smooth val="0"/>
          <c:extLst>
            <c:ext xmlns:c16="http://schemas.microsoft.com/office/drawing/2014/chart" uri="{C3380CC4-5D6E-409C-BE32-E72D297353CC}">
              <c16:uniqueId val="{00000001-6B7D-4DB6-B2D0-51B8A0FED16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'4.05'!$A$14</c:f>
              <c:strCache>
                <c:ptCount val="1"/>
                <c:pt idx="0">
                  <c:v>Total Distribution Operating Expenses</c:v>
                </c:pt>
              </c:strCache>
            </c:strRef>
          </c:tx>
          <c:spPr>
            <a:ln w="28575" cap="rnd">
              <a:noFill/>
              <a:round/>
            </a:ln>
            <a:effectLst/>
          </c:spPr>
          <c:marker>
            <c:symbol val="dash"/>
            <c:size val="11"/>
            <c:spPr>
              <a:solidFill>
                <a:schemeClr val="accent1"/>
              </a:solidFill>
              <a:ln w="9525">
                <a:solidFill>
                  <a:schemeClr val="accent1"/>
                </a:solidFill>
              </a:ln>
              <a:effectLst/>
            </c:spPr>
          </c:marker>
          <c:xVal>
            <c:numRef>
              <c:f>'4.05'!$B$9:$R$9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'4.05'!$B$14:$R$14</c:f>
              <c:numCache>
                <c:formatCode>_(* #,##0_);_(* \(#,##0\);_(* "-"??_);_(@_)</c:formatCode>
                <c:ptCount val="17"/>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pt idx="16">
                  <c:v>12050</c:v>
                </c:pt>
              </c:numCache>
            </c:numRef>
          </c:yVal>
          <c:smooth val="0"/>
          <c:extLst>
            <c:ext xmlns:c16="http://schemas.microsoft.com/office/drawing/2014/chart" uri="{C3380CC4-5D6E-409C-BE32-E72D297353CC}">
              <c16:uniqueId val="{00000000-A316-4113-A715-F597EA82F229}"/>
            </c:ext>
          </c:extLst>
        </c:ser>
        <c:ser>
          <c:idx val="1"/>
          <c:order val="1"/>
          <c:tx>
            <c:strRef>
              <c:f>'4.05'!$A$69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'4.05'!$B$76:$R$76</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'4.05'!$B$77:$R$77</c:f>
              <c:numCache>
                <c:formatCode>_(* #,##0_);_(* \(#,##0\);_(* "-"_);_(@_)</c:formatCode>
                <c:ptCount val="17"/>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pt idx="16">
                  <c:v>12050</c:v>
                </c:pt>
              </c:numCache>
            </c:numRef>
          </c:yVal>
          <c:smooth val="0"/>
          <c:extLst>
            <c:ext xmlns:c16="http://schemas.microsoft.com/office/drawing/2014/chart" uri="{C3380CC4-5D6E-409C-BE32-E72D297353CC}">
              <c16:uniqueId val="{00000001-A316-4113-A715-F597EA82F229}"/>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'4.06'!$A$14</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'4.06'!$B$9:$R$9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'4.06'!$B$14:$R$14</c:f>
              <c:numCache>
                <c:formatCode>_(* #,##0_);_(* \(#,##0\);_(* "-"??_);_(@_)</c:formatCode>
                <c:ptCount val="17"/>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pt idx="16">
                  <c:v>9866</c:v>
                </c:pt>
              </c:numCache>
            </c:numRef>
          </c:yVal>
          <c:smooth val="0"/>
          <c:extLst>
            <c:ext xmlns:c16="http://schemas.microsoft.com/office/drawing/2014/chart" uri="{C3380CC4-5D6E-409C-BE32-E72D297353CC}">
              <c16:uniqueId val="{00000000-1046-4749-8CDF-456ACBA087FF}"/>
            </c:ext>
          </c:extLst>
        </c:ser>
        <c:ser>
          <c:idx val="1"/>
          <c:order val="1"/>
          <c:tx>
            <c:strRef>
              <c:f>'4.06'!$A$69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'4.06'!$B$76:$R$76</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'4.06'!$B$77:$R$77</c:f>
              <c:numCache>
                <c:formatCode>_(* #,##0_);_(* \(#,##0\);_(* "-"_);_(@_)</c:formatCode>
                <c:ptCount val="17"/>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pt idx="16">
                  <c:v>9866</c:v>
                </c:pt>
              </c:numCache>
            </c:numRef>
          </c:yVal>
          <c:smooth val="0"/>
          <c:extLst>
            <c:ext xmlns:c16="http://schemas.microsoft.com/office/drawing/2014/chart" uri="{C3380CC4-5D6E-409C-BE32-E72D297353CC}">
              <c16:uniqueId val="{00000001-1046-4749-8CDF-456ACBA087F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'4.07'!$A$15</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'4.07'!$B$15:$R$15</c:f>
              <c:numCache>
                <c:formatCode>_(* #,##0_);_(* \(#,##0\);_(* "-"??_);_(@_)</c:formatCode>
                <c:ptCount val="17"/>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pt idx="16">
                  <c:v>5835</c:v>
                </c:pt>
              </c:numCache>
            </c:numRef>
          </c:yVal>
          <c:smooth val="0"/>
          <c:extLst>
            <c:ext xmlns:c16="http://schemas.microsoft.com/office/drawing/2014/chart" uri="{C3380CC4-5D6E-409C-BE32-E72D297353CC}">
              <c16:uniqueId val="{00000000-07C3-4A40-82D0-1E300D20338D}"/>
            </c:ext>
          </c:extLst>
        </c:ser>
        <c:ser>
          <c:idx val="1"/>
          <c:order val="1"/>
          <c:tx>
            <c:strRef>
              <c:f>'4.07'!$A$69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'4.07'!$B$76:$R$76</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'4.07'!$B$77:$R$77</c:f>
              <c:numCache>
                <c:formatCode>_(* #,##0_);_(* \(#,##0\);_(* "-"_);_(@_)</c:formatCode>
                <c:ptCount val="17"/>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pt idx="16">
                  <c:v>5835</c:v>
                </c:pt>
              </c:numCache>
            </c:numRef>
          </c:yVal>
          <c:smooth val="0"/>
          <c:extLst>
            <c:ext xmlns:c16="http://schemas.microsoft.com/office/drawing/2014/chart" uri="{C3380CC4-5D6E-409C-BE32-E72D297353CC}">
              <c16:uniqueId val="{00000001-07C3-4A40-82D0-1E300D20338D}"/>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'4.08'!$B$9:$R$9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'4.08'!$B$15:$R$15</c:f>
              <c:numCache>
                <c:formatCode>_(* #,##0_);_(* \(#,##0\);_(* "-"??_);_(@_)</c:formatCode>
                <c:ptCount val="17"/>
                <c:pt idx="0">
                  <c:v>3588</c:v>
                </c:pt>
                <c:pt idx="1">
                  <c:v>3267</c:v>
                </c:pt>
                <c:pt idx="2">
                  <c:v>3917</c:v>
                </c:pt>
                <c:pt idx="3">
                  <c:v>4112</c:v>
                </c:pt>
                <c:pt idx="4">
                  <c:v>4186</c:v>
                </c:pt>
                <c:pt idx="5">
                  <c:v>3895</c:v>
                </c:pt>
                <c:pt idx="6">
                  <c:v>3964</c:v>
                </c:pt>
                <c:pt idx="7">
                  <c:v>4196</c:v>
                </c:pt>
                <c:pt idx="8">
                  <c:v>4365</c:v>
                </c:pt>
                <c:pt idx="9">
                  <c:v>5433</c:v>
                </c:pt>
                <c:pt idx="10">
                  <c:v>4895</c:v>
                </c:pt>
                <c:pt idx="11">
                  <c:v>5270.734942</c:v>
                </c:pt>
                <c:pt idx="12">
                  <c:v>5390</c:v>
                </c:pt>
                <c:pt idx="13">
                  <c:v>5885</c:v>
                </c:pt>
                <c:pt idx="14">
                  <c:v>5682</c:v>
                </c:pt>
                <c:pt idx="15">
                  <c:v>6229</c:v>
                </c:pt>
                <c:pt idx="16">
                  <c:v>6490</c:v>
                </c:pt>
              </c:numCache>
            </c:numRef>
          </c:yVal>
          <c:smooth val="0"/>
          <c:extLst>
            <c:ext xmlns:c16="http://schemas.microsoft.com/office/drawing/2014/chart" uri="{C3380CC4-5D6E-409C-BE32-E72D297353CC}">
              <c16:uniqueId val="{00000000-826F-4421-83AC-4FBA76F40C7E}"/>
            </c:ext>
          </c:extLst>
        </c:ser>
        <c:ser>
          <c:idx val="1"/>
          <c:order val="1"/>
          <c:tx>
            <c:strRef>
              <c:f>'4.08'!$A$69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'4.08'!$B$76:$R$76</c:f>
              <c:numCache>
                <c:formatCode>General</c:formatCode>
                <c:ptCount val="17"/>
                <c:pt idx="0">
                  <c:v>2009</c:v>
                </c:pt>
                <c:pt idx="1">
                  <c:v>2010</c:v>
                </c:pt>
                <c:pt idx="2">
                  <c:v>2011</c:v>
                </c:pt>
                <c:pt idx="3">
                  <c:v>2012</c:v>
                </c:pt>
                <c:pt idx="4">
                  <c:v>2013</c:v>
                </c:pt>
                <c:pt idx="5">
                  <c:v>2014</c:v>
                </c:pt>
                <c:pt idx="6">
                  <c:v>2015</c:v>
                </c:pt>
                <c:pt idx="7">
                  <c:v>2016</c:v>
                </c:pt>
                <c:pt idx="8">
                  <c:v>#N/A</c:v>
                </c:pt>
                <c:pt idx="9">
                  <c:v>#N/A</c:v>
                </c:pt>
                <c:pt idx="10">
                  <c:v>#N/A</c:v>
                </c:pt>
                <c:pt idx="11">
                  <c:v>#N/A</c:v>
                </c:pt>
                <c:pt idx="12">
                  <c:v>#N/A</c:v>
                </c:pt>
                <c:pt idx="13">
                  <c:v>#N/A</c:v>
                </c:pt>
                <c:pt idx="14">
                  <c:v>#N/A</c:v>
                </c:pt>
                <c:pt idx="15">
                  <c:v>#N/A</c:v>
                </c:pt>
                <c:pt idx="16">
                  <c:v>#N/A</c:v>
                </c:pt>
              </c:numCache>
            </c:numRef>
          </c:xVal>
          <c:yVal>
            <c:numRef>
              <c:f>'4.08'!$B$77:$R$77</c:f>
              <c:numCache>
                <c:formatCode>_(* #,##0_);_(* \(#,##0\);_(* "-"_);_(@_)</c:formatCode>
                <c:ptCount val="17"/>
                <c:pt idx="0">
                  <c:v>5433</c:v>
                </c:pt>
                <c:pt idx="1">
                  <c:v>4895</c:v>
                </c:pt>
                <c:pt idx="2">
                  <c:v>5270.734942</c:v>
                </c:pt>
                <c:pt idx="3">
                  <c:v>5390</c:v>
                </c:pt>
                <c:pt idx="4">
                  <c:v>5885</c:v>
                </c:pt>
                <c:pt idx="5">
                  <c:v>5682</c:v>
                </c:pt>
                <c:pt idx="6">
                  <c:v>6229</c:v>
                </c:pt>
                <c:pt idx="7">
                  <c:v>6490</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826F-4421-83AC-4FBA76F40C7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Customer Service &amp;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'4.09'!$B$9:$R$9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'4.09'!$B$15:$R$15</c:f>
              <c:numCache>
                <c:formatCode>_(* #,##0_);_(* \(#,##0\);_(* "-"??_);_(@_)</c:formatCode>
                <c:ptCount val="17"/>
                <c:pt idx="0">
                  <c:v>507</c:v>
                </c:pt>
                <c:pt idx="1">
                  <c:v>564</c:v>
                </c:pt>
                <c:pt idx="2">
                  <c:v>556</c:v>
                </c:pt>
                <c:pt idx="3">
                  <c:v>718</c:v>
                </c:pt>
                <c:pt idx="4">
                  <c:v>480</c:v>
                </c:pt>
                <c:pt idx="5">
                  <c:v>681</c:v>
                </c:pt>
                <c:pt idx="6">
                  <c:v>1061</c:v>
                </c:pt>
                <c:pt idx="7">
                  <c:v>823</c:v>
                </c:pt>
                <c:pt idx="8">
                  <c:v>788</c:v>
                </c:pt>
                <c:pt idx="9">
                  <c:v>832</c:v>
                </c:pt>
                <c:pt idx="10">
                  <c:v>1089</c:v>
                </c:pt>
                <c:pt idx="11">
                  <c:v>824</c:v>
                </c:pt>
                <c:pt idx="12">
                  <c:v>1013</c:v>
                </c:pt>
                <c:pt idx="13">
                  <c:v>983</c:v>
                </c:pt>
                <c:pt idx="14">
                  <c:v>865</c:v>
                </c:pt>
                <c:pt idx="15">
                  <c:v>837</c:v>
                </c:pt>
                <c:pt idx="16">
                  <c:v>964</c:v>
                </c:pt>
              </c:numCache>
            </c:numRef>
          </c:yVal>
          <c:smooth val="0"/>
          <c:extLst>
            <c:ext xmlns:c16="http://schemas.microsoft.com/office/drawing/2014/chart" uri="{C3380CC4-5D6E-409C-BE32-E72D297353CC}">
              <c16:uniqueId val="{00000000-8E42-4BA9-BB9F-8D4C3B0CBD0C}"/>
            </c:ext>
          </c:extLst>
        </c:ser>
        <c:ser>
          <c:idx val="1"/>
          <c:order val="1"/>
          <c:tx>
            <c:strRef>
              <c:f>'4.09'!$A$69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'4.09'!$B$76:$R$76</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#N/A</c:v>
                </c:pt>
                <c:pt idx="12">
                  <c:v>#N/A</c:v>
                </c:pt>
                <c:pt idx="13">
                  <c:v>#N/A</c:v>
                </c:pt>
                <c:pt idx="14">
                  <c:v>#N/A</c:v>
                </c:pt>
                <c:pt idx="15">
                  <c:v>#N/A</c:v>
                </c:pt>
                <c:pt idx="16">
                  <c:v>#N/A</c:v>
                </c:pt>
              </c:numCache>
            </c:numRef>
          </c:xVal>
          <c:yVal>
            <c:numRef>
              <c:f>'4.09'!$B$77:$R$77</c:f>
              <c:numCache>
                <c:formatCode>_(* #,##0_);_(* \(#,##0\);_(* "-"_);_(@_)</c:formatCode>
                <c:ptCount val="17"/>
                <c:pt idx="0">
                  <c:v>1061</c:v>
                </c:pt>
                <c:pt idx="1">
                  <c:v>823</c:v>
                </c:pt>
                <c:pt idx="2">
                  <c:v>788</c:v>
                </c:pt>
                <c:pt idx="3">
                  <c:v>832</c:v>
                </c:pt>
                <c:pt idx="4">
                  <c:v>1089</c:v>
                </c:pt>
                <c:pt idx="5">
                  <c:v>824</c:v>
                </c:pt>
                <c:pt idx="6">
                  <c:v>1013</c:v>
                </c:pt>
                <c:pt idx="7">
                  <c:v>983</c:v>
                </c:pt>
                <c:pt idx="8">
                  <c:v>865</c:v>
                </c:pt>
                <c:pt idx="9">
                  <c:v>837</c:v>
                </c:pt>
                <c:pt idx="10">
                  <c:v>964</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8E42-4BA9-BB9F-8D4C3B0CBD0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'4.10'!$A$15</c:f>
              <c:strCache>
                <c:ptCount val="1"/>
                <c:pt idx="0">
                  <c:v>Total Administrative and General Operations Expense </c:v>
                </c:pt>
              </c:strCache>
            </c:strRef>
          </c:tx>
          <c:spPr>
            <a:ln w="28575" cap="rnd">
              <a:noFill/>
              <a:round/>
            </a:ln>
            <a:effectLst/>
          </c:spPr>
          <c:marker>
            <c:symbol val="dash"/>
            <c:size val="11"/>
            <c:spPr>
              <a:solidFill>
                <a:schemeClr val="accent1"/>
              </a:solidFill>
              <a:ln w="9525">
                <a:solidFill>
                  <a:schemeClr val="accent1"/>
                </a:solidFill>
              </a:ln>
              <a:effectLst/>
            </c:spPr>
          </c:marker>
          <c:xVal>
            <c:numRef>
              <c:f>'4.10'!$B$9:$R$9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'4.10'!$B$15:$R$15</c:f>
              <c:numCache>
                <c:formatCode>_(* #,##0_);_(* \(#,##0\);_(* "-"??_);_(@_)</c:formatCode>
                <c:ptCount val="17"/>
                <c:pt idx="0">
                  <c:v>7884</c:v>
                </c:pt>
                <c:pt idx="1">
                  <c:v>7352</c:v>
                </c:pt>
                <c:pt idx="2">
                  <c:v>9164</c:v>
                </c:pt>
                <c:pt idx="3">
                  <c:v>9620</c:v>
                </c:pt>
                <c:pt idx="4">
                  <c:v>8671</c:v>
                </c:pt>
                <c:pt idx="5">
                  <c:v>8917</c:v>
                </c:pt>
                <c:pt idx="6">
                  <c:v>8079</c:v>
                </c:pt>
                <c:pt idx="7">
                  <c:v>8566</c:v>
                </c:pt>
                <c:pt idx="8">
                  <c:v>9387</c:v>
                </c:pt>
                <c:pt idx="9">
                  <c:v>9502</c:v>
                </c:pt>
                <c:pt idx="10">
                  <c:v>11199</c:v>
                </c:pt>
                <c:pt idx="11">
                  <c:v>11389.118</c:v>
                </c:pt>
                <c:pt idx="12">
                  <c:v>13250</c:v>
                </c:pt>
                <c:pt idx="13">
                  <c:v>11701</c:v>
                </c:pt>
                <c:pt idx="14">
                  <c:v>12601</c:v>
                </c:pt>
                <c:pt idx="15">
                  <c:v>13840</c:v>
                </c:pt>
                <c:pt idx="16">
                  <c:v>13134</c:v>
                </c:pt>
              </c:numCache>
            </c:numRef>
          </c:yVal>
          <c:smooth val="0"/>
          <c:extLst>
            <c:ext xmlns:c16="http://schemas.microsoft.com/office/drawing/2014/chart" uri="{C3380CC4-5D6E-409C-BE32-E72D297353CC}">
              <c16:uniqueId val="{00000000-30AD-4658-822D-C2C4A15768C4}"/>
            </c:ext>
          </c:extLst>
        </c:ser>
        <c:ser>
          <c:idx val="1"/>
          <c:order val="1"/>
          <c:tx>
            <c:strRef>
              <c:f>'4.10'!$A$69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'4.10'!$B$76:$R$76</c:f>
              <c:numCache>
                <c:formatCode>General</c:formatCode>
                <c:ptCount val="17"/>
                <c:pt idx="0">
                  <c:v>2012</c:v>
                </c:pt>
                <c:pt idx="1">
                  <c:v>2013</c:v>
                </c:pt>
                <c:pt idx="2">
                  <c:v>2014</c:v>
                </c:pt>
                <c:pt idx="3">
                  <c:v>2015</c:v>
                </c:pt>
                <c:pt idx="4">
                  <c:v>2016</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'4.10'!$B$77:$R$77</c:f>
              <c:numCache>
                <c:formatCode>_(* #,##0_);_(* \(#,##0\);_(* "-"_);_(@_)</c:formatCode>
                <c:ptCount val="17"/>
                <c:pt idx="0">
                  <c:v>13250</c:v>
                </c:pt>
                <c:pt idx="1">
                  <c:v>11701</c:v>
                </c:pt>
                <c:pt idx="2">
                  <c:v>12601</c:v>
                </c:pt>
                <c:pt idx="3">
                  <c:v>13840</c:v>
                </c:pt>
                <c:pt idx="4">
                  <c:v>13134</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30AD-4658-822D-C2C4A15768C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Administrative and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'4.11'!$B$9:$R$9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'4.11'!$B$15:$R$15</c:f>
              <c:numCache>
                <c:formatCode>_(* #,##0_);_(* \(#,##0\);_(* "-"??_);_(@_)</c:formatCode>
                <c:ptCount val="17"/>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pt idx="16">
                  <c:v>6260</c:v>
                </c:pt>
              </c:numCache>
            </c:numRef>
          </c:yVal>
          <c:smooth val="0"/>
          <c:extLst>
            <c:ext xmlns:c16="http://schemas.microsoft.com/office/drawing/2014/chart" uri="{C3380CC4-5D6E-409C-BE32-E72D297353CC}">
              <c16:uniqueId val="{00000000-B259-4217-A01D-0F52AE8F5DD7}"/>
            </c:ext>
          </c:extLst>
        </c:ser>
        <c:ser>
          <c:idx val="1"/>
          <c:order val="1"/>
          <c:tx>
            <c:strRef>
              <c:f>'4.11'!$A$69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'4.11'!$B$76:$R$76</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'4.11'!$B$77:$R$77</c:f>
              <c:numCache>
                <c:formatCode>_(* #,##0_);_(* \(#,##0\);_(* "-"_);_(@_)</c:formatCode>
                <c:ptCount val="17"/>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pt idx="16">
                  <c:v>6260</c:v>
                </c:pt>
              </c:numCache>
            </c:numRef>
          </c:yVal>
          <c:smooth val="0"/>
          <c:extLst>
            <c:ext xmlns:c16="http://schemas.microsoft.com/office/drawing/2014/chart" uri="{C3380CC4-5D6E-409C-BE32-E72D297353CC}">
              <c16:uniqueId val="{00000001-B259-4217-A01D-0F52AE8F5DD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Undgerground Storage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'4.12'!$B$15:$R$15</c:f>
              <c:numCache>
                <c:formatCode>_(* #,##0_);_(* \(#,##0\);_(* "-"??_);_(@_)</c:formatCode>
                <c:ptCount val="17"/>
                <c:pt idx="0">
                  <c:v>7503</c:v>
                </c:pt>
                <c:pt idx="1">
                  <c:v>7313</c:v>
                </c:pt>
                <c:pt idx="2">
                  <c:v>7324</c:v>
                </c:pt>
                <c:pt idx="3">
                  <c:v>7217</c:v>
                </c:pt>
                <c:pt idx="4">
                  <c:v>6973</c:v>
                </c:pt>
                <c:pt idx="5">
                  <c:v>6784</c:v>
                </c:pt>
                <c:pt idx="6">
                  <c:v>6605</c:v>
                </c:pt>
                <c:pt idx="7">
                  <c:v>6331</c:v>
                </c:pt>
                <c:pt idx="8">
                  <c:v>7679</c:v>
                </c:pt>
                <c:pt idx="9">
                  <c:v>13991</c:v>
                </c:pt>
                <c:pt idx="10">
                  <c:v>12135</c:v>
                </c:pt>
                <c:pt idx="11">
                  <c:v>13722</c:v>
                </c:pt>
                <c:pt idx="12">
                  <c:v>15688</c:v>
                </c:pt>
                <c:pt idx="13">
                  <c:v>15623</c:v>
                </c:pt>
                <c:pt idx="14">
                  <c:v>15714</c:v>
                </c:pt>
                <c:pt idx="15">
                  <c:v>15814</c:v>
                </c:pt>
                <c:pt idx="16">
                  <c:v>16550</c:v>
                </c:pt>
              </c:numCache>
            </c:numRef>
          </c:yVal>
          <c:smooth val="0"/>
          <c:extLst>
            <c:ext xmlns:c16="http://schemas.microsoft.com/office/drawing/2014/chart" uri="{C3380CC4-5D6E-409C-BE32-E72D297353CC}">
              <c16:uniqueId val="{00000000-4DF9-437A-B4A6-7D81A3A3B96A}"/>
            </c:ext>
          </c:extLst>
        </c:ser>
        <c:ser>
          <c:idx val="1"/>
          <c:order val="1"/>
          <c:tx>
            <c:strRef>
              <c:f>'4.12'!$A$68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'4.12'!$B$75:$R$75</c:f>
              <c:numCache>
                <c:formatCode>General</c:formatCode>
                <c:ptCount val="17"/>
                <c:pt idx="0">
                  <c:v>2012</c:v>
                </c:pt>
                <c:pt idx="1">
                  <c:v>2013</c:v>
                </c:pt>
                <c:pt idx="2">
                  <c:v>2014</c:v>
                </c:pt>
                <c:pt idx="3">
                  <c:v>2015</c:v>
                </c:pt>
                <c:pt idx="4">
                  <c:v>2016</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'4.12'!$B$76:$R$76</c:f>
              <c:numCache>
                <c:formatCode>_(* #,##0_);_(* \(#,##0\);_(* "-"_);_(@_)</c:formatCode>
                <c:ptCount val="17"/>
                <c:pt idx="0">
                  <c:v>15688</c:v>
                </c:pt>
                <c:pt idx="1">
                  <c:v>15623</c:v>
                </c:pt>
                <c:pt idx="2">
                  <c:v>15714</c:v>
                </c:pt>
                <c:pt idx="3">
                  <c:v>15814</c:v>
                </c:pt>
                <c:pt idx="4">
                  <c:v>16550</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4DF9-437A-B4A6-7D81A3A3B96A}"/>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'4.13'!$B$15:$R$15</c:f>
              <c:numCache>
                <c:formatCode>_(* #,##0_);_(* \(#,##0\);_(* "-"??_);_(@_)</c:formatCode>
                <c:ptCount val="17"/>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pt idx="16">
                  <c:v>261410</c:v>
                </c:pt>
              </c:numCache>
            </c:numRef>
          </c:yVal>
          <c:smooth val="0"/>
          <c:extLst>
            <c:ext xmlns:c16="http://schemas.microsoft.com/office/drawing/2014/chart" uri="{C3380CC4-5D6E-409C-BE32-E72D297353CC}">
              <c16:uniqueId val="{00000000-181E-4DCB-A545-F1F901A82A05}"/>
            </c:ext>
          </c:extLst>
        </c:ser>
        <c:ser>
          <c:idx val="1"/>
          <c:order val="1"/>
          <c:tx>
            <c:strRef>
              <c:f>'4.13'!$A$68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'4.13'!$B$75:$R$75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'4.13'!$B$76:$R$76</c:f>
              <c:numCache>
                <c:formatCode>_(* #,##0_);_(* \(#,##0\);_(* "-"_);_(@_)</c:formatCode>
                <c:ptCount val="17"/>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pt idx="16">
                  <c:v>261410</c:v>
                </c:pt>
              </c:numCache>
            </c:numRef>
          </c:yVal>
          <c:smooth val="0"/>
          <c:extLst>
            <c:ext xmlns:c16="http://schemas.microsoft.com/office/drawing/2014/chart" uri="{C3380CC4-5D6E-409C-BE32-E72D297353CC}">
              <c16:uniqueId val="{00000001-181E-4DCB-A545-F1F901A82A05}"/>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'4.14'!$B$15:$R$15</c:f>
              <c:numCache>
                <c:formatCode>_(* #,##0_);_(* \(#,##0\);_(* "-"??_);_(@_)</c:formatCode>
                <c:ptCount val="17"/>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pt idx="16">
                  <c:v>59151</c:v>
                </c:pt>
              </c:numCache>
            </c:numRef>
          </c:yVal>
          <c:smooth val="0"/>
          <c:extLst>
            <c:ext xmlns:c16="http://schemas.microsoft.com/office/drawing/2014/chart" uri="{C3380CC4-5D6E-409C-BE32-E72D297353CC}">
              <c16:uniqueId val="{00000000-9D3B-481F-BD69-24F765C1F5F2}"/>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'4.14'!$B$75:$R$75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'4.14'!$B$76:$R$76</c:f>
              <c:numCache>
                <c:formatCode>_(* #,##0_);_(* \(#,##0\);_(* "-"_);_(@_)</c:formatCode>
                <c:ptCount val="17"/>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pt idx="16">
                  <c:v>59151</c:v>
                </c:pt>
              </c:numCache>
            </c:numRef>
          </c:yVal>
          <c:smooth val="0"/>
          <c:extLst>
            <c:ext xmlns:c16="http://schemas.microsoft.com/office/drawing/2014/chart" uri="{C3380CC4-5D6E-409C-BE32-E72D297353CC}">
              <c16:uniqueId val="{00000001-9D3B-481F-BD69-24F765C1F5F2}"/>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'4.15'!$B$9:$R$9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'4.15'!$B$14:$R$14</c:f>
              <c:numCache>
                <c:formatCode>_(* #,##0_);_(* \(#,##0\);_(* "-"??_);_(@_)</c:formatCode>
                <c:ptCount val="17"/>
                <c:pt idx="0">
                  <c:v>13317</c:v>
                </c:pt>
                <c:pt idx="1">
                  <c:v>14476</c:v>
                </c:pt>
                <c:pt idx="2">
                  <c:v>15979</c:v>
                </c:pt>
                <c:pt idx="3">
                  <c:v>22570</c:v>
                </c:pt>
                <c:pt idx="4">
                  <c:v>26800</c:v>
                </c:pt>
                <c:pt idx="5">
                  <c:v>23805</c:v>
                </c:pt>
                <c:pt idx="6">
                  <c:v>24645</c:v>
                </c:pt>
                <c:pt idx="7">
                  <c:v>26823</c:v>
                </c:pt>
                <c:pt idx="8">
                  <c:v>28945</c:v>
                </c:pt>
                <c:pt idx="9">
                  <c:v>31005</c:v>
                </c:pt>
                <c:pt idx="10">
                  <c:v>36762</c:v>
                </c:pt>
                <c:pt idx="11">
                  <c:v>42004</c:v>
                </c:pt>
                <c:pt idx="12">
                  <c:v>46498</c:v>
                </c:pt>
                <c:pt idx="13">
                  <c:v>50170</c:v>
                </c:pt>
                <c:pt idx="14">
                  <c:v>54652</c:v>
                </c:pt>
                <c:pt idx="15">
                  <c:v>64929</c:v>
                </c:pt>
                <c:pt idx="16">
                  <c:v>74181</c:v>
                </c:pt>
              </c:numCache>
            </c:numRef>
          </c:yVal>
          <c:smooth val="0"/>
          <c:extLst>
            <c:ext xmlns:c16="http://schemas.microsoft.com/office/drawing/2014/chart" uri="{C3380CC4-5D6E-409C-BE32-E72D297353CC}">
              <c16:uniqueId val="{00000000-E5AB-47A5-9A45-8EEE3C0AA458}"/>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'4.15'!$B$75:$R$75</c:f>
              <c:numCache>
                <c:formatCode>General</c:formatCode>
                <c:ptCount val="17"/>
                <c:pt idx="0">
                  <c:v>2009</c:v>
                </c:pt>
                <c:pt idx="1">
                  <c:v>2010</c:v>
                </c:pt>
                <c:pt idx="2">
                  <c:v>2011</c:v>
                </c:pt>
                <c:pt idx="3">
                  <c:v>2012</c:v>
                </c:pt>
                <c:pt idx="4">
                  <c:v>2013</c:v>
                </c:pt>
                <c:pt idx="5">
                  <c:v>2014</c:v>
                </c:pt>
                <c:pt idx="6">
                  <c:v>2015</c:v>
                </c:pt>
                <c:pt idx="7">
                  <c:v>2016</c:v>
                </c:pt>
                <c:pt idx="8">
                  <c:v>#N/A</c:v>
                </c:pt>
                <c:pt idx="9">
                  <c:v>#N/A</c:v>
                </c:pt>
                <c:pt idx="10">
                  <c:v>#N/A</c:v>
                </c:pt>
                <c:pt idx="11">
                  <c:v>#N/A</c:v>
                </c:pt>
                <c:pt idx="12">
                  <c:v>#N/A</c:v>
                </c:pt>
                <c:pt idx="13">
                  <c:v>#N/A</c:v>
                </c:pt>
                <c:pt idx="14">
                  <c:v>#N/A</c:v>
                </c:pt>
                <c:pt idx="15">
                  <c:v>#N/A</c:v>
                </c:pt>
                <c:pt idx="16">
                  <c:v>#N/A</c:v>
                </c:pt>
              </c:numCache>
            </c:numRef>
          </c:xVal>
          <c:yVal>
            <c:numRef>
              <c:f>'4.15'!$B$76:$R$76</c:f>
              <c:numCache>
                <c:formatCode>_(* #,##0_);_(* \(#,##0\);_(* "-"_);_(@_)</c:formatCode>
                <c:ptCount val="17"/>
                <c:pt idx="0">
                  <c:v>31005</c:v>
                </c:pt>
                <c:pt idx="1">
                  <c:v>36762</c:v>
                </c:pt>
                <c:pt idx="2">
                  <c:v>42004</c:v>
                </c:pt>
                <c:pt idx="3">
                  <c:v>46498</c:v>
                </c:pt>
                <c:pt idx="4">
                  <c:v>50170</c:v>
                </c:pt>
                <c:pt idx="5">
                  <c:v>54652</c:v>
                </c:pt>
                <c:pt idx="6">
                  <c:v>64929</c:v>
                </c:pt>
                <c:pt idx="7">
                  <c:v>74181</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E5AB-47A5-9A45-8EEE3C0AA458}"/>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130396</xdr:rowOff>
    </xdr:from>
    <xdr:to>
      <xdr:col>17</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18</xdr:col>
      <xdr:colOff>1119</xdr:colOff>
      <xdr:row>24</xdr:row>
      <xdr:rowOff>11206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Amounts reflected in the purchased gas expense category of cost have remained relatively flat since 2007.  While the data does not indicate a strong upward trend in recent years, my model uses the Company’s escalation period of 2007 to 2016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17</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18</xdr:col>
      <xdr:colOff>1119</xdr:colOff>
      <xdr:row>24</xdr:row>
      <xdr:rowOff>34636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5863" y="3018634"/>
          <a:ext cx="10392029" cy="15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underground storage operating expense category of cost was relatively flat over the period 2000 through 2009.  Then, beginning in 2010, this category of cost began to increase, only to level-off again between 2013 and 2015.  These cost subsequently increased in 2016.   The large increase in 2010 may be related to a reversionary interest held by Avista in the Jackson Prairie gas storage facility. The increases around the 2010 time-frame may also be related to some non-recurring investments in the Jackson Prairie storage facility to increase the capacity of the storage facility in 2010.   Because, the increases that occurred between 2010 and 2013 appears to be related to non-recurring events, I viewed it to be more appropriate to exclude the impact of that period from the trend calculation. Accordingly, my model uses the historical trend that occurred over the period 2000 through 2009, which result in an assumption that this category of cost will remain relatively flat in future periods,</a:t>
          </a:r>
          <a:r>
            <a:rPr lang="en-US" sz="1200" baseline="0">
              <a:solidFill>
                <a:schemeClr val="dk1"/>
              </a:solidFill>
              <a:effectLst/>
              <a:latin typeface="+mn-lt"/>
              <a:ea typeface="+mn-ea"/>
              <a:cs typeface="+mn-cs"/>
            </a:rPr>
            <a:t> based on the historical experience over 2000 through 2010</a:t>
          </a:r>
          <a:r>
            <a:rPr lang="en-US" sz="1200">
              <a:solidFill>
                <a:schemeClr val="dk1"/>
              </a:solidFill>
              <a:effectLst/>
              <a:latin typeface="+mn-lt"/>
              <a:ea typeface="+mn-ea"/>
              <a:cs typeface="+mn-cs"/>
            </a:rPr>
            <a:t>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this category of cost remained relatively flat, declining slightly.   Beginning in 2009, however, the cost data begins to show a slightly different pattern, indicating a slight upward trend.  While the pattern of this category of cost is not very well defined in the recent period, my model uses the linear trend over the period 2009 through 2016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category of cost was irregular in</a:t>
          </a:r>
          <a:r>
            <a:rPr lang="en-US" sz="1200" baseline="0">
              <a:solidFill>
                <a:schemeClr val="dk1"/>
              </a:solidFill>
              <a:effectLst/>
              <a:latin typeface="+mn-lt"/>
              <a:ea typeface="+mn-ea"/>
              <a:cs typeface="+mn-cs"/>
            </a:rPr>
            <a:t> the recent </a:t>
          </a:r>
          <a:r>
            <a:rPr lang="en-US" sz="1200">
              <a:solidFill>
                <a:schemeClr val="dk1"/>
              </a:solidFill>
              <a:effectLst/>
              <a:latin typeface="+mn-lt"/>
              <a:ea typeface="+mn-ea"/>
              <a:cs typeface="+mn-cs"/>
            </a:rPr>
            <a:t>historical period.  While it remained flat from 2000 through 2010, the expense dropped to nearly zero in 2011 and 2012, only to increase to even greater levels through 2016.  In the past I</a:t>
          </a:r>
          <a:r>
            <a:rPr lang="en-US" sz="1200" baseline="0">
              <a:solidFill>
                <a:schemeClr val="dk1"/>
              </a:solidFill>
              <a:effectLst/>
              <a:latin typeface="+mn-lt"/>
              <a:ea typeface="+mn-ea"/>
              <a:cs typeface="+mn-cs"/>
            </a:rPr>
            <a:t> determined that there was </a:t>
          </a:r>
          <a:r>
            <a:rPr lang="en-US" sz="1200">
              <a:solidFill>
                <a:schemeClr val="dk1"/>
              </a:solidFill>
              <a:effectLst/>
              <a:latin typeface="+mn-lt"/>
              <a:ea typeface="+mn-ea"/>
              <a:cs typeface="+mn-cs"/>
            </a:rPr>
            <a:t> no discernable trend </a:t>
          </a:r>
          <a:r>
            <a:rPr lang="en-US" sz="1200" baseline="0">
              <a:solidFill>
                <a:schemeClr val="dk1"/>
              </a:solidFill>
              <a:effectLst/>
              <a:latin typeface="+mn-lt"/>
              <a:ea typeface="+mn-ea"/>
              <a:cs typeface="+mn-cs"/>
            </a:rPr>
            <a:t>and </a:t>
          </a:r>
          <a:r>
            <a:rPr lang="en-US" sz="1200">
              <a:solidFill>
                <a:schemeClr val="dk1"/>
              </a:solidFill>
              <a:effectLst/>
              <a:latin typeface="+mn-lt"/>
              <a:ea typeface="+mn-ea"/>
              <a:cs typeface="+mn-cs"/>
            </a:rPr>
            <a:t>assumed no escalation for this category of cost.</a:t>
          </a:r>
          <a:r>
            <a:rPr lang="en-US" sz="1200" baseline="0">
              <a:solidFill>
                <a:schemeClr val="dk1"/>
              </a:solidFill>
              <a:effectLst/>
              <a:latin typeface="+mn-lt"/>
              <a:ea typeface="+mn-ea"/>
              <a:cs typeface="+mn-cs"/>
            </a:rPr>
            <a:t> Based on the additional data from 2016, I have calculated the trend line over the entire period, excluding data from 2011 and 2012.</a:t>
          </a:r>
        </a:p>
        <a:p>
          <a:pPr marL="0" marR="0" indent="0" defTabSz="914400" eaLnBrk="1" fontAlgn="auto" latinLnBrk="0" hangingPunct="1">
            <a:lnSpc>
              <a:spcPct val="100000"/>
            </a:lnSpc>
            <a:spcBef>
              <a:spcPts val="0"/>
            </a:spcBef>
            <a:spcAft>
              <a:spcPts val="0"/>
            </a:spcAft>
            <a:buClrTx/>
            <a:buSzTx/>
            <a:buFontTx/>
            <a:buNone/>
            <a:tabLst/>
            <a:defRPr/>
          </a:pP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cost related to distribution operating expenses has grown at a fairly steady rate over the historical period.  The Company’s proposed escalation period of 2007 through 2016 is not preferable for this category of cost, however, because the category of cost experienced a decline between 2006 and 2008.   If the 2007 through 2016 period is to be used, the trend calculation will be starting at a low point in the longer term trend, and thus, potentially producing an escalation rate that is too high, relative to the long term trend.  Accordingly, my model uses the entire historical period to calculate the escalation rate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depreciation expense experienced historical growth patterns similar to that of distribution operations expense and have grown at a fairly steady rate over the historical period.  For the same reason that the entire historical period was used for distribution operations expense, and for consistency purposes, my model uses the entire historical period to calculate the escalation rate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taxes</a:t>
          </a:r>
          <a:r>
            <a:rPr lang="en-US" sz="1200" baseline="0">
              <a:solidFill>
                <a:schemeClr val="dk1"/>
              </a:solidFill>
              <a:effectLst/>
              <a:latin typeface="+mn-lt"/>
              <a:ea typeface="+mn-ea"/>
              <a:cs typeface="+mn-cs"/>
            </a:rPr>
            <a:t> other than income taxes </a:t>
          </a:r>
          <a:r>
            <a:rPr lang="en-US" sz="1200">
              <a:solidFill>
                <a:schemeClr val="dk1"/>
              </a:solidFill>
              <a:effectLst/>
              <a:latin typeface="+mn-lt"/>
              <a:ea typeface="+mn-ea"/>
              <a:cs typeface="+mn-cs"/>
            </a:rPr>
            <a:t>experienced historical growth patterns similar to that of distribution operations and depreciations expenses.  However, the pattern of growth has been less steady compared to those other distribution-related categories of costs, varying more from the historical trend lines.  For the same reason that the entire historical period was used for distribution operations expense, and for consistency purposes, my model uses the entire historical period to calculate the escalation rate for this category of cost.  One point of interest related to this category of cost is that if a 2007 to 2016 escalation period is used, the trend line will be unnecessarily influenced by a decrease in this category of cost that occurred in 2008, as noted with distribution operations expense, starting the trend calculation in</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2007 means that the trend line will be starting at a low point and will not necessarily be indicative of the longer term trend expected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While this category of cost has grown over the historical period, the rate of growth appears</a:t>
          </a:r>
          <a:r>
            <a:rPr lang="en-US" sz="1200" baseline="0">
              <a:solidFill>
                <a:schemeClr val="dk1"/>
              </a:solidFill>
              <a:effectLst/>
              <a:latin typeface="+mn-lt"/>
              <a:ea typeface="+mn-ea"/>
              <a:cs typeface="+mn-cs"/>
            </a:rPr>
            <a:t> to have</a:t>
          </a:r>
          <a:r>
            <a:rPr lang="en-US" sz="1200">
              <a:solidFill>
                <a:schemeClr val="dk1"/>
              </a:solidFill>
              <a:effectLst/>
              <a:latin typeface="+mn-lt"/>
              <a:ea typeface="+mn-ea"/>
              <a:cs typeface="+mn-cs"/>
            </a:rPr>
            <a:t> leveled-off over the period 2009 through 2016.  Accordingly, my model uses an escalation period of 2009 through 2016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This category of cost has varied widely over the historical period, and a clear trend is not necessarily present in the historical data.  In addition, from the period 2006 through 2015, this category of cost has not increased, and, has relatively flat.  Accordingly, my model uses the escalation period 2007 through 2016.</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While the category of cost related to administrative and general operations expense has experienced growth in the long term, over the past four years ,2012 through 2015, it has been flat, increasing only slightly.  In fact, in 2016 this</a:t>
          </a:r>
          <a:r>
            <a:rPr lang="en-US" sz="1200" baseline="0">
              <a:solidFill>
                <a:schemeClr val="dk1"/>
              </a:solidFill>
              <a:effectLst/>
              <a:latin typeface="+mn-lt"/>
              <a:ea typeface="+mn-ea"/>
              <a:cs typeface="+mn-cs"/>
            </a:rPr>
            <a:t> category of costs declined. </a:t>
          </a:r>
          <a:r>
            <a:rPr lang="en-US" sz="1200">
              <a:solidFill>
                <a:schemeClr val="dk1"/>
              </a:solidFill>
              <a:effectLst/>
              <a:latin typeface="+mn-lt"/>
              <a:ea typeface="+mn-ea"/>
              <a:cs typeface="+mn-cs"/>
            </a:rPr>
            <a:t>This is an indication that the Company has been controlling this expense and is capable of doing so in the future.  It is also an indication that the long-term historical trend may not be the best indication of future growth in this category of cost.  Accordingly, my model uses the period 2012 through 2016 to determine the escalation factor applicable to this category of cost,</a:t>
          </a:r>
          <a:r>
            <a:rPr lang="en-US" sz="1200" baseline="0">
              <a:solidFill>
                <a:schemeClr val="dk1"/>
              </a:solidFill>
              <a:effectLst/>
              <a:latin typeface="+mn-lt"/>
              <a:ea typeface="+mn-ea"/>
              <a:cs typeface="+mn-cs"/>
            </a:rPr>
            <a:t> although no escalation to this category of cost may be appropriate given the reductions experienced in 2016.</a:t>
          </a:r>
          <a:r>
            <a:rPr lang="en-US" sz="1200">
              <a:solidFill>
                <a:schemeClr val="dk1"/>
              </a:solidFill>
              <a:effectLst/>
              <a:latin typeface="+mn-lt"/>
              <a:ea typeface="+mn-ea"/>
              <a:cs typeface="+mn-cs"/>
            </a:rPr>
            <a:t>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74542</xdr:rowOff>
    </xdr:from>
    <xdr:to>
      <xdr:col>17</xdr:col>
      <xdr:colOff>1119</xdr:colOff>
      <xdr:row>25</xdr:row>
      <xdr:rowOff>103908</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3965863" y="2741542"/>
          <a:ext cx="10392029" cy="163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for electric services, the degree of escalation in this category of cost is somewhat concerning, particularly because the Company maintains more control over the deployment of capital on general plant than for other categories of plant.  In addition, since this sort of plant is typically a common cost, it is not clear how changing allocation factors are influencing the amount of cost allocated to Washington natural gas services over the historical period. This is an important consideration, as this category of cost appears to grow at a much greater rate for natural</a:t>
          </a:r>
          <a:r>
            <a:rPr lang="en-US" sz="1200" baseline="0">
              <a:solidFill>
                <a:schemeClr val="dk1"/>
              </a:solidFill>
              <a:effectLst/>
              <a:latin typeface="+mn-lt"/>
              <a:ea typeface="+mn-ea"/>
              <a:cs typeface="+mn-cs"/>
            </a:rPr>
            <a:t> gas services</a:t>
          </a:r>
          <a:r>
            <a:rPr lang="en-US" sz="1200">
              <a:solidFill>
                <a:schemeClr val="dk1"/>
              </a:solidFill>
              <a:effectLst/>
              <a:latin typeface="+mn-lt"/>
              <a:ea typeface="+mn-ea"/>
              <a:cs typeface="+mn-cs"/>
            </a:rPr>
            <a:t> than for electric services.  This indicates that there may be some other unknown factors influencing the trend for natural gas services.  For purposes of my model, I have used the entire historical period to calculate the escalation factor for this category of cost.  While I remain concerned that growth in this category of cost is not well supported, I viewed the escalation over the long term historical period to produce a more reasonable result than the Company’s proposed escalation period.</a:t>
          </a:r>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plant related to underground storage net plant remained relatively flat over the period 2000 through 2008.  Then, in 2009, this category of plant experienced a sharp increase.  Subsequent to 2012, this category of plant has experienced a flat pattern.  In fact, over there period 2012 through 2016, the net balances applicable to this category of plant changed very little.  Accordingly, my model uses the period 2012 through 2016 as the escalation period for this category of plant.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Similar to distribution related expenses, this net plant associated with distribution increase at a steady rate over the historical period.  Accordingly, my model used the entire historical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for administrative and general depreciation expense, the growth in</a:t>
          </a:r>
          <a:r>
            <a:rPr lang="en-US" sz="1200" baseline="0">
              <a:solidFill>
                <a:schemeClr val="dk1"/>
              </a:solidFill>
              <a:effectLst/>
              <a:latin typeface="+mn-lt"/>
              <a:ea typeface="+mn-ea"/>
              <a:cs typeface="+mn-cs"/>
            </a:rPr>
            <a:t> the gneral net </a:t>
          </a:r>
          <a:r>
            <a:rPr lang="en-US" sz="1200">
              <a:solidFill>
                <a:schemeClr val="dk1"/>
              </a:solidFill>
              <a:effectLst/>
              <a:latin typeface="+mn-lt"/>
              <a:ea typeface="+mn-ea"/>
              <a:cs typeface="+mn-cs"/>
            </a:rPr>
            <a:t>plant category is concerning because it is a category of investment over which the Company typically has more control.  In addition, because this is a common cost, it is also unknown how changing allocation factors have influenced the trend over time. For purposes of my model, I have used the entire historical period to calculate the escalation factor for this category of cost.  While I remain concerned that growth in this category of cost is not well supported, I viewed the escalation over the long term historical period to produce a more reasonable result than the Company’s proposed escalation period. </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3977986" y="26653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Because of the availability of bonus and accelerated depreciation for tax purposes, my expectation was that deferred income tax balances would grow at rate in excess of the rate of growth applicable to net plant.  Upon review of the data, it appears that the rate of growth in this category of cost over the long term has generally aligned with the</a:t>
          </a:r>
          <a:r>
            <a:rPr lang="en-US" sz="1200" baseline="0">
              <a:solidFill>
                <a:schemeClr val="dk1"/>
              </a:solidFill>
              <a:effectLst/>
              <a:latin typeface="+mn-lt"/>
              <a:ea typeface="+mn-ea"/>
              <a:cs typeface="+mn-cs"/>
            </a:rPr>
            <a:t> rate of growth applicable to other</a:t>
          </a:r>
          <a:r>
            <a:rPr lang="en-US" sz="1200">
              <a:solidFill>
                <a:schemeClr val="dk1"/>
              </a:solidFill>
              <a:effectLst/>
              <a:latin typeface="+mn-lt"/>
              <a:ea typeface="+mn-ea"/>
              <a:cs typeface="+mn-cs"/>
            </a:rPr>
            <a:t> plant categories.  However, in recent years, the growth in this category of cost appears to have increased.   Accordingly, my model uses the period 2009 through 2016 to establish the escalation rate for this category of cost.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E-170485-UG-170486_Exh.%20BGM-4_Mullins%20(ICNU-NWIGU)(10.27.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E-170485-UG-170486_Exh.%20BGM-3_Mullins%20(ICNU-NWIGU)(10.27.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rk/30_ava/3046-9%20-%202018%20GRC/dir/_wps/D.%20UE__Andrews%20WPs%20(AVA-May17)/Exh%20EMA-8%20K-Factor%20WA%20Gas%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k/30_ava/3046-8%20-%20UE-160228%202016%20GRC/reb/Staff/Staff%20Exhibits%208-17-16%20-%20CONF/Hancock%20Exh%20CSH-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4 1"/>
      <sheetName val="Exh. No. BGM-4 2"/>
      <sheetName val="Exh. No. BGM-4 3"/>
      <sheetName val="Acerno_Cache_XXXXX"/>
      <sheetName val="Exh. No. BGM 4 4"/>
      <sheetName val="Workpapers-&gt;"/>
      <sheetName val="Table 2"/>
      <sheetName val="LEAD SHEETS-DO NOT ENTER"/>
      <sheetName val="ADJ SUMMARY"/>
      <sheetName val="DEBT CALC"/>
      <sheetName val="ROO INPUT"/>
      <sheetName val="Recap Summary"/>
      <sheetName val="not used PROP0SED RATES-2018"/>
      <sheetName val="not used PROP0SED RATES-2019"/>
    </sheetNames>
    <sheetDataSet>
      <sheetData sheetId="0">
        <row r="46">
          <cell r="R46">
            <v>299816.61158460833</v>
          </cell>
        </row>
      </sheetData>
      <sheetData sheetId="1">
        <row r="29">
          <cell r="F29">
            <v>152089</v>
          </cell>
        </row>
      </sheetData>
      <sheetData sheetId="2">
        <row r="15">
          <cell r="E15">
            <v>4.8267980101441661E-3</v>
          </cell>
        </row>
        <row r="19">
          <cell r="E19">
            <v>3.8334071740649248E-2</v>
          </cell>
        </row>
      </sheetData>
      <sheetData sheetId="3"/>
      <sheetData sheetId="4">
        <row r="15">
          <cell r="X15">
            <v>150970</v>
          </cell>
          <cell r="AF15">
            <v>-66671</v>
          </cell>
        </row>
        <row r="16">
          <cell r="X16">
            <v>4477</v>
          </cell>
          <cell r="AF16">
            <v>56</v>
          </cell>
        </row>
        <row r="17">
          <cell r="X17">
            <v>1020</v>
          </cell>
          <cell r="AF17">
            <v>-776</v>
          </cell>
        </row>
        <row r="22">
          <cell r="X22">
            <v>63460</v>
          </cell>
          <cell r="AF22">
            <v>-63460</v>
          </cell>
        </row>
        <row r="23">
          <cell r="X23">
            <v>994</v>
          </cell>
        </row>
        <row r="24">
          <cell r="X24">
            <v>0</v>
          </cell>
        </row>
        <row r="28">
          <cell r="X28">
            <v>974</v>
          </cell>
        </row>
        <row r="29">
          <cell r="X29">
            <v>492</v>
          </cell>
        </row>
        <row r="30">
          <cell r="X30">
            <v>210</v>
          </cell>
        </row>
        <row r="34">
          <cell r="X34">
            <v>12050</v>
          </cell>
        </row>
        <row r="35">
          <cell r="X35">
            <v>9853</v>
          </cell>
        </row>
        <row r="36">
          <cell r="X36">
            <v>8383</v>
          </cell>
          <cell r="AF36">
            <v>-2554</v>
          </cell>
        </row>
        <row r="39">
          <cell r="X39">
            <v>6812</v>
          </cell>
          <cell r="AF39">
            <v>-322</v>
          </cell>
        </row>
        <row r="40">
          <cell r="X40">
            <v>963</v>
          </cell>
        </row>
        <row r="41">
          <cell r="X41">
            <v>0</v>
          </cell>
        </row>
        <row r="44">
          <cell r="X44">
            <v>13350</v>
          </cell>
          <cell r="AF44">
            <v>-133</v>
          </cell>
        </row>
        <row r="45">
          <cell r="X45">
            <v>6260</v>
          </cell>
        </row>
        <row r="46">
          <cell r="X46">
            <v>1079</v>
          </cell>
          <cell r="AG46">
            <v>-1079</v>
          </cell>
        </row>
        <row r="47">
          <cell r="X47">
            <v>0</v>
          </cell>
        </row>
        <row r="54">
          <cell r="X54">
            <v>-1128.6000000000004</v>
          </cell>
          <cell r="AF54">
            <v>-322.7</v>
          </cell>
          <cell r="AG54">
            <v>377.65</v>
          </cell>
        </row>
        <row r="55">
          <cell r="X55">
            <v>11.15282</v>
          </cell>
        </row>
        <row r="56">
          <cell r="X56">
            <v>9923</v>
          </cell>
        </row>
        <row r="57">
          <cell r="X57">
            <v>-17</v>
          </cell>
        </row>
        <row r="63">
          <cell r="X63">
            <v>26868</v>
          </cell>
        </row>
        <row r="64">
          <cell r="X64">
            <v>390508</v>
          </cell>
        </row>
        <row r="65">
          <cell r="X65">
            <v>82624</v>
          </cell>
        </row>
        <row r="69">
          <cell r="X69">
            <v>-10317</v>
          </cell>
        </row>
        <row r="70">
          <cell r="X70">
            <v>-129098</v>
          </cell>
        </row>
        <row r="71">
          <cell r="X71">
            <v>-23473</v>
          </cell>
        </row>
        <row r="74">
          <cell r="X74">
            <v>-74181</v>
          </cell>
        </row>
        <row r="76">
          <cell r="X76">
            <v>9116</v>
          </cell>
        </row>
        <row r="78">
          <cell r="X78">
            <v>-249</v>
          </cell>
        </row>
        <row r="79">
          <cell r="X79">
            <v>14800</v>
          </cell>
        </row>
      </sheetData>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1"/>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10">
          <cell r="AJ10">
            <v>5.1948000000000001E-2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sheetName val="ADJ DETAIL INPUT-Restated CB"/>
      <sheetName val="Cost Trends"/>
      <sheetName val="ADJ DETAIL INPUT - PF"/>
      <sheetName val="Acerno_Cache_XXXXX"/>
      <sheetName val="Riders and Gas Cost Revenue"/>
      <sheetName val="Reg Amort and Other RB"/>
      <sheetName val="DEBT CALC"/>
      <sheetName val="ROO INPUT"/>
      <sheetName val="ADJ SUMMARY"/>
      <sheetName val="Table"/>
    </sheetNames>
    <sheetDataSet>
      <sheetData sheetId="0" refreshError="1"/>
      <sheetData sheetId="1" refreshError="1"/>
      <sheetData sheetId="2" refreshError="1"/>
      <sheetData sheetId="3">
        <row r="206">
          <cell r="T206">
            <v>-8.3999999999999995E-3</v>
          </cell>
        </row>
      </sheetData>
      <sheetData sheetId="4" refreshError="1"/>
      <sheetData sheetId="5" refreshError="1"/>
      <sheetData sheetId="6">
        <row r="32">
          <cell r="AU32">
            <v>-3197</v>
          </cell>
          <cell r="AX32">
            <v>-2548</v>
          </cell>
        </row>
        <row r="35">
          <cell r="AU35">
            <v>-403</v>
          </cell>
          <cell r="AX35">
            <v>-321</v>
          </cell>
        </row>
        <row r="40">
          <cell r="AU40">
            <v>-167</v>
          </cell>
          <cell r="AX40">
            <v>-133</v>
          </cell>
        </row>
        <row r="63">
          <cell r="AX63">
            <v>994</v>
          </cell>
        </row>
      </sheetData>
      <sheetData sheetId="7">
        <row r="22">
          <cell r="U22">
            <v>0</v>
          </cell>
        </row>
      </sheetData>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12.2015 to 2017"/>
      <sheetName val="Cost Trends"/>
      <sheetName val="Net plant"/>
      <sheetName val="UTC - UGStorPlant"/>
      <sheetName val="UTC - DistrPlant"/>
      <sheetName val="UTC - GeneralPlant"/>
      <sheetName val="UTC - UGStorAccumDeprAmort"/>
      <sheetName val="UTC - DistrAccumAmortDepr"/>
      <sheetName val="UTC - GeneralAccumAmortDepr"/>
      <sheetName val="UTC - UGStorDeprAmorExp"/>
      <sheetName val="UTC - DistrDeprAmorExp"/>
      <sheetName val="UTC - GenrlDeprAmorExp"/>
      <sheetName val="Dep Amort"/>
      <sheetName val="Taxes (other than income)"/>
      <sheetName val="Op Exp"/>
      <sheetName val="Weighted Revenue Growth"/>
      <sheetName val="UTC - Other Revenue"/>
      <sheetName val="Op Exp-don't use"/>
      <sheetName val="UTC - Deferred Taxes"/>
      <sheetName val="09.2015 Revenue Model"/>
      <sheetName val="Forecast Bill Determinants"/>
      <sheetName val="Riders and Gas Cost Revenue"/>
      <sheetName val="Reg Amort and Other RB"/>
    </sheetNames>
    <sheetDataSet>
      <sheetData sheetId="0"/>
      <sheetData sheetId="1"/>
      <sheetData sheetId="2">
        <row r="12">
          <cell r="E12">
            <v>149865</v>
          </cell>
        </row>
        <row r="84">
          <cell r="E84">
            <v>0</v>
          </cell>
        </row>
      </sheetData>
      <sheetData sheetId="3">
        <row r="19">
          <cell r="T19">
            <v>84187</v>
          </cell>
          <cell r="U19">
            <v>79634</v>
          </cell>
        </row>
        <row r="20">
          <cell r="T20">
            <v>779</v>
          </cell>
          <cell r="U20">
            <v>840</v>
          </cell>
        </row>
        <row r="21">
          <cell r="T21">
            <v>0</v>
          </cell>
        </row>
        <row r="22">
          <cell r="T22">
            <v>84966</v>
          </cell>
          <cell r="U22">
            <v>80474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1">
          <cell r="T11">
            <v>-2087</v>
          </cell>
        </row>
        <row r="23">
          <cell r="T23">
            <v>-2087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6"/>
  <sheetViews>
    <sheetView showGridLines="0" tabSelected="1" zoomScaleNormal="100" zoomScaleSheetLayoutView="130" workbookViewId="0"/>
  </sheetViews>
  <sheetFormatPr defaultRowHeight="12.75"/>
  <cols>
    <col min="1" max="1" width="5.140625" customWidth="1"/>
    <col min="2" max="2" width="1.7109375" customWidth="1"/>
    <col min="3" max="3" width="38.42578125" customWidth="1"/>
    <col min="4" max="4" width="1.7109375" customWidth="1"/>
    <col min="5" max="5" width="4.7109375" hidden="1" customWidth="1"/>
    <col min="6" max="8" width="17.5703125" customWidth="1"/>
    <col min="9" max="9" width="13.42578125" hidden="1" customWidth="1"/>
    <col min="10" max="10" width="2.5703125" customWidth="1"/>
  </cols>
  <sheetData>
    <row r="1" spans="1:12" s="175" customFormat="1" ht="15.75">
      <c r="A1" s="418" t="s">
        <v>331</v>
      </c>
      <c r="B1" s="416"/>
      <c r="C1" s="416"/>
      <c r="D1" s="416"/>
      <c r="E1" s="416"/>
      <c r="F1" s="416"/>
      <c r="G1" s="416"/>
      <c r="H1" s="416"/>
      <c r="I1" s="414"/>
      <c r="J1" s="414"/>
    </row>
    <row r="2" spans="1:12" s="175" customFormat="1" ht="15.75">
      <c r="A2" s="426" t="s">
        <v>355</v>
      </c>
      <c r="B2" s="416"/>
      <c r="C2" s="416"/>
      <c r="D2" s="416"/>
      <c r="E2" s="416"/>
      <c r="F2" s="416"/>
      <c r="G2" s="416"/>
      <c r="H2" s="416"/>
      <c r="I2" s="414"/>
      <c r="J2" s="414"/>
    </row>
    <row r="3" spans="1:12" s="175" customFormat="1" ht="12.75" customHeight="1">
      <c r="A3" s="426" t="s">
        <v>348</v>
      </c>
      <c r="B3" s="416"/>
      <c r="C3" s="416"/>
      <c r="D3" s="416"/>
      <c r="E3" s="416"/>
      <c r="F3" s="416"/>
      <c r="G3" s="416"/>
      <c r="H3" s="416"/>
      <c r="I3" s="414"/>
      <c r="J3" s="414"/>
    </row>
    <row r="4" spans="1:12" s="175" customFormat="1" ht="15.75">
      <c r="A4" s="427" t="s">
        <v>163</v>
      </c>
      <c r="B4" s="417"/>
      <c r="C4" s="417"/>
      <c r="D4" s="417"/>
      <c r="E4" s="417"/>
      <c r="F4" s="417"/>
      <c r="G4" s="417"/>
      <c r="H4" s="417"/>
      <c r="I4" s="415"/>
      <c r="J4" s="415"/>
    </row>
    <row r="5" spans="1:12">
      <c r="A5" s="398"/>
      <c r="B5" s="398"/>
      <c r="C5" s="398"/>
      <c r="D5" s="398"/>
      <c r="E5" s="398"/>
      <c r="F5" s="398"/>
      <c r="G5" s="398"/>
      <c r="H5" s="398"/>
    </row>
    <row r="6" spans="1:12">
      <c r="A6" s="125"/>
      <c r="B6" s="125"/>
      <c r="C6" s="125"/>
      <c r="D6" s="125"/>
      <c r="E6" s="125"/>
      <c r="F6" s="125" t="s">
        <v>164</v>
      </c>
      <c r="G6" s="125" t="s">
        <v>165</v>
      </c>
      <c r="H6" s="125" t="s">
        <v>166</v>
      </c>
      <c r="J6" s="91"/>
      <c r="K6" s="91"/>
      <c r="L6" s="91"/>
    </row>
    <row r="7" spans="1:12">
      <c r="A7" s="125" t="s">
        <v>134</v>
      </c>
      <c r="B7" s="125"/>
      <c r="C7" s="125"/>
      <c r="D7" s="125"/>
      <c r="E7" s="125"/>
      <c r="F7" s="125" t="s">
        <v>329</v>
      </c>
      <c r="G7" s="125" t="s">
        <v>167</v>
      </c>
      <c r="H7" s="221" t="s">
        <v>329</v>
      </c>
      <c r="J7" s="91"/>
      <c r="K7" s="91"/>
      <c r="L7" s="91"/>
    </row>
    <row r="8" spans="1:12">
      <c r="A8" s="128" t="s">
        <v>2</v>
      </c>
      <c r="B8" s="129"/>
      <c r="C8" s="128" t="s">
        <v>84</v>
      </c>
      <c r="D8" s="129"/>
      <c r="E8" s="129"/>
      <c r="F8" s="128" t="s">
        <v>168</v>
      </c>
      <c r="G8" s="128" t="s">
        <v>169</v>
      </c>
      <c r="H8" s="128" t="s">
        <v>330</v>
      </c>
      <c r="I8" s="91"/>
      <c r="J8" s="91"/>
      <c r="K8" s="91"/>
      <c r="L8" s="91"/>
    </row>
    <row r="9" spans="1:12">
      <c r="A9" s="166"/>
      <c r="B9" s="166"/>
      <c r="C9" s="166"/>
      <c r="D9" s="166"/>
      <c r="E9" s="166"/>
      <c r="F9" s="166"/>
      <c r="G9" s="166"/>
      <c r="H9" s="166"/>
      <c r="I9" s="91"/>
      <c r="J9" s="91"/>
      <c r="K9" s="91"/>
      <c r="L9" s="91"/>
    </row>
    <row r="10" spans="1:12">
      <c r="A10" s="233">
        <v>1</v>
      </c>
      <c r="B10" s="166"/>
      <c r="C10" s="166" t="s">
        <v>338</v>
      </c>
      <c r="D10" s="166"/>
      <c r="E10" s="166"/>
      <c r="F10" s="422">
        <f ca="1">'3.01) Attrition 2016 to 2018'!S85</f>
        <v>299386.99440400006</v>
      </c>
      <c r="G10" s="452">
        <f>'3.01) Attrition 2016 to 2018'!S97</f>
        <v>1.0084</v>
      </c>
      <c r="H10" s="422">
        <f ca="1">F10/G10</f>
        <v>296893.09242760815</v>
      </c>
      <c r="I10" s="91"/>
      <c r="J10" s="91"/>
      <c r="K10" s="91"/>
      <c r="L10" s="91"/>
    </row>
    <row r="11" spans="1:12">
      <c r="A11" s="233"/>
      <c r="B11" s="166"/>
      <c r="C11" s="166"/>
      <c r="D11" s="166"/>
      <c r="E11" s="166"/>
      <c r="F11" s="419"/>
      <c r="G11" s="168"/>
      <c r="H11" s="168"/>
      <c r="I11" s="91"/>
      <c r="J11" s="91"/>
      <c r="K11" s="91"/>
      <c r="L11" s="91"/>
    </row>
    <row r="12" spans="1:12">
      <c r="A12" s="233">
        <v>2</v>
      </c>
      <c r="B12" s="166"/>
      <c r="C12" s="166" t="s">
        <v>88</v>
      </c>
      <c r="D12" s="166"/>
      <c r="E12" s="166"/>
      <c r="F12" s="420"/>
      <c r="G12" s="165"/>
      <c r="H12" s="230">
        <f>'2) ROR'!F15</f>
        <v>7.0800000000000002E-2</v>
      </c>
      <c r="I12" s="91"/>
      <c r="J12" s="91"/>
      <c r="K12" s="91"/>
      <c r="L12" s="91"/>
    </row>
    <row r="13" spans="1:12">
      <c r="A13" s="233"/>
      <c r="B13" s="166"/>
      <c r="C13" s="166"/>
      <c r="D13" s="166"/>
      <c r="E13" s="166"/>
      <c r="F13" s="420"/>
      <c r="G13" s="165"/>
      <c r="H13" s="165"/>
      <c r="I13" s="91"/>
      <c r="J13" s="91"/>
      <c r="K13" s="91"/>
      <c r="L13" s="91"/>
    </row>
    <row r="14" spans="1:12">
      <c r="A14" s="233">
        <v>3</v>
      </c>
      <c r="B14" s="166"/>
      <c r="C14" s="166" t="s">
        <v>89</v>
      </c>
      <c r="D14" s="166"/>
      <c r="E14" s="166"/>
      <c r="F14" s="421"/>
      <c r="G14" s="168"/>
      <c r="H14" s="422">
        <f ca="1">ROUND(H10*H12,0)</f>
        <v>21020</v>
      </c>
      <c r="I14" s="91"/>
      <c r="J14" s="91"/>
      <c r="K14" s="91"/>
      <c r="L14" s="91"/>
    </row>
    <row r="15" spans="1:12">
      <c r="A15" s="233"/>
      <c r="B15" s="166"/>
      <c r="C15" s="166"/>
      <c r="D15" s="166"/>
      <c r="E15" s="166"/>
      <c r="F15" s="419"/>
      <c r="G15" s="168"/>
      <c r="H15" s="168"/>
      <c r="I15" s="91"/>
      <c r="J15" s="91"/>
      <c r="K15" s="91"/>
      <c r="L15" s="91"/>
    </row>
    <row r="16" spans="1:12">
      <c r="A16" s="233">
        <v>4</v>
      </c>
      <c r="B16" s="166"/>
      <c r="C16" s="166" t="s">
        <v>343</v>
      </c>
      <c r="D16" s="166"/>
      <c r="E16" s="166"/>
      <c r="F16" s="423">
        <f ca="1">'3.01) Attrition 2016 to 2018'!S63</f>
        <v>22402.828453209528</v>
      </c>
      <c r="G16" s="201">
        <f>G10</f>
        <v>1.0084</v>
      </c>
      <c r="H16" s="423">
        <f ca="1">F16/G16</f>
        <v>22216.21227014035</v>
      </c>
      <c r="I16" s="91"/>
      <c r="J16" s="91"/>
      <c r="K16" s="91"/>
      <c r="L16" s="91"/>
    </row>
    <row r="17" spans="1:12">
      <c r="A17" s="233"/>
      <c r="B17" s="166"/>
      <c r="C17" s="166"/>
      <c r="D17" s="166"/>
      <c r="E17" s="166"/>
      <c r="F17" s="172"/>
      <c r="G17" s="201"/>
      <c r="H17" s="168"/>
      <c r="I17" s="91"/>
      <c r="J17" s="91"/>
      <c r="K17" s="91"/>
      <c r="L17" s="91"/>
    </row>
    <row r="18" spans="1:12">
      <c r="A18" s="233">
        <v>5</v>
      </c>
      <c r="B18" s="228"/>
      <c r="C18" s="166" t="s">
        <v>344</v>
      </c>
      <c r="D18" s="91"/>
      <c r="E18" s="91"/>
      <c r="F18" s="91"/>
      <c r="G18" s="91"/>
      <c r="H18" s="236">
        <f ca="1">H16/H10</f>
        <v>7.4828996823351021E-2</v>
      </c>
      <c r="I18" s="91"/>
      <c r="J18" s="91"/>
      <c r="K18" s="91"/>
      <c r="L18" s="91"/>
    </row>
    <row r="19" spans="1:12">
      <c r="A19" s="233"/>
      <c r="B19" s="166"/>
      <c r="C19" s="166"/>
      <c r="D19" s="166"/>
      <c r="E19" s="166"/>
      <c r="F19" s="166"/>
      <c r="G19" s="166"/>
      <c r="H19" s="166"/>
      <c r="I19" s="91"/>
      <c r="J19" s="91"/>
      <c r="K19" s="91"/>
      <c r="L19" s="91"/>
    </row>
    <row r="20" spans="1:12">
      <c r="A20" s="233">
        <v>6</v>
      </c>
      <c r="B20" s="166"/>
      <c r="C20" s="166" t="s">
        <v>339</v>
      </c>
      <c r="D20" s="166"/>
      <c r="E20" s="166"/>
      <c r="F20" s="168"/>
      <c r="G20" s="168"/>
      <c r="H20" s="422">
        <f ca="1">H14-H16</f>
        <v>-1196.2122701403496</v>
      </c>
      <c r="I20" s="91"/>
      <c r="J20" s="231"/>
      <c r="K20" s="91"/>
      <c r="L20" s="91"/>
    </row>
    <row r="21" spans="1:12">
      <c r="A21" s="233"/>
      <c r="B21" s="166"/>
      <c r="C21" s="166"/>
      <c r="D21" s="166"/>
      <c r="E21" s="166"/>
      <c r="F21" s="166"/>
      <c r="G21" s="166"/>
      <c r="H21" s="166"/>
      <c r="I21" s="91"/>
      <c r="J21" s="91"/>
      <c r="K21" s="91"/>
      <c r="L21" s="91"/>
    </row>
    <row r="22" spans="1:12">
      <c r="A22" s="233">
        <v>7</v>
      </c>
      <c r="B22" s="166"/>
      <c r="C22" s="166" t="s">
        <v>251</v>
      </c>
      <c r="D22" s="166"/>
      <c r="E22" s="166"/>
      <c r="F22" s="229"/>
      <c r="G22" s="166"/>
      <c r="H22" s="229">
        <f>'3.01) Attrition 2016 to 2018'!S95</f>
        <v>0.620645</v>
      </c>
      <c r="I22" s="91"/>
      <c r="J22" s="91"/>
      <c r="K22" s="91"/>
      <c r="L22" s="91"/>
    </row>
    <row r="23" spans="1:12">
      <c r="A23" s="233"/>
      <c r="B23" s="166"/>
      <c r="C23" s="166"/>
      <c r="D23" s="166"/>
      <c r="E23" s="166"/>
      <c r="F23" s="166"/>
      <c r="G23" s="166"/>
      <c r="H23" s="166"/>
      <c r="I23" s="91"/>
      <c r="J23" s="91"/>
      <c r="K23" s="91"/>
      <c r="L23" s="91"/>
    </row>
    <row r="24" spans="1:12">
      <c r="A24" s="233">
        <v>8</v>
      </c>
      <c r="B24" s="166"/>
      <c r="C24" s="166" t="s">
        <v>340</v>
      </c>
      <c r="D24" s="166"/>
      <c r="E24" s="166"/>
      <c r="F24" s="167"/>
      <c r="G24" s="240"/>
      <c r="H24" s="425">
        <f ca="1">ROUND(H20/H22,0)</f>
        <v>-1927</v>
      </c>
      <c r="I24" s="91"/>
      <c r="J24" s="232"/>
      <c r="K24" s="91"/>
      <c r="L24" s="91"/>
    </row>
    <row r="25" spans="1:12">
      <c r="A25" s="233"/>
      <c r="B25" s="166"/>
      <c r="C25" s="166"/>
      <c r="D25" s="166"/>
      <c r="E25" s="166"/>
      <c r="F25" s="167"/>
      <c r="G25" s="235"/>
      <c r="H25" s="167"/>
      <c r="I25" s="91"/>
      <c r="J25" s="91"/>
      <c r="K25" s="91"/>
      <c r="L25" s="91"/>
    </row>
    <row r="26" spans="1:12">
      <c r="A26" s="233">
        <v>9</v>
      </c>
      <c r="B26" s="228"/>
      <c r="C26" s="166" t="s">
        <v>345</v>
      </c>
      <c r="D26" s="166"/>
      <c r="E26" s="166"/>
      <c r="F26" s="168"/>
      <c r="G26" s="168"/>
      <c r="H26" s="422">
        <f>'3.01) Attrition 2016 to 2018'!N10+'3.01) Attrition 2016 to 2018'!N11+1</f>
        <v>88833</v>
      </c>
      <c r="I26" s="168"/>
      <c r="J26" s="234"/>
      <c r="K26" s="91"/>
      <c r="L26" s="91"/>
    </row>
    <row r="27" spans="1:12">
      <c r="A27" s="233"/>
      <c r="B27" s="228"/>
      <c r="C27" s="166"/>
      <c r="D27" s="166"/>
      <c r="E27" s="166"/>
      <c r="F27" s="166"/>
      <c r="G27" s="166"/>
      <c r="H27" s="166"/>
      <c r="I27" s="91"/>
      <c r="J27" s="91"/>
      <c r="K27" s="91"/>
      <c r="L27" s="91"/>
    </row>
    <row r="28" spans="1:12">
      <c r="A28" s="233">
        <v>10</v>
      </c>
      <c r="B28" s="228"/>
      <c r="C28" s="166" t="s">
        <v>341</v>
      </c>
      <c r="D28" s="91"/>
      <c r="E28" s="91"/>
      <c r="F28" s="91"/>
      <c r="G28" s="91"/>
      <c r="H28" s="424">
        <f ca="1">H26+H24</f>
        <v>86906</v>
      </c>
      <c r="I28" s="91"/>
      <c r="J28" s="231"/>
      <c r="K28" s="91"/>
      <c r="L28" s="91"/>
    </row>
    <row r="29" spans="1:12">
      <c r="A29" s="171"/>
      <c r="B29" s="171"/>
      <c r="C29" s="171"/>
      <c r="D29" s="171"/>
      <c r="E29" s="171"/>
      <c r="F29" s="171"/>
      <c r="G29" s="171"/>
      <c r="H29" s="171"/>
      <c r="I29" s="91"/>
      <c r="J29" s="91"/>
      <c r="K29" s="91"/>
      <c r="L29" s="91"/>
    </row>
    <row r="30" spans="1:12">
      <c r="A30" s="233">
        <v>11</v>
      </c>
      <c r="B30" s="228"/>
      <c r="C30" s="166" t="s">
        <v>346</v>
      </c>
      <c r="D30" s="166"/>
      <c r="E30" s="166"/>
      <c r="F30" s="170"/>
      <c r="G30" s="164"/>
      <c r="H30" s="413">
        <f ca="1">H24/H26</f>
        <v>-2.1692389089640111E-2</v>
      </c>
      <c r="I30" s="74"/>
      <c r="J30" s="91"/>
      <c r="K30" s="91"/>
      <c r="L30" s="91"/>
    </row>
    <row r="31" spans="1:12">
      <c r="A31" s="133"/>
      <c r="B31" s="169"/>
      <c r="C31" s="118"/>
      <c r="D31" s="118"/>
      <c r="E31" s="118"/>
      <c r="F31" s="170"/>
      <c r="G31" s="164"/>
      <c r="H31" s="202"/>
      <c r="J31" s="91"/>
      <c r="K31" s="91"/>
      <c r="L31" s="91"/>
    </row>
    <row r="32" spans="1:12">
      <c r="A32" s="233">
        <v>12</v>
      </c>
      <c r="C32" s="166" t="s">
        <v>342</v>
      </c>
      <c r="F32" s="91"/>
      <c r="G32" s="91"/>
      <c r="H32" s="422">
        <f>+'[6]Exh. No. BGM-4 2'!$F$29</f>
        <v>152089</v>
      </c>
      <c r="J32" s="91"/>
      <c r="K32" s="91"/>
      <c r="L32" s="91"/>
    </row>
    <row r="33" spans="1:12">
      <c r="G33" s="91"/>
      <c r="J33" s="91"/>
      <c r="K33" s="91"/>
      <c r="L33" s="91"/>
    </row>
    <row r="34" spans="1:12">
      <c r="A34" s="233">
        <v>13</v>
      </c>
      <c r="C34" s="166" t="s">
        <v>268</v>
      </c>
      <c r="G34" s="91"/>
      <c r="H34" s="251">
        <f ca="1">H24/H32</f>
        <v>-1.2670212835905293E-2</v>
      </c>
    </row>
    <row r="35" spans="1:12">
      <c r="G35" s="91"/>
    </row>
    <row r="36" spans="1:12">
      <c r="G36" s="91"/>
    </row>
  </sheetData>
  <pageMargins left="1.2" right="0.7" top="0.75" bottom="0.75" header="0.3" footer="0.3"/>
  <pageSetup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40"/>
  <sheetViews>
    <sheetView showGridLines="0" zoomScaleNormal="100" zoomScaleSheetLayoutView="130" workbookViewId="0"/>
  </sheetViews>
  <sheetFormatPr defaultRowHeight="12.75"/>
  <cols>
    <col min="1" max="1" width="5.140625" customWidth="1"/>
    <col min="2" max="2" width="1.7109375" customWidth="1"/>
    <col min="3" max="3" width="38.42578125" customWidth="1"/>
    <col min="4" max="4" width="1.7109375" customWidth="1"/>
    <col min="5" max="5" width="4.7109375" hidden="1" customWidth="1"/>
    <col min="6" max="8" width="17.5703125" customWidth="1"/>
    <col min="9" max="9" width="13.42578125" hidden="1" customWidth="1"/>
    <col min="10" max="10" width="2.5703125" customWidth="1"/>
  </cols>
  <sheetData>
    <row r="1" spans="1:12" s="175" customFormat="1" ht="15.75">
      <c r="A1" s="418" t="s">
        <v>331</v>
      </c>
      <c r="B1" s="416"/>
      <c r="C1" s="416"/>
      <c r="D1" s="416"/>
      <c r="E1" s="416"/>
      <c r="F1" s="416"/>
      <c r="G1" s="416"/>
      <c r="H1" s="416"/>
      <c r="I1" s="414"/>
      <c r="J1" s="414"/>
    </row>
    <row r="2" spans="1:12" s="175" customFormat="1" ht="15.75">
      <c r="A2" s="426" t="s">
        <v>354</v>
      </c>
      <c r="B2" s="416"/>
      <c r="C2" s="416"/>
      <c r="D2" s="416"/>
      <c r="E2" s="416"/>
      <c r="F2" s="416"/>
      <c r="G2" s="416"/>
      <c r="H2" s="416"/>
      <c r="I2" s="414"/>
      <c r="J2" s="414"/>
    </row>
    <row r="3" spans="1:12" s="175" customFormat="1" ht="12.75" customHeight="1">
      <c r="A3" s="426" t="s">
        <v>348</v>
      </c>
      <c r="B3" s="416"/>
      <c r="C3" s="416"/>
      <c r="D3" s="416"/>
      <c r="E3" s="416"/>
      <c r="F3" s="416"/>
      <c r="G3" s="416"/>
      <c r="H3" s="416"/>
      <c r="I3" s="414"/>
      <c r="J3" s="414"/>
    </row>
    <row r="4" spans="1:12" s="175" customFormat="1" ht="15.75">
      <c r="A4" s="427" t="s">
        <v>163</v>
      </c>
      <c r="B4" s="417"/>
      <c r="C4" s="417"/>
      <c r="D4" s="417"/>
      <c r="E4" s="417"/>
      <c r="F4" s="417"/>
      <c r="G4" s="417"/>
      <c r="H4" s="417"/>
      <c r="I4" s="415"/>
      <c r="J4" s="415"/>
    </row>
    <row r="5" spans="1:12">
      <c r="A5" s="502"/>
      <c r="B5" s="502"/>
      <c r="C5" s="502"/>
      <c r="D5" s="502"/>
      <c r="E5" s="502"/>
      <c r="F5" s="502"/>
      <c r="G5" s="502"/>
      <c r="H5" s="502"/>
    </row>
    <row r="6" spans="1:12">
      <c r="A6" s="502"/>
      <c r="B6" s="502"/>
      <c r="C6" s="502"/>
      <c r="D6" s="502"/>
      <c r="E6" s="502"/>
      <c r="F6" s="502" t="s">
        <v>164</v>
      </c>
      <c r="G6" s="502" t="s">
        <v>165</v>
      </c>
      <c r="H6" s="502" t="s">
        <v>166</v>
      </c>
      <c r="J6" s="91"/>
      <c r="K6" s="91"/>
      <c r="L6" s="91"/>
    </row>
    <row r="7" spans="1:12">
      <c r="A7" s="502" t="s">
        <v>134</v>
      </c>
      <c r="B7" s="502"/>
      <c r="C7" s="502"/>
      <c r="D7" s="502"/>
      <c r="E7" s="502"/>
      <c r="F7" s="502" t="s">
        <v>329</v>
      </c>
      <c r="G7" s="502" t="s">
        <v>167</v>
      </c>
      <c r="H7" s="502" t="s">
        <v>329</v>
      </c>
      <c r="J7" s="91"/>
      <c r="K7" s="91"/>
      <c r="L7" s="91"/>
    </row>
    <row r="8" spans="1:12">
      <c r="A8" s="128" t="s">
        <v>2</v>
      </c>
      <c r="B8" s="129"/>
      <c r="C8" s="128" t="s">
        <v>84</v>
      </c>
      <c r="D8" s="129"/>
      <c r="E8" s="129"/>
      <c r="F8" s="128" t="s">
        <v>168</v>
      </c>
      <c r="G8" s="128" t="s">
        <v>169</v>
      </c>
      <c r="H8" s="128" t="s">
        <v>330</v>
      </c>
      <c r="I8" s="91"/>
      <c r="J8" s="91"/>
      <c r="K8" s="91"/>
      <c r="L8" s="91"/>
    </row>
    <row r="9" spans="1:12">
      <c r="A9" s="166"/>
      <c r="B9" s="166"/>
      <c r="C9" s="166"/>
      <c r="D9" s="166"/>
      <c r="E9" s="166"/>
      <c r="F9" s="166"/>
      <c r="G9" s="166"/>
      <c r="H9" s="166"/>
      <c r="I9" s="91"/>
      <c r="J9" s="91"/>
      <c r="K9" s="91"/>
      <c r="L9" s="91"/>
    </row>
    <row r="10" spans="1:12">
      <c r="A10" s="233">
        <v>1</v>
      </c>
      <c r="B10" s="166"/>
      <c r="C10" s="166" t="s">
        <v>357</v>
      </c>
      <c r="D10" s="166"/>
      <c r="E10" s="166"/>
      <c r="F10" s="422">
        <f ca="1">'3.02) Attrition 2016 to 2019'!S85</f>
        <v>299816.61158460833</v>
      </c>
      <c r="G10" s="452">
        <f>'3.02) Attrition 2016 to 2019'!S97</f>
        <v>1.0120051502145924</v>
      </c>
      <c r="H10" s="422">
        <f ca="1">F10/G10</f>
        <v>296259.96618795191</v>
      </c>
      <c r="I10" s="91"/>
      <c r="J10" s="91"/>
      <c r="K10" s="91"/>
      <c r="L10" s="91"/>
    </row>
    <row r="11" spans="1:12">
      <c r="A11" s="233"/>
      <c r="B11" s="166"/>
      <c r="C11" s="166"/>
      <c r="D11" s="166"/>
      <c r="E11" s="166"/>
      <c r="F11" s="419"/>
      <c r="G11" s="168"/>
      <c r="H11" s="168"/>
      <c r="I11" s="91"/>
      <c r="J11" s="91"/>
      <c r="K11" s="91"/>
      <c r="L11" s="91"/>
    </row>
    <row r="12" spans="1:12">
      <c r="A12" s="233">
        <v>2</v>
      </c>
      <c r="B12" s="166"/>
      <c r="C12" s="166" t="s">
        <v>88</v>
      </c>
      <c r="D12" s="166"/>
      <c r="E12" s="166"/>
      <c r="F12" s="420"/>
      <c r="G12" s="165"/>
      <c r="H12" s="230">
        <f>'2) ROR'!F15</f>
        <v>7.0800000000000002E-2</v>
      </c>
      <c r="I12" s="91"/>
      <c r="J12" s="91"/>
      <c r="K12" s="91"/>
      <c r="L12" s="91"/>
    </row>
    <row r="13" spans="1:12">
      <c r="A13" s="233"/>
      <c r="B13" s="166"/>
      <c r="C13" s="166"/>
      <c r="D13" s="166"/>
      <c r="E13" s="166"/>
      <c r="F13" s="420"/>
      <c r="G13" s="165"/>
      <c r="H13" s="165"/>
      <c r="I13" s="91"/>
      <c r="J13" s="91"/>
      <c r="K13" s="91"/>
      <c r="L13" s="91"/>
    </row>
    <row r="14" spans="1:12">
      <c r="A14" s="233">
        <v>3</v>
      </c>
      <c r="B14" s="166"/>
      <c r="C14" s="166" t="s">
        <v>89</v>
      </c>
      <c r="D14" s="166"/>
      <c r="E14" s="166"/>
      <c r="F14" s="421"/>
      <c r="G14" s="168"/>
      <c r="H14" s="422">
        <f ca="1">ROUND(H10*H12,0)</f>
        <v>20975</v>
      </c>
      <c r="I14" s="91"/>
      <c r="J14" s="91"/>
      <c r="K14" s="91"/>
      <c r="L14" s="91"/>
    </row>
    <row r="15" spans="1:12">
      <c r="A15" s="233"/>
      <c r="B15" s="166"/>
      <c r="C15" s="166"/>
      <c r="D15" s="166"/>
      <c r="E15" s="166"/>
      <c r="F15" s="419"/>
      <c r="G15" s="168"/>
      <c r="H15" s="168"/>
      <c r="I15" s="91"/>
      <c r="J15" s="91"/>
      <c r="K15" s="91"/>
      <c r="L15" s="91"/>
    </row>
    <row r="16" spans="1:12">
      <c r="A16" s="233">
        <v>4</v>
      </c>
      <c r="B16" s="166"/>
      <c r="C16" s="166" t="s">
        <v>358</v>
      </c>
      <c r="D16" s="166"/>
      <c r="E16" s="166"/>
      <c r="F16" s="423">
        <f ca="1">'3.02) Attrition 2016 to 2019'!S63</f>
        <v>22218.466008664254</v>
      </c>
      <c r="G16" s="201">
        <f>G10</f>
        <v>1.0120051502145924</v>
      </c>
      <c r="H16" s="423">
        <f ca="1">F16/G16</f>
        <v>21954.894205778401</v>
      </c>
      <c r="I16" s="91"/>
      <c r="J16" s="91"/>
      <c r="K16" s="91"/>
      <c r="L16" s="91"/>
    </row>
    <row r="17" spans="1:12">
      <c r="A17" s="233"/>
      <c r="B17" s="166"/>
      <c r="C17" s="166"/>
      <c r="D17" s="166"/>
      <c r="E17" s="166"/>
      <c r="F17" s="172"/>
      <c r="G17" s="201"/>
      <c r="H17" s="168"/>
      <c r="I17" s="91"/>
      <c r="J17" s="91"/>
      <c r="K17" s="91"/>
      <c r="L17" s="91"/>
    </row>
    <row r="18" spans="1:12">
      <c r="A18" s="233">
        <v>5</v>
      </c>
      <c r="B18" s="228"/>
      <c r="C18" s="166" t="s">
        <v>359</v>
      </c>
      <c r="D18" s="91"/>
      <c r="E18" s="91"/>
      <c r="F18" s="91"/>
      <c r="G18" s="91"/>
      <c r="H18" s="236">
        <f ca="1">H16/H10</f>
        <v>7.4106854490930019E-2</v>
      </c>
      <c r="I18" s="91"/>
      <c r="J18" s="91"/>
      <c r="K18" s="91"/>
      <c r="L18" s="91"/>
    </row>
    <row r="19" spans="1:12">
      <c r="A19" s="233"/>
      <c r="B19" s="166"/>
      <c r="C19" s="166"/>
      <c r="D19" s="166"/>
      <c r="E19" s="166"/>
      <c r="F19" s="166"/>
      <c r="G19" s="166"/>
      <c r="H19" s="166"/>
      <c r="I19" s="91"/>
      <c r="J19" s="91"/>
      <c r="K19" s="91"/>
      <c r="L19" s="91"/>
    </row>
    <row r="20" spans="1:12">
      <c r="A20" s="233">
        <v>6</v>
      </c>
      <c r="B20" s="166"/>
      <c r="C20" s="166" t="s">
        <v>360</v>
      </c>
      <c r="D20" s="166"/>
      <c r="E20" s="166"/>
      <c r="F20" s="168"/>
      <c r="G20" s="168"/>
      <c r="H20" s="422">
        <f ca="1">H14-H16</f>
        <v>-979.89420577840065</v>
      </c>
      <c r="I20" s="91"/>
      <c r="J20" s="231"/>
      <c r="K20" s="91"/>
      <c r="L20" s="91"/>
    </row>
    <row r="21" spans="1:12">
      <c r="A21" s="233"/>
      <c r="B21" s="166"/>
      <c r="C21" s="166"/>
      <c r="D21" s="166"/>
      <c r="E21" s="166"/>
      <c r="F21" s="166"/>
      <c r="G21" s="166"/>
      <c r="H21" s="166"/>
      <c r="I21" s="91"/>
      <c r="J21" s="91"/>
      <c r="K21" s="91"/>
      <c r="L21" s="91"/>
    </row>
    <row r="22" spans="1:12">
      <c r="A22" s="233">
        <v>7</v>
      </c>
      <c r="B22" s="166"/>
      <c r="C22" s="166" t="s">
        <v>251</v>
      </c>
      <c r="D22" s="166"/>
      <c r="E22" s="166"/>
      <c r="F22" s="229"/>
      <c r="G22" s="166"/>
      <c r="H22" s="229">
        <f>'3.02) Attrition 2016 to 2019'!S95</f>
        <v>0.620645</v>
      </c>
      <c r="I22" s="91"/>
      <c r="J22" s="91"/>
      <c r="K22" s="91"/>
      <c r="L22" s="91"/>
    </row>
    <row r="23" spans="1:12">
      <c r="A23" s="233"/>
      <c r="B23" s="166"/>
      <c r="C23" s="166"/>
      <c r="D23" s="166"/>
      <c r="E23" s="166"/>
      <c r="F23" s="166"/>
      <c r="G23" s="166"/>
      <c r="H23" s="166"/>
      <c r="I23" s="91"/>
      <c r="J23" s="91"/>
      <c r="K23" s="91"/>
      <c r="L23" s="91"/>
    </row>
    <row r="24" spans="1:12">
      <c r="A24" s="233">
        <v>8</v>
      </c>
      <c r="B24" s="166"/>
      <c r="C24" s="166" t="s">
        <v>376</v>
      </c>
      <c r="D24" s="166"/>
      <c r="E24" s="166"/>
      <c r="F24" s="167"/>
      <c r="G24" s="240"/>
      <c r="H24" s="422">
        <f ca="1">ROUND(H20/H22,0)</f>
        <v>-1579</v>
      </c>
      <c r="I24" s="91"/>
      <c r="J24" s="232"/>
      <c r="K24" s="91"/>
      <c r="L24" s="91"/>
    </row>
    <row r="25" spans="1:12">
      <c r="A25" s="233"/>
      <c r="B25" s="166"/>
      <c r="C25" s="166"/>
      <c r="D25" s="166"/>
      <c r="E25" s="166"/>
      <c r="F25" s="167"/>
      <c r="G25" s="235"/>
      <c r="H25" s="167"/>
      <c r="I25" s="91"/>
      <c r="J25" s="91"/>
      <c r="K25" s="91"/>
      <c r="L25" s="91"/>
    </row>
    <row r="26" spans="1:12">
      <c r="A26" s="233">
        <v>9</v>
      </c>
      <c r="B26" s="228"/>
      <c r="C26" s="166" t="s">
        <v>370</v>
      </c>
      <c r="D26" s="166"/>
      <c r="E26" s="166"/>
      <c r="F26" s="423">
        <f ca="1">-'1.01) 2018 Summary'!H24</f>
        <v>1927</v>
      </c>
      <c r="G26" s="201">
        <f>1+'3.01) Attrition 2016 to 2018'!K10/'3.01) Attrition 2016 to 2018'!K7</f>
        <v>1.0036051502145922</v>
      </c>
      <c r="H26" s="422">
        <f ca="1">F26*G26</f>
        <v>1933.9471244635192</v>
      </c>
      <c r="I26" s="168"/>
      <c r="J26" s="234"/>
      <c r="K26" s="91"/>
      <c r="L26" s="91"/>
    </row>
    <row r="27" spans="1:12">
      <c r="A27" s="233"/>
      <c r="B27" s="228"/>
      <c r="C27" s="166"/>
      <c r="D27" s="166"/>
      <c r="E27" s="166"/>
      <c r="F27" s="168"/>
      <c r="G27" s="168"/>
      <c r="H27" s="422"/>
      <c r="I27" s="168"/>
      <c r="J27" s="234"/>
      <c r="K27" s="91"/>
      <c r="L27" s="91"/>
    </row>
    <row r="28" spans="1:12">
      <c r="A28" s="233">
        <v>10</v>
      </c>
      <c r="B28" s="228"/>
      <c r="C28" s="166" t="s">
        <v>371</v>
      </c>
      <c r="D28" s="166"/>
      <c r="E28" s="166"/>
      <c r="F28" s="168"/>
      <c r="G28" s="168"/>
      <c r="H28" s="425">
        <f ca="1">+H24+H26</f>
        <v>354.94712446351923</v>
      </c>
      <c r="I28" s="168"/>
      <c r="J28" s="234"/>
      <c r="K28" s="91"/>
      <c r="L28" s="91"/>
    </row>
    <row r="29" spans="1:12">
      <c r="A29" s="233"/>
      <c r="B29" s="228"/>
      <c r="C29" s="166"/>
      <c r="D29" s="166"/>
      <c r="E29" s="166"/>
      <c r="F29" s="168"/>
      <c r="G29" s="168"/>
      <c r="H29" s="422"/>
      <c r="I29" s="168"/>
      <c r="J29" s="234"/>
      <c r="K29" s="91"/>
      <c r="L29" s="91"/>
    </row>
    <row r="30" spans="1:12">
      <c r="A30" s="233">
        <v>11</v>
      </c>
      <c r="B30" s="228"/>
      <c r="C30" s="166" t="s">
        <v>369</v>
      </c>
      <c r="D30" s="166"/>
      <c r="E30" s="166"/>
      <c r="F30" s="168"/>
      <c r="G30" s="168"/>
      <c r="H30" s="422">
        <f ca="1">'3.02) Attrition 2016 to 2019'!N10+'3.02) Attrition 2016 to 2019'!N11+1-H26</f>
        <v>86899.052875536479</v>
      </c>
      <c r="I30" s="168"/>
      <c r="J30" s="234"/>
      <c r="K30" s="91"/>
      <c r="L30" s="91"/>
    </row>
    <row r="31" spans="1:12">
      <c r="A31" s="233"/>
      <c r="B31" s="228"/>
      <c r="C31" s="166"/>
      <c r="D31" s="166"/>
      <c r="E31" s="166"/>
      <c r="F31" s="166"/>
      <c r="G31" s="166"/>
      <c r="H31" s="166"/>
      <c r="I31" s="91"/>
      <c r="J31" s="91"/>
      <c r="K31" s="91"/>
      <c r="L31" s="91"/>
    </row>
    <row r="32" spans="1:12">
      <c r="A32" s="233">
        <v>12</v>
      </c>
      <c r="B32" s="228"/>
      <c r="C32" s="166" t="s">
        <v>361</v>
      </c>
      <c r="D32" s="91"/>
      <c r="E32" s="91"/>
      <c r="F32" s="91"/>
      <c r="G32" s="91"/>
      <c r="H32" s="424">
        <f ca="1">H30+H28</f>
        <v>87254</v>
      </c>
      <c r="I32" s="91"/>
      <c r="J32" s="231"/>
      <c r="K32" s="91"/>
      <c r="L32" s="91"/>
    </row>
    <row r="33" spans="1:12">
      <c r="A33" s="171"/>
      <c r="B33" s="171"/>
      <c r="C33" s="171"/>
      <c r="D33" s="171"/>
      <c r="E33" s="171"/>
      <c r="F33" s="171"/>
      <c r="G33" s="171"/>
      <c r="H33" s="171"/>
      <c r="I33" s="91"/>
      <c r="J33" s="91"/>
      <c r="K33" s="91"/>
      <c r="L33" s="91"/>
    </row>
    <row r="34" spans="1:12">
      <c r="A34" s="233">
        <v>13</v>
      </c>
      <c r="B34" s="228"/>
      <c r="C34" s="166" t="s">
        <v>346</v>
      </c>
      <c r="D34" s="166"/>
      <c r="E34" s="166"/>
      <c r="F34" s="170"/>
      <c r="G34" s="164"/>
      <c r="H34" s="413">
        <f ca="1">H28/H30</f>
        <v>4.0845914048327067E-3</v>
      </c>
      <c r="I34" s="74"/>
      <c r="J34" s="91"/>
      <c r="K34" s="91"/>
      <c r="L34" s="91"/>
    </row>
    <row r="35" spans="1:12">
      <c r="A35" s="133"/>
      <c r="B35" s="169"/>
      <c r="C35" s="118"/>
      <c r="D35" s="118"/>
      <c r="E35" s="118"/>
      <c r="F35" s="170"/>
      <c r="G35" s="164"/>
      <c r="H35" s="202"/>
      <c r="J35" s="91"/>
      <c r="K35" s="91"/>
      <c r="L35" s="91"/>
    </row>
    <row r="36" spans="1:12">
      <c r="A36" s="233">
        <v>14</v>
      </c>
      <c r="C36" s="166" t="s">
        <v>362</v>
      </c>
      <c r="F36" s="91"/>
      <c r="G36" s="91"/>
      <c r="H36" s="422">
        <f ca="1">+'[6]Exh. No. BGM-4 2'!$F$29-H26</f>
        <v>150155.05287553649</v>
      </c>
      <c r="J36" s="91"/>
      <c r="K36" s="91"/>
      <c r="L36" s="91"/>
    </row>
    <row r="37" spans="1:12">
      <c r="G37" s="91"/>
      <c r="J37" s="91"/>
      <c r="K37" s="91"/>
      <c r="L37" s="91"/>
    </row>
    <row r="38" spans="1:12">
      <c r="A38" s="233">
        <v>15</v>
      </c>
      <c r="C38" s="166" t="s">
        <v>268</v>
      </c>
      <c r="G38" s="91"/>
      <c r="H38" s="251">
        <f ca="1">H24/H36</f>
        <v>-1.0515796636619567E-2</v>
      </c>
    </row>
    <row r="39" spans="1:12">
      <c r="G39" s="91"/>
    </row>
    <row r="40" spans="1:12">
      <c r="G40" s="91"/>
    </row>
  </sheetData>
  <pageMargins left="1.2" right="0.7" top="0.75" bottom="0.75" header="0.3" footer="0.3"/>
  <pageSetup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42"/>
  <sheetViews>
    <sheetView showGridLines="0" zoomScaleNormal="100" zoomScaleSheetLayoutView="85" workbookViewId="0"/>
  </sheetViews>
  <sheetFormatPr defaultRowHeight="12.75"/>
  <cols>
    <col min="1" max="1" width="5.140625" customWidth="1"/>
    <col min="2" max="2" width="1.7109375" customWidth="1"/>
    <col min="3" max="3" width="38.42578125" customWidth="1"/>
    <col min="4" max="4" width="1.7109375" customWidth="1"/>
    <col min="5" max="5" width="4.7109375" hidden="1" customWidth="1"/>
    <col min="6" max="8" width="17.5703125" customWidth="1"/>
    <col min="9" max="9" width="13.42578125" hidden="1" customWidth="1"/>
    <col min="10" max="10" width="2.5703125" customWidth="1"/>
  </cols>
  <sheetData>
    <row r="1" spans="1:12" s="175" customFormat="1" ht="15.75">
      <c r="A1" s="418" t="s">
        <v>331</v>
      </c>
      <c r="B1" s="416"/>
      <c r="C1" s="416"/>
      <c r="D1" s="416"/>
      <c r="E1" s="416"/>
      <c r="F1" s="416"/>
      <c r="G1" s="416"/>
      <c r="H1" s="416"/>
      <c r="I1" s="414"/>
      <c r="J1" s="414"/>
    </row>
    <row r="2" spans="1:12" s="175" customFormat="1" ht="15.75">
      <c r="A2" s="426" t="s">
        <v>356</v>
      </c>
      <c r="B2" s="416"/>
      <c r="C2" s="416"/>
      <c r="D2" s="416"/>
      <c r="E2" s="416"/>
      <c r="F2" s="416"/>
      <c r="G2" s="416"/>
      <c r="H2" s="416"/>
      <c r="I2" s="414"/>
      <c r="J2" s="414"/>
    </row>
    <row r="3" spans="1:12" s="175" customFormat="1" ht="12.75" customHeight="1">
      <c r="A3" s="426" t="s">
        <v>348</v>
      </c>
      <c r="B3" s="416"/>
      <c r="C3" s="416"/>
      <c r="D3" s="416"/>
      <c r="E3" s="416"/>
      <c r="F3" s="416"/>
      <c r="G3" s="416"/>
      <c r="H3" s="416"/>
      <c r="I3" s="414"/>
      <c r="J3" s="414"/>
    </row>
    <row r="4" spans="1:12" s="175" customFormat="1" ht="15.75">
      <c r="A4" s="427" t="s">
        <v>163</v>
      </c>
      <c r="B4" s="417"/>
      <c r="C4" s="417"/>
      <c r="D4" s="417"/>
      <c r="E4" s="417"/>
      <c r="F4" s="417"/>
      <c r="G4" s="417"/>
      <c r="H4" s="417"/>
      <c r="I4" s="415"/>
      <c r="J4" s="415"/>
    </row>
    <row r="5" spans="1:12">
      <c r="A5" s="502"/>
      <c r="B5" s="502"/>
      <c r="C5" s="502"/>
      <c r="D5" s="502"/>
      <c r="E5" s="502"/>
      <c r="F5" s="502"/>
      <c r="G5" s="502"/>
      <c r="H5" s="502"/>
    </row>
    <row r="6" spans="1:12">
      <c r="A6" s="502"/>
      <c r="B6" s="502"/>
      <c r="C6" s="502"/>
      <c r="D6" s="502"/>
      <c r="E6" s="502"/>
      <c r="F6" s="502" t="s">
        <v>164</v>
      </c>
      <c r="G6" s="502" t="s">
        <v>165</v>
      </c>
      <c r="H6" s="502" t="s">
        <v>166</v>
      </c>
      <c r="J6" s="91"/>
      <c r="K6" s="91"/>
      <c r="L6" s="91"/>
    </row>
    <row r="7" spans="1:12">
      <c r="A7" s="502" t="s">
        <v>134</v>
      </c>
      <c r="B7" s="502"/>
      <c r="C7" s="502"/>
      <c r="D7" s="502"/>
      <c r="E7" s="502"/>
      <c r="F7" s="502" t="s">
        <v>329</v>
      </c>
      <c r="G7" s="502" t="s">
        <v>167</v>
      </c>
      <c r="H7" s="502" t="s">
        <v>329</v>
      </c>
      <c r="J7" s="91"/>
      <c r="K7" s="91"/>
      <c r="L7" s="91"/>
    </row>
    <row r="8" spans="1:12">
      <c r="A8" s="128" t="s">
        <v>2</v>
      </c>
      <c r="B8" s="129"/>
      <c r="C8" s="128" t="s">
        <v>84</v>
      </c>
      <c r="D8" s="129"/>
      <c r="E8" s="129"/>
      <c r="F8" s="128" t="s">
        <v>168</v>
      </c>
      <c r="G8" s="128" t="s">
        <v>169</v>
      </c>
      <c r="H8" s="128" t="s">
        <v>330</v>
      </c>
      <c r="I8" s="91"/>
      <c r="J8" s="91"/>
      <c r="K8" s="91"/>
      <c r="L8" s="91"/>
    </row>
    <row r="9" spans="1:12">
      <c r="A9" s="166"/>
      <c r="B9" s="166"/>
      <c r="C9" s="166"/>
      <c r="D9" s="166"/>
      <c r="E9" s="166"/>
      <c r="F9" s="166"/>
      <c r="G9" s="166"/>
      <c r="H9" s="166"/>
      <c r="I9" s="91"/>
      <c r="J9" s="91"/>
      <c r="K9" s="91"/>
      <c r="L9" s="91"/>
    </row>
    <row r="10" spans="1:12">
      <c r="A10" s="233">
        <v>1</v>
      </c>
      <c r="B10" s="166"/>
      <c r="C10" s="166" t="s">
        <v>363</v>
      </c>
      <c r="D10" s="166"/>
      <c r="E10" s="166"/>
      <c r="F10" s="422">
        <f ca="1">'3.03) Attrition 2016 to 2020'!S85</f>
        <v>299816.61158460833</v>
      </c>
      <c r="G10" s="452">
        <f>'3.03) Attrition 2016 to 2020'!S97</f>
        <v>1.0156103004291845</v>
      </c>
      <c r="H10" s="422">
        <f ca="1">F10/G10</f>
        <v>295208.32100453245</v>
      </c>
      <c r="I10" s="91"/>
      <c r="J10" s="91"/>
      <c r="K10" s="91"/>
      <c r="L10" s="91"/>
    </row>
    <row r="11" spans="1:12">
      <c r="A11" s="233"/>
      <c r="B11" s="166"/>
      <c r="C11" s="166"/>
      <c r="D11" s="166"/>
      <c r="E11" s="166"/>
      <c r="F11" s="419"/>
      <c r="G11" s="168"/>
      <c r="H11" s="168"/>
      <c r="I11" s="91"/>
      <c r="J11" s="91"/>
      <c r="K11" s="91"/>
      <c r="L11" s="91"/>
    </row>
    <row r="12" spans="1:12">
      <c r="A12" s="233">
        <v>2</v>
      </c>
      <c r="B12" s="166"/>
      <c r="C12" s="166" t="s">
        <v>88</v>
      </c>
      <c r="D12" s="166"/>
      <c r="E12" s="166"/>
      <c r="F12" s="420"/>
      <c r="G12" s="165"/>
      <c r="H12" s="230">
        <f>'2) ROR'!F15</f>
        <v>7.0800000000000002E-2</v>
      </c>
      <c r="I12" s="91"/>
      <c r="J12" s="91"/>
      <c r="K12" s="91"/>
      <c r="L12" s="91"/>
    </row>
    <row r="13" spans="1:12">
      <c r="A13" s="233"/>
      <c r="B13" s="166"/>
      <c r="C13" s="166"/>
      <c r="D13" s="166"/>
      <c r="E13" s="166"/>
      <c r="F13" s="420"/>
      <c r="G13" s="165"/>
      <c r="H13" s="165"/>
      <c r="I13" s="91"/>
      <c r="J13" s="91"/>
      <c r="K13" s="91"/>
      <c r="L13" s="91"/>
    </row>
    <row r="14" spans="1:12">
      <c r="A14" s="233">
        <v>3</v>
      </c>
      <c r="B14" s="166"/>
      <c r="C14" s="166" t="s">
        <v>89</v>
      </c>
      <c r="D14" s="166"/>
      <c r="E14" s="166"/>
      <c r="F14" s="421"/>
      <c r="G14" s="168"/>
      <c r="H14" s="422">
        <f ca="1">ROUND(H10*H12,0)</f>
        <v>20901</v>
      </c>
      <c r="I14" s="91"/>
      <c r="J14" s="91"/>
      <c r="K14" s="91"/>
      <c r="L14" s="91"/>
    </row>
    <row r="15" spans="1:12">
      <c r="A15" s="233"/>
      <c r="B15" s="166"/>
      <c r="C15" s="166"/>
      <c r="D15" s="166"/>
      <c r="E15" s="166"/>
      <c r="F15" s="419"/>
      <c r="G15" s="168"/>
      <c r="H15" s="168"/>
      <c r="I15" s="91"/>
      <c r="J15" s="91"/>
      <c r="K15" s="91"/>
      <c r="L15" s="91"/>
    </row>
    <row r="16" spans="1:12">
      <c r="A16" s="233">
        <v>4</v>
      </c>
      <c r="B16" s="166"/>
      <c r="C16" s="166" t="s">
        <v>364</v>
      </c>
      <c r="D16" s="166"/>
      <c r="E16" s="166"/>
      <c r="F16" s="423">
        <f ca="1">'3.03) Attrition 2016 to 2020'!S63</f>
        <v>22033.45356411899</v>
      </c>
      <c r="G16" s="201">
        <f>G10</f>
        <v>1.0156103004291845</v>
      </c>
      <c r="H16" s="423">
        <f ca="1">F16/G16</f>
        <v>21694.791353344805</v>
      </c>
      <c r="I16" s="91"/>
      <c r="J16" s="91"/>
      <c r="K16" s="91"/>
      <c r="L16" s="91"/>
    </row>
    <row r="17" spans="1:12">
      <c r="A17" s="233"/>
      <c r="B17" s="166"/>
      <c r="C17" s="166"/>
      <c r="D17" s="166"/>
      <c r="E17" s="166"/>
      <c r="F17" s="172"/>
      <c r="G17" s="201"/>
      <c r="H17" s="168"/>
      <c r="I17" s="91"/>
      <c r="J17" s="91"/>
      <c r="K17" s="91"/>
      <c r="L17" s="91"/>
    </row>
    <row r="18" spans="1:12">
      <c r="A18" s="233">
        <v>5</v>
      </c>
      <c r="B18" s="228"/>
      <c r="C18" s="166" t="s">
        <v>365</v>
      </c>
      <c r="D18" s="91"/>
      <c r="E18" s="91"/>
      <c r="F18" s="91"/>
      <c r="G18" s="91"/>
      <c r="H18" s="236">
        <f ca="1">H16/H10</f>
        <v>7.3489769121418885E-2</v>
      </c>
      <c r="I18" s="91"/>
      <c r="J18" s="91"/>
      <c r="K18" s="91"/>
      <c r="L18" s="91"/>
    </row>
    <row r="19" spans="1:12">
      <c r="A19" s="233"/>
      <c r="B19" s="166"/>
      <c r="C19" s="166"/>
      <c r="D19" s="166"/>
      <c r="E19" s="166"/>
      <c r="F19" s="166"/>
      <c r="G19" s="166"/>
      <c r="H19" s="166"/>
      <c r="I19" s="91"/>
      <c r="J19" s="91"/>
      <c r="K19" s="91"/>
      <c r="L19" s="91"/>
    </row>
    <row r="20" spans="1:12">
      <c r="A20" s="233">
        <v>6</v>
      </c>
      <c r="B20" s="166"/>
      <c r="C20" s="166" t="s">
        <v>366</v>
      </c>
      <c r="D20" s="166"/>
      <c r="E20" s="166"/>
      <c r="F20" s="168"/>
      <c r="G20" s="168"/>
      <c r="H20" s="422">
        <f ca="1">H14-H16</f>
        <v>-793.79135334480452</v>
      </c>
      <c r="I20" s="91"/>
      <c r="J20" s="231"/>
      <c r="K20" s="91"/>
      <c r="L20" s="91"/>
    </row>
    <row r="21" spans="1:12">
      <c r="A21" s="233"/>
      <c r="B21" s="166"/>
      <c r="C21" s="166"/>
      <c r="D21" s="166"/>
      <c r="E21" s="166"/>
      <c r="F21" s="166"/>
      <c r="G21" s="166"/>
      <c r="H21" s="166"/>
      <c r="I21" s="91"/>
      <c r="J21" s="91"/>
      <c r="K21" s="91"/>
      <c r="L21" s="91"/>
    </row>
    <row r="22" spans="1:12">
      <c r="A22" s="233">
        <v>7</v>
      </c>
      <c r="B22" s="166"/>
      <c r="C22" s="166" t="s">
        <v>251</v>
      </c>
      <c r="D22" s="166"/>
      <c r="E22" s="166"/>
      <c r="F22" s="229"/>
      <c r="G22" s="166"/>
      <c r="H22" s="229">
        <f>'3.03) Attrition 2016 to 2020'!S95</f>
        <v>0.620645</v>
      </c>
      <c r="I22" s="91"/>
      <c r="J22" s="91"/>
      <c r="K22" s="91"/>
      <c r="L22" s="91"/>
    </row>
    <row r="23" spans="1:12">
      <c r="A23" s="233"/>
      <c r="B23" s="166"/>
      <c r="C23" s="166"/>
      <c r="D23" s="166"/>
      <c r="E23" s="166"/>
      <c r="F23" s="166"/>
      <c r="G23" s="166"/>
      <c r="H23" s="166"/>
      <c r="I23" s="91"/>
      <c r="J23" s="91"/>
      <c r="K23" s="91"/>
      <c r="L23" s="91"/>
    </row>
    <row r="24" spans="1:12">
      <c r="A24" s="233">
        <v>8</v>
      </c>
      <c r="B24" s="166"/>
      <c r="C24" s="166" t="s">
        <v>375</v>
      </c>
      <c r="D24" s="166"/>
      <c r="E24" s="166"/>
      <c r="F24" s="167"/>
      <c r="G24" s="240"/>
      <c r="H24" s="422">
        <f ca="1">ROUND(H20/H22,0)</f>
        <v>-1279</v>
      </c>
      <c r="I24" s="91"/>
      <c r="J24" s="232"/>
      <c r="K24" s="91"/>
      <c r="L24" s="91"/>
    </row>
    <row r="25" spans="1:12">
      <c r="A25" s="233"/>
      <c r="B25" s="166"/>
      <c r="C25" s="166"/>
      <c r="D25" s="166"/>
      <c r="E25" s="166"/>
      <c r="F25" s="167"/>
      <c r="G25" s="235"/>
      <c r="H25" s="167"/>
      <c r="I25" s="91"/>
      <c r="J25" s="91"/>
      <c r="K25" s="91"/>
      <c r="L25" s="91"/>
    </row>
    <row r="26" spans="1:12">
      <c r="A26" s="233">
        <v>9</v>
      </c>
      <c r="B26" s="228"/>
      <c r="C26" s="166" t="s">
        <v>370</v>
      </c>
      <c r="D26" s="166"/>
      <c r="E26" s="166"/>
      <c r="F26" s="423">
        <f ca="1">-'1.01) 2018 Summary'!H24</f>
        <v>1927</v>
      </c>
      <c r="G26" s="201">
        <f>+(G28-1)*2+1</f>
        <v>1.0072103004291844</v>
      </c>
      <c r="H26" s="422">
        <f ca="1">F26*G26</f>
        <v>1940.8942489270382</v>
      </c>
      <c r="I26" s="168"/>
      <c r="J26" s="234"/>
      <c r="K26" s="91"/>
      <c r="L26" s="91"/>
    </row>
    <row r="27" spans="1:12">
      <c r="A27" s="233"/>
      <c r="B27" s="228"/>
      <c r="C27" s="166"/>
      <c r="D27" s="166"/>
      <c r="E27" s="166"/>
      <c r="F27" s="168"/>
      <c r="G27" s="168"/>
      <c r="H27" s="422"/>
      <c r="I27" s="168"/>
      <c r="J27" s="234"/>
      <c r="K27" s="91"/>
      <c r="L27" s="91"/>
    </row>
    <row r="28" spans="1:12">
      <c r="A28" s="233">
        <v>10</v>
      </c>
      <c r="B28" s="228"/>
      <c r="C28" s="166" t="s">
        <v>372</v>
      </c>
      <c r="D28" s="166"/>
      <c r="E28" s="166"/>
      <c r="F28" s="423">
        <f ca="1">-'1.02) 2019 Summary'!H28</f>
        <v>-354.94712446351923</v>
      </c>
      <c r="G28" s="201">
        <f>1+'3.01) Attrition 2016 to 2018'!$K$10/'3.01) Attrition 2016 to 2018'!$K$7</f>
        <v>1.0036051502145922</v>
      </c>
      <c r="H28" s="422">
        <f ca="1">F28*G28</f>
        <v>-356.22676216544778</v>
      </c>
      <c r="I28" s="168"/>
      <c r="J28" s="234"/>
      <c r="K28" s="91"/>
      <c r="L28" s="91"/>
    </row>
    <row r="29" spans="1:12">
      <c r="A29" s="233"/>
      <c r="B29" s="228"/>
      <c r="C29" s="166"/>
      <c r="D29" s="166"/>
      <c r="E29" s="166"/>
      <c r="F29" s="168"/>
      <c r="G29" s="168"/>
      <c r="H29" s="422"/>
      <c r="I29" s="168"/>
      <c r="J29" s="234"/>
      <c r="K29" s="91"/>
      <c r="L29" s="91"/>
    </row>
    <row r="30" spans="1:12">
      <c r="A30" s="233">
        <v>11</v>
      </c>
      <c r="B30" s="228"/>
      <c r="C30" s="166" t="s">
        <v>373</v>
      </c>
      <c r="D30" s="166"/>
      <c r="E30" s="166"/>
      <c r="F30" s="168"/>
      <c r="G30" s="168"/>
      <c r="H30" s="425">
        <f ca="1">+SUM(H24:H28)</f>
        <v>305.66748676159045</v>
      </c>
      <c r="I30" s="168"/>
      <c r="J30" s="234"/>
      <c r="K30" s="91"/>
      <c r="L30" s="91"/>
    </row>
    <row r="31" spans="1:12">
      <c r="A31" s="233"/>
      <c r="B31" s="228"/>
      <c r="C31" s="166"/>
      <c r="D31" s="166"/>
      <c r="E31" s="166"/>
      <c r="F31" s="168"/>
      <c r="G31" s="168"/>
      <c r="H31" s="422"/>
      <c r="I31" s="168"/>
      <c r="J31" s="234"/>
      <c r="K31" s="91"/>
      <c r="L31" s="91"/>
    </row>
    <row r="32" spans="1:12">
      <c r="A32" s="233">
        <v>12</v>
      </c>
      <c r="B32" s="228"/>
      <c r="C32" s="166" t="s">
        <v>374</v>
      </c>
      <c r="D32" s="166"/>
      <c r="E32" s="166"/>
      <c r="F32" s="168"/>
      <c r="G32" s="168"/>
      <c r="H32" s="422">
        <f ca="1">'3.03) Attrition 2016 to 2020'!N10+'3.03) Attrition 2016 to 2020'!N11+1-H26-H28</f>
        <v>87248.332513238405</v>
      </c>
      <c r="I32" s="168"/>
      <c r="J32" s="234"/>
      <c r="K32" s="91"/>
      <c r="L32" s="91"/>
    </row>
    <row r="33" spans="1:12">
      <c r="A33" s="233"/>
      <c r="B33" s="228"/>
      <c r="C33" s="166"/>
      <c r="D33" s="166"/>
      <c r="E33" s="166"/>
      <c r="F33" s="166"/>
      <c r="G33" s="166"/>
      <c r="H33" s="166"/>
      <c r="I33" s="91"/>
      <c r="J33" s="91"/>
      <c r="K33" s="91"/>
      <c r="L33" s="91"/>
    </row>
    <row r="34" spans="1:12">
      <c r="A34" s="233">
        <v>13</v>
      </c>
      <c r="B34" s="228"/>
      <c r="C34" s="166" t="s">
        <v>367</v>
      </c>
      <c r="D34" s="91"/>
      <c r="E34" s="91"/>
      <c r="F34" s="91"/>
      <c r="G34" s="91"/>
      <c r="H34" s="424">
        <f ca="1">H32+H30</f>
        <v>87554</v>
      </c>
      <c r="I34" s="91"/>
      <c r="J34" s="231"/>
      <c r="K34" s="91"/>
      <c r="L34" s="91"/>
    </row>
    <row r="35" spans="1:12">
      <c r="A35" s="171"/>
      <c r="B35" s="171"/>
      <c r="C35" s="171"/>
      <c r="D35" s="171"/>
      <c r="E35" s="171"/>
      <c r="F35" s="171"/>
      <c r="G35" s="171"/>
      <c r="H35" s="171"/>
      <c r="I35" s="91"/>
      <c r="J35" s="91"/>
      <c r="K35" s="91"/>
      <c r="L35" s="91"/>
    </row>
    <row r="36" spans="1:12">
      <c r="A36" s="233">
        <v>14</v>
      </c>
      <c r="B36" s="228"/>
      <c r="C36" s="166" t="s">
        <v>346</v>
      </c>
      <c r="D36" s="166"/>
      <c r="E36" s="166"/>
      <c r="F36" s="170"/>
      <c r="G36" s="164"/>
      <c r="H36" s="413">
        <f ca="1">H30/H32</f>
        <v>3.5034192397340176E-3</v>
      </c>
      <c r="I36" s="74"/>
      <c r="J36" s="91"/>
      <c r="K36" s="91"/>
      <c r="L36" s="91"/>
    </row>
    <row r="37" spans="1:12">
      <c r="A37" s="133"/>
      <c r="B37" s="169"/>
      <c r="C37" s="118"/>
      <c r="D37" s="118"/>
      <c r="E37" s="118"/>
      <c r="F37" s="170"/>
      <c r="G37" s="164"/>
      <c r="H37" s="202"/>
      <c r="J37" s="91"/>
      <c r="K37" s="91"/>
      <c r="L37" s="91"/>
    </row>
    <row r="38" spans="1:12">
      <c r="A38" s="233">
        <v>15</v>
      </c>
      <c r="C38" s="166" t="s">
        <v>368</v>
      </c>
      <c r="F38" s="91"/>
      <c r="G38" s="91"/>
      <c r="H38" s="422">
        <f ca="1">+'[6]Exh. No. BGM-4 2'!$F$29-H28-H26</f>
        <v>150504.33251323842</v>
      </c>
      <c r="J38" s="91"/>
      <c r="K38" s="91"/>
      <c r="L38" s="91"/>
    </row>
    <row r="39" spans="1:12">
      <c r="G39" s="91"/>
      <c r="J39" s="91"/>
      <c r="K39" s="91"/>
      <c r="L39" s="91"/>
    </row>
    <row r="40" spans="1:12">
      <c r="A40" s="233">
        <v>16</v>
      </c>
      <c r="C40" s="166" t="s">
        <v>268</v>
      </c>
      <c r="G40" s="91"/>
      <c r="H40" s="251">
        <f ca="1">H24/H38</f>
        <v>-8.4980942318554093E-3</v>
      </c>
    </row>
    <row r="41" spans="1:12">
      <c r="G41" s="91"/>
    </row>
    <row r="42" spans="1:12">
      <c r="G42" s="91"/>
    </row>
  </sheetData>
  <pageMargins left="1.2" right="0.7" top="0.75" bottom="0.75" header="0.3" footer="0.3"/>
  <pageSetup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63"/>
  <sheetViews>
    <sheetView showGridLines="0" zoomScaleNormal="100" zoomScaleSheetLayoutView="85" workbookViewId="0"/>
  </sheetViews>
  <sheetFormatPr defaultRowHeight="12.75"/>
  <cols>
    <col min="1" max="1" width="2.7109375" customWidth="1"/>
    <col min="2" max="2" width="15.140625" customWidth="1"/>
    <col min="3" max="3" width="2.7109375" customWidth="1"/>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12"/>
      <c r="B1" s="112"/>
      <c r="C1" s="112"/>
      <c r="D1" s="112"/>
      <c r="E1" s="112"/>
      <c r="F1" s="112"/>
      <c r="G1" s="112"/>
      <c r="H1" s="112"/>
      <c r="I1" s="112"/>
      <c r="J1" s="113"/>
      <c r="K1" s="113"/>
      <c r="L1" s="113"/>
      <c r="M1" s="113"/>
      <c r="N1" s="114"/>
    </row>
    <row r="2" spans="1:16" ht="15">
      <c r="A2" s="428" t="s">
        <v>315</v>
      </c>
      <c r="B2" s="428"/>
      <c r="C2" s="428"/>
      <c r="D2" s="428"/>
      <c r="E2" s="428"/>
      <c r="F2" s="428"/>
      <c r="G2" s="428"/>
      <c r="H2" s="112"/>
      <c r="I2" s="112"/>
      <c r="J2" s="294" t="s">
        <v>131</v>
      </c>
      <c r="K2" s="294"/>
      <c r="L2" s="294"/>
      <c r="M2" s="294"/>
      <c r="N2" s="295"/>
    </row>
    <row r="3" spans="1:16" ht="15">
      <c r="A3" s="429" t="s">
        <v>149</v>
      </c>
      <c r="B3" s="429"/>
      <c r="C3" s="429"/>
      <c r="D3" s="429"/>
      <c r="E3" s="429"/>
      <c r="F3" s="429"/>
      <c r="G3" s="429"/>
      <c r="H3" s="430"/>
      <c r="I3" s="430"/>
      <c r="J3" s="431" t="s">
        <v>150</v>
      </c>
      <c r="K3" s="431"/>
      <c r="L3" s="431"/>
      <c r="M3" s="431"/>
      <c r="N3" s="432"/>
    </row>
    <row r="4" spans="1:16" ht="15.75" customHeight="1">
      <c r="A4" s="511" t="s">
        <v>382</v>
      </c>
      <c r="B4" s="511"/>
      <c r="C4" s="511"/>
      <c r="D4" s="511"/>
      <c r="E4" s="511"/>
      <c r="F4" s="511"/>
      <c r="G4" s="511"/>
      <c r="H4" s="430"/>
      <c r="I4" s="430"/>
      <c r="J4" s="511" t="s">
        <v>382</v>
      </c>
      <c r="K4" s="511"/>
      <c r="L4" s="511"/>
      <c r="M4" s="511"/>
      <c r="N4" s="511"/>
      <c r="O4" s="242"/>
      <c r="P4" s="242"/>
    </row>
    <row r="5" spans="1:16" ht="15">
      <c r="H5" s="112"/>
      <c r="I5" s="112"/>
      <c r="J5" s="118"/>
      <c r="K5" s="118"/>
      <c r="L5" s="118"/>
      <c r="M5" s="118"/>
      <c r="N5" s="119"/>
    </row>
    <row r="6" spans="1:16" ht="15">
      <c r="A6" s="447" t="s">
        <v>332</v>
      </c>
      <c r="B6" s="448"/>
      <c r="C6" s="448"/>
      <c r="D6" s="448"/>
      <c r="E6" s="448"/>
      <c r="F6" s="448"/>
      <c r="G6" s="449"/>
      <c r="H6" s="112"/>
      <c r="I6" s="112"/>
      <c r="J6" s="125" t="s">
        <v>134</v>
      </c>
      <c r="K6" s="125"/>
      <c r="L6" s="125"/>
      <c r="M6" s="125"/>
      <c r="N6" s="126"/>
    </row>
    <row r="7" spans="1:16" ht="15">
      <c r="A7" s="436"/>
      <c r="B7" s="121"/>
      <c r="C7" s="121"/>
      <c r="D7" s="122"/>
      <c r="E7" s="123"/>
      <c r="F7" s="122"/>
      <c r="G7" s="437"/>
      <c r="H7" s="112"/>
      <c r="I7" s="112"/>
      <c r="J7" s="128" t="s">
        <v>2</v>
      </c>
      <c r="K7" s="125"/>
      <c r="L7" s="128" t="s">
        <v>84</v>
      </c>
      <c r="M7" s="129"/>
      <c r="N7" s="130" t="s">
        <v>124</v>
      </c>
    </row>
    <row r="8" spans="1:16" ht="15">
      <c r="A8" s="436"/>
      <c r="B8" s="127"/>
      <c r="C8" s="122"/>
      <c r="D8" s="122" t="s">
        <v>135</v>
      </c>
      <c r="E8" s="122"/>
      <c r="F8" s="122" t="s">
        <v>86</v>
      </c>
      <c r="G8" s="437"/>
      <c r="H8" s="112"/>
      <c r="I8" s="112"/>
      <c r="J8" s="118"/>
      <c r="K8" s="118"/>
      <c r="L8" s="118"/>
      <c r="M8" s="118"/>
      <c r="N8" s="119"/>
    </row>
    <row r="9" spans="1:16" ht="15">
      <c r="A9" s="436"/>
      <c r="B9" s="131" t="s">
        <v>136</v>
      </c>
      <c r="C9" s="122"/>
      <c r="D9" s="131" t="s">
        <v>137</v>
      </c>
      <c r="E9" s="131" t="s">
        <v>125</v>
      </c>
      <c r="F9" s="131" t="s">
        <v>125</v>
      </c>
      <c r="G9" s="437"/>
      <c r="H9" s="112"/>
      <c r="I9" s="112"/>
      <c r="J9" s="133">
        <v>1</v>
      </c>
      <c r="K9" s="118"/>
      <c r="L9" s="134" t="s">
        <v>138</v>
      </c>
      <c r="M9" s="118"/>
      <c r="N9" s="135">
        <v>1</v>
      </c>
    </row>
    <row r="10" spans="1:16" ht="15">
      <c r="A10" s="436"/>
      <c r="B10" s="121"/>
      <c r="C10" s="121"/>
      <c r="D10" s="121"/>
      <c r="E10" s="123"/>
      <c r="F10" s="121"/>
      <c r="G10" s="438"/>
      <c r="H10" s="112"/>
      <c r="I10" s="112"/>
      <c r="J10" s="133"/>
      <c r="K10" s="118"/>
      <c r="L10" s="118"/>
      <c r="M10" s="118"/>
      <c r="N10" s="135"/>
    </row>
    <row r="11" spans="1:16" ht="15">
      <c r="A11" s="436"/>
      <c r="B11" s="127" t="s">
        <v>139</v>
      </c>
      <c r="C11" s="136"/>
      <c r="D11" s="137">
        <f>100%-D13</f>
        <v>0.51600000000000001</v>
      </c>
      <c r="E11" s="137">
        <f>+'[7]Exh. No. BGM-3 1'!$AJ$10</f>
        <v>5.1948000000000001E-2</v>
      </c>
      <c r="F11" s="137">
        <f>ROUND(D11*E11,4)</f>
        <v>2.6800000000000001E-2</v>
      </c>
      <c r="G11" s="439"/>
      <c r="H11" s="112"/>
      <c r="I11" s="112"/>
      <c r="J11" s="133"/>
      <c r="K11" s="118"/>
      <c r="L11" s="142" t="s">
        <v>140</v>
      </c>
      <c r="M11" s="143"/>
      <c r="N11" s="135"/>
    </row>
    <row r="12" spans="1:16" ht="15">
      <c r="A12" s="436"/>
      <c r="B12" s="127"/>
      <c r="C12" s="140"/>
      <c r="D12" s="137"/>
      <c r="E12" s="137"/>
      <c r="F12" s="137"/>
      <c r="G12" s="440"/>
      <c r="H12" s="112"/>
      <c r="I12" s="112"/>
      <c r="J12" s="133">
        <v>2</v>
      </c>
      <c r="K12" s="118"/>
      <c r="L12" s="143" t="s">
        <v>142</v>
      </c>
      <c r="M12" s="143"/>
      <c r="N12" s="143">
        <f>+'[6]Exh. No. BGM-4 3'!$E$15</f>
        <v>4.8267980101441661E-3</v>
      </c>
    </row>
    <row r="13" spans="1:16" ht="15">
      <c r="A13" s="436"/>
      <c r="B13" s="127" t="s">
        <v>141</v>
      </c>
      <c r="C13" s="140"/>
      <c r="D13" s="137">
        <v>0.48399999999999999</v>
      </c>
      <c r="E13" s="435">
        <v>9.0999999999999998E-2</v>
      </c>
      <c r="F13" s="137">
        <f>ROUND(D13*E13,4)</f>
        <v>4.3999999999999997E-2</v>
      </c>
      <c r="G13" s="438"/>
      <c r="H13" s="112"/>
      <c r="I13" s="112"/>
      <c r="J13" s="133"/>
      <c r="K13" s="118"/>
      <c r="L13" s="143"/>
      <c r="M13" s="143"/>
      <c r="N13" s="143"/>
    </row>
    <row r="14" spans="1:16" ht="15">
      <c r="A14" s="436"/>
      <c r="B14" s="127"/>
      <c r="C14" s="140"/>
      <c r="D14" s="144"/>
      <c r="E14" s="145"/>
      <c r="F14" s="137"/>
      <c r="G14" s="437"/>
      <c r="H14" s="112"/>
      <c r="I14" s="112"/>
      <c r="J14" s="133">
        <v>3</v>
      </c>
      <c r="K14" s="118"/>
      <c r="L14" s="143" t="s">
        <v>143</v>
      </c>
      <c r="M14" s="143"/>
      <c r="N14" s="143">
        <v>2E-3</v>
      </c>
    </row>
    <row r="15" spans="1:16" ht="15.75" thickBot="1">
      <c r="A15" s="436"/>
      <c r="B15" s="127" t="s">
        <v>5</v>
      </c>
      <c r="C15" s="136"/>
      <c r="D15" s="146">
        <f>SUM(D11:D13)</f>
        <v>1</v>
      </c>
      <c r="E15" s="145"/>
      <c r="F15" s="146">
        <f>SUM(F11:F13)</f>
        <v>7.0800000000000002E-2</v>
      </c>
      <c r="G15" s="437"/>
      <c r="H15" s="112"/>
      <c r="I15" s="112"/>
      <c r="J15" s="133"/>
      <c r="K15" s="118"/>
      <c r="L15" s="143"/>
      <c r="M15" s="143"/>
      <c r="N15" s="143"/>
    </row>
    <row r="16" spans="1:16" ht="15.75" thickTop="1">
      <c r="A16" s="441"/>
      <c r="B16" s="442"/>
      <c r="C16" s="443"/>
      <c r="D16" s="444"/>
      <c r="E16" s="445"/>
      <c r="F16" s="444"/>
      <c r="G16" s="446"/>
      <c r="H16" s="112"/>
      <c r="I16" s="112"/>
      <c r="J16" s="133">
        <v>4</v>
      </c>
      <c r="K16" s="118"/>
      <c r="L16" s="143" t="s">
        <v>144</v>
      </c>
      <c r="M16" s="143"/>
      <c r="N16" s="143">
        <f>+'[6]Exh. No. BGM-4 3'!$E$19</f>
        <v>3.8334071740649248E-2</v>
      </c>
    </row>
    <row r="17" spans="1:14" ht="15">
      <c r="A17" s="252"/>
      <c r="H17" s="112"/>
      <c r="I17" s="112"/>
      <c r="J17" s="133"/>
      <c r="K17" s="118"/>
      <c r="L17" s="143"/>
      <c r="M17" s="143"/>
      <c r="N17" s="143"/>
    </row>
    <row r="18" spans="1:14" ht="15">
      <c r="A18" s="91"/>
      <c r="H18" s="112"/>
      <c r="I18" s="112"/>
      <c r="J18" s="133">
        <v>5</v>
      </c>
      <c r="K18" s="118"/>
      <c r="L18" s="143" t="s">
        <v>145</v>
      </c>
      <c r="M18" s="143"/>
      <c r="N18" s="153">
        <f>SUM(N12:N16)</f>
        <v>4.5160869750793413E-2</v>
      </c>
    </row>
    <row r="19" spans="1:14" ht="15">
      <c r="A19" s="91"/>
      <c r="H19" s="112"/>
      <c r="I19" s="112"/>
      <c r="J19" s="133"/>
      <c r="K19" s="118"/>
      <c r="L19" s="143"/>
      <c r="M19" s="143"/>
      <c r="N19" s="154"/>
    </row>
    <row r="20" spans="1:14" ht="15">
      <c r="A20" s="91"/>
      <c r="H20" s="112"/>
      <c r="I20" s="112"/>
      <c r="J20" s="133">
        <v>6</v>
      </c>
      <c r="K20" s="118"/>
      <c r="L20" s="143" t="s">
        <v>146</v>
      </c>
      <c r="M20" s="143"/>
      <c r="N20" s="154">
        <f>N9-N18</f>
        <v>0.95483913024920664</v>
      </c>
    </row>
    <row r="21" spans="1:14" ht="15">
      <c r="A21" s="91"/>
      <c r="H21" s="112"/>
      <c r="I21" s="112"/>
      <c r="J21" s="118"/>
      <c r="K21" s="118"/>
      <c r="L21" s="143"/>
      <c r="M21" s="143"/>
      <c r="N21" s="154"/>
    </row>
    <row r="22" spans="1:14" ht="15">
      <c r="A22" s="91"/>
      <c r="H22" s="112"/>
      <c r="I22" s="112"/>
      <c r="J22" s="133">
        <v>7</v>
      </c>
      <c r="K22" s="118"/>
      <c r="L22" s="143" t="s">
        <v>147</v>
      </c>
      <c r="M22" s="155"/>
      <c r="N22" s="156">
        <f>N20*0.35</f>
        <v>0.33419369558722228</v>
      </c>
    </row>
    <row r="23" spans="1:14" ht="15">
      <c r="A23" s="91"/>
      <c r="H23" s="112"/>
      <c r="I23" s="112"/>
      <c r="J23" s="118"/>
      <c r="K23" s="118"/>
      <c r="L23" s="143"/>
      <c r="M23" s="143"/>
      <c r="N23" s="154"/>
    </row>
    <row r="24" spans="1:14" ht="15.75" thickBot="1">
      <c r="A24" s="91"/>
      <c r="H24" s="112"/>
      <c r="I24" s="112"/>
      <c r="J24" s="133">
        <v>8</v>
      </c>
      <c r="K24" s="118"/>
      <c r="L24" s="142" t="s">
        <v>148</v>
      </c>
      <c r="M24" s="143"/>
      <c r="N24" s="241">
        <f>ROUND(N20-N22,6)</f>
        <v>0.620645</v>
      </c>
    </row>
    <row r="25" spans="1:14" ht="15.75" thickTop="1">
      <c r="A25" s="91"/>
      <c r="H25" s="112"/>
      <c r="I25" s="112"/>
      <c r="J25" s="112"/>
      <c r="K25" s="112"/>
      <c r="L25" s="112"/>
      <c r="M25" s="112"/>
      <c r="N25" s="112"/>
    </row>
    <row r="26" spans="1:14" ht="15">
      <c r="A26" s="91"/>
      <c r="H26" s="112"/>
      <c r="I26" s="112"/>
    </row>
    <row r="27" spans="1:14" ht="15">
      <c r="A27" s="91"/>
      <c r="H27" s="112"/>
      <c r="I27" s="112"/>
    </row>
    <row r="28" spans="1:14">
      <c r="A28" s="91"/>
      <c r="J28" s="104"/>
    </row>
    <row r="29" spans="1:14">
      <c r="A29" s="512" t="s">
        <v>43</v>
      </c>
      <c r="B29" s="513"/>
      <c r="C29" s="513"/>
      <c r="D29" s="513"/>
      <c r="E29" s="513"/>
      <c r="F29" s="513"/>
      <c r="G29" s="513"/>
    </row>
    <row r="30" spans="1:14" ht="11.25" customHeight="1">
      <c r="A30" s="512" t="s">
        <v>260</v>
      </c>
      <c r="B30" s="513"/>
      <c r="C30" s="513"/>
      <c r="D30" s="513"/>
      <c r="E30" s="513"/>
      <c r="F30" s="513"/>
      <c r="G30" s="513"/>
    </row>
    <row r="31" spans="1:14">
      <c r="A31" s="512" t="s">
        <v>149</v>
      </c>
      <c r="B31" s="513"/>
      <c r="C31" s="513"/>
      <c r="D31" s="513"/>
      <c r="E31" s="513"/>
      <c r="F31" s="513"/>
      <c r="G31" s="513"/>
    </row>
    <row r="32" spans="1:14" ht="13.5" thickBot="1">
      <c r="A32" s="512"/>
      <c r="B32" s="513"/>
      <c r="C32" s="513"/>
      <c r="D32" s="513"/>
      <c r="E32" s="513"/>
      <c r="F32" s="513"/>
      <c r="G32" s="513"/>
    </row>
    <row r="33" spans="1:7">
      <c r="A33" s="115" t="s">
        <v>132</v>
      </c>
      <c r="B33" s="116"/>
      <c r="C33" s="116"/>
      <c r="D33" s="116"/>
      <c r="E33" s="116"/>
      <c r="F33" s="116"/>
      <c r="G33" s="117"/>
    </row>
    <row r="34" spans="1:7">
      <c r="A34" s="120"/>
      <c r="B34" s="121"/>
      <c r="C34" s="121"/>
      <c r="D34" s="122"/>
      <c r="E34" s="123"/>
      <c r="F34" s="122" t="s">
        <v>133</v>
      </c>
      <c r="G34" s="124"/>
    </row>
    <row r="35" spans="1:7">
      <c r="A35" s="120"/>
      <c r="B35" s="127"/>
      <c r="C35" s="122"/>
      <c r="D35" s="122" t="s">
        <v>135</v>
      </c>
      <c r="E35" s="122" t="s">
        <v>133</v>
      </c>
      <c r="F35" s="122" t="s">
        <v>86</v>
      </c>
      <c r="G35" s="124"/>
    </row>
    <row r="36" spans="1:7">
      <c r="A36" s="120"/>
      <c r="B36" s="131" t="s">
        <v>136</v>
      </c>
      <c r="C36" s="122"/>
      <c r="D36" s="131" t="s">
        <v>137</v>
      </c>
      <c r="E36" s="131" t="s">
        <v>125</v>
      </c>
      <c r="F36" s="131" t="s">
        <v>125</v>
      </c>
      <c r="G36" s="124"/>
    </row>
    <row r="37" spans="1:7">
      <c r="A37" s="120"/>
      <c r="B37" s="121"/>
      <c r="C37" s="121"/>
      <c r="D37" s="121"/>
      <c r="E37" s="123"/>
      <c r="F37" s="121"/>
      <c r="G37" s="132"/>
    </row>
    <row r="38" spans="1:7">
      <c r="A38" s="120"/>
      <c r="B38" s="127" t="s">
        <v>139</v>
      </c>
      <c r="C38" s="136"/>
      <c r="D38" s="137">
        <f>100%-D40</f>
        <v>0.51629999999999998</v>
      </c>
      <c r="E38" s="138">
        <v>5.3199999999999997E-2</v>
      </c>
      <c r="F38" s="144">
        <f>ROUND(D38*E38,5)</f>
        <v>2.7470000000000001E-2</v>
      </c>
      <c r="G38" s="139"/>
    </row>
    <row r="39" spans="1:7">
      <c r="A39" s="120"/>
      <c r="B39" s="127"/>
      <c r="C39" s="140"/>
      <c r="D39" s="137"/>
      <c r="E39" s="138"/>
      <c r="F39" s="137"/>
      <c r="G39" s="141"/>
    </row>
    <row r="40" spans="1:7">
      <c r="A40" s="120"/>
      <c r="B40" s="127" t="s">
        <v>141</v>
      </c>
      <c r="C40" s="140"/>
      <c r="D40" s="137">
        <v>0.48370000000000002</v>
      </c>
      <c r="E40" s="138">
        <v>9.8000000000000004E-2</v>
      </c>
      <c r="F40" s="137">
        <f>ROUND(D40*E40,4)</f>
        <v>4.7399999999999998E-2</v>
      </c>
      <c r="G40" s="132"/>
    </row>
    <row r="41" spans="1:7">
      <c r="A41" s="120"/>
      <c r="B41" s="127"/>
      <c r="C41" s="140"/>
      <c r="D41" s="144"/>
      <c r="E41" s="145"/>
      <c r="F41" s="137"/>
      <c r="G41" s="124"/>
    </row>
    <row r="42" spans="1:7" ht="13.5" thickBot="1">
      <c r="A42" s="120"/>
      <c r="B42" s="127" t="s">
        <v>5</v>
      </c>
      <c r="C42" s="136"/>
      <c r="D42" s="146">
        <f>SUM(D38:D40)</f>
        <v>1</v>
      </c>
      <c r="E42" s="145"/>
      <c r="F42" s="146">
        <f>SUM(F38:F40)</f>
        <v>7.4869999999999992E-2</v>
      </c>
      <c r="G42" s="124"/>
    </row>
    <row r="43" spans="1:7" ht="14.25" thickTop="1" thickBot="1">
      <c r="A43" s="147"/>
      <c r="B43" s="148"/>
      <c r="C43" s="149"/>
      <c r="D43" s="150"/>
      <c r="E43" s="151"/>
      <c r="F43" s="150"/>
      <c r="G43" s="152"/>
    </row>
    <row r="46" spans="1:7">
      <c r="C46" s="474" t="s">
        <v>352</v>
      </c>
      <c r="D46" s="510">
        <v>1</v>
      </c>
    </row>
    <row r="47" spans="1:7">
      <c r="C47" s="509" t="s">
        <v>353</v>
      </c>
      <c r="D47" s="510">
        <v>0</v>
      </c>
    </row>
    <row r="48" spans="1:7">
      <c r="B48" t="s">
        <v>383</v>
      </c>
      <c r="D48" s="510">
        <v>0</v>
      </c>
    </row>
    <row r="262" spans="7:7">
      <c r="G262" t="s">
        <v>229</v>
      </c>
    </row>
    <row r="263" spans="7:7">
      <c r="G263" t="s">
        <v>230</v>
      </c>
    </row>
  </sheetData>
  <mergeCells count="6">
    <mergeCell ref="J4:N4"/>
    <mergeCell ref="A32:G32"/>
    <mergeCell ref="A4:G4"/>
    <mergeCell ref="A29:G29"/>
    <mergeCell ref="A30:G30"/>
    <mergeCell ref="A31:G31"/>
  </mergeCells>
  <printOptions horizontalCentered="1"/>
  <pageMargins left="0.7" right="0.7" top="0.75" bottom="0.75" header="0.3" footer="0.3"/>
  <pageSetup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07"/>
  <sheetViews>
    <sheetView showGridLines="0" zoomScaleNormal="100" zoomScaleSheetLayoutView="70" workbookViewId="0"/>
  </sheetViews>
  <sheetFormatPr defaultColWidth="10.7109375" defaultRowHeight="15.75"/>
  <cols>
    <col min="1" max="1" width="5" style="300" customWidth="1"/>
    <col min="2" max="2" width="1.7109375" style="297" customWidth="1"/>
    <col min="3" max="3" width="35" style="297" customWidth="1"/>
    <col min="4" max="4" width="1.28515625" style="297" customWidth="1"/>
    <col min="5" max="5" width="12.85546875" style="301" customWidth="1"/>
    <col min="6" max="6" width="12.85546875" style="296" customWidth="1"/>
    <col min="7" max="7" width="12.85546875" style="297" customWidth="1"/>
    <col min="8" max="8" width="12.85546875" style="297" hidden="1" customWidth="1"/>
    <col min="9" max="9" width="12.85546875" style="297" customWidth="1"/>
    <col min="10" max="10" width="1.28515625" style="297" customWidth="1"/>
    <col min="11" max="11" width="12.85546875" style="297" customWidth="1"/>
    <col min="12" max="12" width="1.28515625" style="297" customWidth="1"/>
    <col min="13" max="15" width="12.85546875" style="297" customWidth="1"/>
    <col min="16" max="16" width="1.28515625" style="297" customWidth="1"/>
    <col min="17" max="17" width="12.85546875" style="297" hidden="1" customWidth="1"/>
    <col min="18" max="18" width="1.140625" style="297" hidden="1" customWidth="1"/>
    <col min="19" max="19" width="12.85546875" style="297" customWidth="1"/>
    <col min="20" max="16384" width="10.7109375" style="297"/>
  </cols>
  <sheetData>
    <row r="1" spans="1:19" s="411" customFormat="1" ht="18.75">
      <c r="A1" s="433" t="s">
        <v>349</v>
      </c>
      <c r="B1" s="433"/>
      <c r="C1" s="433"/>
      <c r="D1" s="433"/>
      <c r="E1" s="433"/>
      <c r="F1" s="433"/>
      <c r="G1" s="433"/>
      <c r="H1" s="433"/>
      <c r="I1" s="433"/>
      <c r="J1" s="433"/>
      <c r="K1" s="433"/>
      <c r="L1" s="433"/>
      <c r="M1" s="433"/>
      <c r="N1" s="433"/>
      <c r="O1" s="433"/>
      <c r="P1" s="433"/>
      <c r="Q1" s="433"/>
      <c r="R1" s="433"/>
      <c r="S1" s="433"/>
    </row>
    <row r="2" spans="1:19" s="308" customFormat="1" ht="17.25" customHeight="1">
      <c r="A2" s="370"/>
      <c r="B2" s="370"/>
      <c r="C2" s="370"/>
      <c r="D2" s="370"/>
      <c r="E2" s="380"/>
    </row>
    <row r="3" spans="1:19" s="387" customFormat="1" ht="17.25" customHeight="1">
      <c r="A3" s="381"/>
      <c r="B3" s="382"/>
      <c r="C3" s="383" t="s">
        <v>151</v>
      </c>
      <c r="D3" s="381"/>
      <c r="E3" s="384" t="s">
        <v>317</v>
      </c>
      <c r="F3" s="385"/>
      <c r="G3" s="385"/>
      <c r="H3" s="385"/>
      <c r="I3" s="386"/>
      <c r="K3" s="518" t="s">
        <v>321</v>
      </c>
      <c r="M3" s="388" t="s">
        <v>126</v>
      </c>
      <c r="N3" s="389"/>
      <c r="O3" s="390"/>
      <c r="P3" s="308"/>
      <c r="Q3" s="391" t="s">
        <v>320</v>
      </c>
      <c r="R3" s="308"/>
      <c r="S3" s="453" t="s">
        <v>258</v>
      </c>
    </row>
    <row r="4" spans="1:19" s="304" customFormat="1" ht="15" customHeight="1">
      <c r="A4" s="303"/>
      <c r="E4" s="526" t="s">
        <v>337</v>
      </c>
      <c r="F4" s="515" t="s">
        <v>264</v>
      </c>
      <c r="G4" s="515" t="s">
        <v>228</v>
      </c>
      <c r="H4" s="515" t="s">
        <v>263</v>
      </c>
      <c r="I4" s="517" t="s">
        <v>265</v>
      </c>
      <c r="K4" s="519"/>
      <c r="L4" s="305"/>
      <c r="M4" s="514" t="s">
        <v>318</v>
      </c>
      <c r="N4" s="514" t="s">
        <v>319</v>
      </c>
      <c r="O4" s="514" t="s">
        <v>220</v>
      </c>
      <c r="P4" s="308"/>
      <c r="Q4" s="521" t="s">
        <v>266</v>
      </c>
      <c r="R4" s="308"/>
      <c r="S4" s="521" t="s">
        <v>379</v>
      </c>
    </row>
    <row r="5" spans="1:19" s="309" customFormat="1" ht="15">
      <c r="A5" s="306"/>
      <c r="B5" s="307"/>
      <c r="C5" s="307"/>
      <c r="D5" s="308"/>
      <c r="E5" s="527"/>
      <c r="F5" s="528"/>
      <c r="G5" s="516"/>
      <c r="H5" s="516"/>
      <c r="I5" s="514"/>
      <c r="J5" s="307"/>
      <c r="K5" s="520"/>
      <c r="L5" s="305"/>
      <c r="M5" s="514"/>
      <c r="N5" s="514"/>
      <c r="O5" s="514"/>
      <c r="P5" s="308"/>
      <c r="Q5" s="524"/>
      <c r="R5" s="308"/>
      <c r="S5" s="522"/>
    </row>
    <row r="6" spans="1:19" s="309" customFormat="1" ht="15" customHeight="1">
      <c r="A6" s="310" t="s">
        <v>0</v>
      </c>
      <c r="B6" s="307"/>
      <c r="C6" s="307"/>
      <c r="D6" s="308"/>
      <c r="E6" s="527"/>
      <c r="F6" s="528"/>
      <c r="G6" s="516"/>
      <c r="H6" s="516"/>
      <c r="I6" s="514"/>
      <c r="J6" s="307"/>
      <c r="K6" s="501" t="s">
        <v>351</v>
      </c>
      <c r="L6" s="305"/>
      <c r="M6" s="514"/>
      <c r="N6" s="514"/>
      <c r="O6" s="514"/>
      <c r="P6" s="308"/>
      <c r="Q6" s="524"/>
      <c r="R6" s="308"/>
      <c r="S6" s="522"/>
    </row>
    <row r="7" spans="1:19" s="309" customFormat="1" ht="16.5" customHeight="1">
      <c r="A7" s="310" t="s">
        <v>350</v>
      </c>
      <c r="B7" s="311"/>
      <c r="C7" s="312" t="s">
        <v>3</v>
      </c>
      <c r="D7" s="311"/>
      <c r="E7" s="527"/>
      <c r="F7" s="528"/>
      <c r="G7" s="516"/>
      <c r="H7" s="516"/>
      <c r="I7" s="514"/>
      <c r="J7" s="307"/>
      <c r="K7" s="507">
        <v>2.33</v>
      </c>
      <c r="L7" s="305"/>
      <c r="M7" s="514"/>
      <c r="N7" s="514"/>
      <c r="O7" s="514"/>
      <c r="P7" s="308"/>
      <c r="Q7" s="525"/>
      <c r="R7" s="308"/>
      <c r="S7" s="523"/>
    </row>
    <row r="8" spans="1:19" s="309" customFormat="1" ht="15">
      <c r="A8" s="306"/>
      <c r="B8" s="307"/>
      <c r="C8" s="307"/>
      <c r="D8" s="307"/>
      <c r="E8" s="313" t="s">
        <v>174</v>
      </c>
      <c r="F8" s="313" t="s">
        <v>175</v>
      </c>
      <c r="G8" s="313" t="s">
        <v>176</v>
      </c>
      <c r="H8" s="313" t="s">
        <v>177</v>
      </c>
      <c r="I8" s="313" t="s">
        <v>178</v>
      </c>
      <c r="J8" s="307"/>
      <c r="K8" s="313" t="s">
        <v>179</v>
      </c>
      <c r="L8" s="313"/>
      <c r="M8" s="313" t="s">
        <v>180</v>
      </c>
      <c r="N8" s="313" t="s">
        <v>181</v>
      </c>
      <c r="O8" s="313" t="s">
        <v>182</v>
      </c>
      <c r="P8" s="308"/>
      <c r="Q8" s="313" t="s">
        <v>183</v>
      </c>
      <c r="R8" s="308"/>
      <c r="S8" s="313" t="s">
        <v>184</v>
      </c>
    </row>
    <row r="9" spans="1:19" s="317" customFormat="1" ht="15">
      <c r="A9" s="314">
        <f t="shared" ref="A9:A46" ca="1" si="0">+MAX(OFFSET(A$1,0,0,ROW(A9)-ROW(A$1)))+1</f>
        <v>1</v>
      </c>
      <c r="B9" s="315" t="s">
        <v>6</v>
      </c>
      <c r="C9" s="315"/>
      <c r="D9" s="315"/>
      <c r="E9" s="316"/>
      <c r="F9" s="315"/>
      <c r="G9" s="315"/>
      <c r="H9" s="315"/>
      <c r="I9" s="315"/>
      <c r="J9" s="315"/>
      <c r="K9" s="315"/>
      <c r="L9" s="315"/>
      <c r="M9" s="315"/>
      <c r="N9" s="315"/>
      <c r="O9" s="315"/>
      <c r="P9" s="308"/>
      <c r="Q9" s="315"/>
      <c r="R9" s="308"/>
      <c r="S9" s="315"/>
    </row>
    <row r="10" spans="1:19" s="322" customFormat="1" ht="15">
      <c r="A10" s="314">
        <f t="shared" ca="1" si="0"/>
        <v>2</v>
      </c>
      <c r="B10" s="318" t="s">
        <v>7</v>
      </c>
      <c r="C10" s="318"/>
      <c r="D10" s="318"/>
      <c r="E10" s="378">
        <f>+'[6]Exh. No. BGM 4 4'!X15</f>
        <v>150970</v>
      </c>
      <c r="F10" s="378">
        <v>0</v>
      </c>
      <c r="G10" s="378">
        <f>+'[6]Exh. No. BGM 4 4'!$AF$15</f>
        <v>-66671</v>
      </c>
      <c r="H10" s="378"/>
      <c r="I10" s="378">
        <f>SUM(E10:H10)</f>
        <v>84299</v>
      </c>
      <c r="J10" s="319"/>
      <c r="K10" s="330">
        <f>-'[8]Cost Trends'!$T$206/2.33*K7</f>
        <v>8.3999999999999995E-3</v>
      </c>
      <c r="L10" s="320"/>
      <c r="M10" s="378"/>
      <c r="N10" s="378">
        <f>I10+M10</f>
        <v>84299</v>
      </c>
      <c r="O10" s="378">
        <f>(N10)*K10</f>
        <v>708.11159999999995</v>
      </c>
      <c r="P10" s="378"/>
      <c r="Q10" s="378"/>
      <c r="R10" s="378"/>
      <c r="S10" s="378">
        <f>SUM(N10:Q10)</f>
        <v>85007.111600000004</v>
      </c>
    </row>
    <row r="11" spans="1:19" s="317" customFormat="1" ht="15">
      <c r="A11" s="314">
        <f t="shared" ca="1" si="0"/>
        <v>3</v>
      </c>
      <c r="B11" s="323" t="s">
        <v>8</v>
      </c>
      <c r="C11" s="315"/>
      <c r="D11" s="323"/>
      <c r="E11" s="321">
        <f>+'[6]Exh. No. BGM 4 4'!X16</f>
        <v>4477</v>
      </c>
      <c r="F11" s="321">
        <v>0</v>
      </c>
      <c r="G11" s="321">
        <f>+'[6]Exh. No. BGM 4 4'!$AF$16</f>
        <v>56</v>
      </c>
      <c r="H11" s="321"/>
      <c r="I11" s="321">
        <f>SUM(E11:H11)</f>
        <v>4533</v>
      </c>
      <c r="J11" s="319"/>
      <c r="K11" s="330">
        <f>-'[8]Cost Trends'!$T$206/2.33*K7</f>
        <v>8.3999999999999995E-3</v>
      </c>
      <c r="L11" s="347"/>
      <c r="M11" s="321"/>
      <c r="N11" s="321">
        <f>I11+M11</f>
        <v>4533</v>
      </c>
      <c r="O11" s="321">
        <f>N11*K11</f>
        <v>38.077199999999998</v>
      </c>
      <c r="P11" s="328"/>
      <c r="Q11" s="321"/>
      <c r="R11" s="328"/>
      <c r="S11" s="321">
        <f>SUM(N11:Q11)</f>
        <v>4571.0771999999997</v>
      </c>
    </row>
    <row r="12" spans="1:19" s="317" customFormat="1" ht="15">
      <c r="A12" s="314">
        <f t="shared" ca="1" si="0"/>
        <v>4</v>
      </c>
      <c r="B12" s="323" t="s">
        <v>9</v>
      </c>
      <c r="C12" s="315"/>
      <c r="D12" s="323"/>
      <c r="E12" s="321">
        <f>+'[6]Exh. No. BGM 4 4'!X17</f>
        <v>1020</v>
      </c>
      <c r="F12" s="321">
        <v>0</v>
      </c>
      <c r="G12" s="321">
        <f>+'[6]Exh. No. BGM 4 4'!$AF$17</f>
        <v>-776</v>
      </c>
      <c r="H12" s="324"/>
      <c r="I12" s="321">
        <f>SUM(E12:H12)</f>
        <v>244</v>
      </c>
      <c r="J12" s="321"/>
      <c r="K12" s="325">
        <v>0</v>
      </c>
      <c r="L12" s="373"/>
      <c r="M12" s="324"/>
      <c r="N12" s="321">
        <f>I12+M12</f>
        <v>244</v>
      </c>
      <c r="O12" s="321">
        <f>N12*K12</f>
        <v>0</v>
      </c>
      <c r="P12" s="328"/>
      <c r="Q12" s="321"/>
      <c r="R12" s="328"/>
      <c r="S12" s="324">
        <f>SUM(N12:Q12)</f>
        <v>244</v>
      </c>
    </row>
    <row r="13" spans="1:19" s="317" customFormat="1" ht="15">
      <c r="A13" s="314">
        <f t="shared" ca="1" si="0"/>
        <v>5</v>
      </c>
      <c r="B13" s="315" t="s">
        <v>10</v>
      </c>
      <c r="C13" s="323"/>
      <c r="D13" s="323"/>
      <c r="E13" s="344">
        <f>SUM(E10:E12)</f>
        <v>156467</v>
      </c>
      <c r="F13" s="344">
        <f>SUM(F10:F12)</f>
        <v>0</v>
      </c>
      <c r="G13" s="344">
        <f>SUM(G10:G12)</f>
        <v>-67391</v>
      </c>
      <c r="H13" s="344">
        <f>SUM(H10:H12)</f>
        <v>0</v>
      </c>
      <c r="I13" s="344">
        <f>SUM(I10:I12)</f>
        <v>89076</v>
      </c>
      <c r="J13" s="315"/>
      <c r="K13" s="326"/>
      <c r="L13" s="351"/>
      <c r="M13" s="344">
        <f t="shared" ref="M13:S13" si="1">SUM(M10:M12)</f>
        <v>0</v>
      </c>
      <c r="N13" s="344">
        <f t="shared" si="1"/>
        <v>89076</v>
      </c>
      <c r="O13" s="344">
        <f t="shared" si="1"/>
        <v>746.1887999999999</v>
      </c>
      <c r="P13" s="328"/>
      <c r="Q13" s="344"/>
      <c r="R13" s="328"/>
      <c r="S13" s="344">
        <f t="shared" si="1"/>
        <v>89822.188800000004</v>
      </c>
    </row>
    <row r="14" spans="1:19" s="317" customFormat="1" ht="15">
      <c r="A14" s="306"/>
      <c r="B14" s="315"/>
      <c r="C14" s="323"/>
      <c r="D14" s="323"/>
      <c r="E14" s="321"/>
      <c r="F14" s="321"/>
      <c r="G14" s="321"/>
      <c r="H14" s="321"/>
      <c r="I14" s="321"/>
      <c r="J14" s="315"/>
      <c r="K14" s="326"/>
      <c r="L14" s="351"/>
      <c r="M14" s="321"/>
      <c r="N14" s="321"/>
      <c r="O14" s="321"/>
      <c r="P14" s="328"/>
      <c r="Q14" s="321"/>
      <c r="R14" s="328"/>
      <c r="S14" s="321"/>
    </row>
    <row r="15" spans="1:19" s="317" customFormat="1" ht="15">
      <c r="A15" s="314">
        <f t="shared" ca="1" si="0"/>
        <v>6</v>
      </c>
      <c r="B15" s="315" t="s">
        <v>11</v>
      </c>
      <c r="C15" s="323"/>
      <c r="D15" s="323"/>
      <c r="E15" s="321"/>
      <c r="F15" s="321"/>
      <c r="G15" s="321"/>
      <c r="H15" s="321"/>
      <c r="I15" s="321"/>
      <c r="J15" s="315"/>
      <c r="K15" s="326"/>
      <c r="L15" s="351"/>
      <c r="M15" s="321"/>
      <c r="N15" s="321"/>
      <c r="O15" s="321"/>
      <c r="P15" s="328"/>
      <c r="Q15" s="321"/>
      <c r="R15" s="328"/>
      <c r="S15" s="321"/>
    </row>
    <row r="16" spans="1:19" s="317" customFormat="1" ht="15">
      <c r="A16" s="314">
        <f t="shared" ca="1" si="0"/>
        <v>7</v>
      </c>
      <c r="B16" s="323" t="s">
        <v>51</v>
      </c>
      <c r="C16" s="315"/>
      <c r="D16" s="323"/>
      <c r="E16" s="321"/>
      <c r="F16" s="321"/>
      <c r="G16" s="321"/>
      <c r="H16" s="321"/>
      <c r="I16" s="321"/>
      <c r="J16" s="315"/>
      <c r="K16" s="326"/>
      <c r="L16" s="351"/>
      <c r="M16" s="321"/>
      <c r="N16" s="321"/>
      <c r="O16" s="321"/>
      <c r="P16" s="328"/>
      <c r="Q16" s="321"/>
      <c r="R16" s="328"/>
      <c r="S16" s="321"/>
    </row>
    <row r="17" spans="1:24" s="317" customFormat="1" ht="15">
      <c r="A17" s="314">
        <f t="shared" ca="1" si="0"/>
        <v>8</v>
      </c>
      <c r="B17" s="315"/>
      <c r="C17" s="323" t="s">
        <v>12</v>
      </c>
      <c r="D17" s="323"/>
      <c r="E17" s="321">
        <f>+'[6]Exh. No. BGM 4 4'!X22</f>
        <v>63460</v>
      </c>
      <c r="F17" s="321">
        <v>0</v>
      </c>
      <c r="G17" s="321">
        <f>+'[6]Exh. No. BGM 4 4'!$AF$22</f>
        <v>-63460</v>
      </c>
      <c r="H17" s="321"/>
      <c r="I17" s="321">
        <f>SUM(E17:H17)</f>
        <v>0</v>
      </c>
      <c r="J17" s="315"/>
      <c r="K17" s="327"/>
      <c r="L17" s="371"/>
      <c r="M17" s="321"/>
      <c r="N17" s="321">
        <f>I17+M17</f>
        <v>0</v>
      </c>
      <c r="O17" s="328"/>
      <c r="P17" s="328"/>
      <c r="Q17" s="321"/>
      <c r="R17" s="328"/>
      <c r="S17" s="376">
        <f>SUM(N17:Q17)</f>
        <v>0</v>
      </c>
    </row>
    <row r="18" spans="1:24" s="317" customFormat="1" ht="15">
      <c r="A18" s="314">
        <f t="shared" ca="1" si="0"/>
        <v>9</v>
      </c>
      <c r="B18" s="315"/>
      <c r="C18" s="323" t="s">
        <v>13</v>
      </c>
      <c r="D18" s="323"/>
      <c r="E18" s="321">
        <f>+'[6]Exh. No. BGM 4 4'!X23</f>
        <v>994</v>
      </c>
      <c r="F18" s="321">
        <v>0</v>
      </c>
      <c r="G18" s="321">
        <v>0</v>
      </c>
      <c r="H18" s="321" t="s">
        <v>261</v>
      </c>
      <c r="I18" s="321">
        <f>SUM(E18:H18)</f>
        <v>994</v>
      </c>
      <c r="J18" s="319"/>
      <c r="K18" s="330">
        <f ca="1">+'4.01'!$B$23*$K$7</f>
        <v>3.2853E-2</v>
      </c>
      <c r="L18" s="347"/>
      <c r="M18" s="321">
        <f ca="1">I18*K18</f>
        <v>32.655881999999998</v>
      </c>
      <c r="N18" s="321">
        <f ca="1">I18+M18</f>
        <v>1026.655882</v>
      </c>
      <c r="O18" s="321"/>
      <c r="P18" s="328"/>
      <c r="Q18" s="321"/>
      <c r="R18" s="328"/>
      <c r="S18" s="376">
        <f ca="1">SUM(N18:Q18)</f>
        <v>1026.655882</v>
      </c>
    </row>
    <row r="19" spans="1:24" s="317" customFormat="1" ht="15">
      <c r="A19" s="314">
        <f t="shared" ca="1" si="0"/>
        <v>10</v>
      </c>
      <c r="B19" s="315"/>
      <c r="C19" s="323" t="s">
        <v>14</v>
      </c>
      <c r="D19" s="323"/>
      <c r="E19" s="324">
        <f>+'[6]Exh. No. BGM 4 4'!X24</f>
        <v>0</v>
      </c>
      <c r="F19" s="321">
        <v>0</v>
      </c>
      <c r="G19" s="321">
        <v>0</v>
      </c>
      <c r="H19" s="324"/>
      <c r="I19" s="321">
        <f>SUM(E19:H19)</f>
        <v>0</v>
      </c>
      <c r="J19" s="321"/>
      <c r="K19" s="331"/>
      <c r="L19" s="372"/>
      <c r="M19" s="324">
        <f>I19*K19</f>
        <v>0</v>
      </c>
      <c r="N19" s="321">
        <f>I19+M19</f>
        <v>0</v>
      </c>
      <c r="O19" s="324"/>
      <c r="P19" s="328"/>
      <c r="Q19" s="328"/>
      <c r="R19" s="328"/>
      <c r="S19" s="376">
        <f>SUM(N19:Q19)</f>
        <v>0</v>
      </c>
      <c r="U19" s="332"/>
      <c r="V19" s="332"/>
      <c r="W19" s="332"/>
      <c r="X19" s="332"/>
    </row>
    <row r="20" spans="1:24" s="317" customFormat="1" ht="15">
      <c r="A20" s="314">
        <f t="shared" ca="1" si="0"/>
        <v>11</v>
      </c>
      <c r="B20" s="323" t="s">
        <v>15</v>
      </c>
      <c r="C20" s="323"/>
      <c r="D20" s="315"/>
      <c r="E20" s="344">
        <f>SUM(E17:E19)</f>
        <v>64454</v>
      </c>
      <c r="F20" s="344">
        <f>SUM(F17:F19)</f>
        <v>0</v>
      </c>
      <c r="G20" s="344">
        <f>SUM(G17:G19)</f>
        <v>-63460</v>
      </c>
      <c r="H20" s="344">
        <f>SUM(H17:H19)</f>
        <v>0</v>
      </c>
      <c r="I20" s="344">
        <f>SUM(I17:I19)</f>
        <v>994</v>
      </c>
      <c r="J20" s="315"/>
      <c r="K20" s="326"/>
      <c r="L20" s="351"/>
      <c r="M20" s="344">
        <f t="shared" ref="M20:S20" ca="1" si="2">SUM(M17:M19)</f>
        <v>32.655881999999998</v>
      </c>
      <c r="N20" s="344">
        <f t="shared" ca="1" si="2"/>
        <v>1026.655882</v>
      </c>
      <c r="O20" s="344">
        <f t="shared" si="2"/>
        <v>0</v>
      </c>
      <c r="P20" s="328"/>
      <c r="Q20" s="344"/>
      <c r="R20" s="328"/>
      <c r="S20" s="344">
        <f t="shared" ca="1" si="2"/>
        <v>1026.655882</v>
      </c>
      <c r="U20" s="332"/>
      <c r="V20" s="332"/>
      <c r="W20" s="332"/>
      <c r="X20" s="332"/>
    </row>
    <row r="21" spans="1:24" s="317" customFormat="1" ht="15">
      <c r="A21" s="306"/>
      <c r="B21" s="323"/>
      <c r="C21" s="323"/>
      <c r="D21" s="315"/>
      <c r="E21" s="321"/>
      <c r="F21" s="321"/>
      <c r="G21" s="321"/>
      <c r="H21" s="321"/>
      <c r="I21" s="321"/>
      <c r="J21" s="315"/>
      <c r="K21" s="326"/>
      <c r="L21" s="351"/>
      <c r="M21" s="321"/>
      <c r="N21" s="321"/>
      <c r="O21" s="321"/>
      <c r="P21" s="328"/>
      <c r="Q21" s="321"/>
      <c r="R21" s="328"/>
      <c r="S21" s="321"/>
      <c r="U21" s="332"/>
      <c r="V21" s="332"/>
      <c r="W21" s="332"/>
      <c r="X21" s="332"/>
    </row>
    <row r="22" spans="1:24" s="317" customFormat="1" ht="15">
      <c r="A22" s="314">
        <f t="shared" ca="1" si="0"/>
        <v>12</v>
      </c>
      <c r="B22" s="323" t="s">
        <v>16</v>
      </c>
      <c r="C22" s="315"/>
      <c r="D22" s="323"/>
      <c r="E22" s="321"/>
      <c r="F22" s="321"/>
      <c r="G22" s="321"/>
      <c r="H22" s="321"/>
      <c r="I22" s="321"/>
      <c r="J22" s="315"/>
      <c r="K22" s="326"/>
      <c r="L22" s="351"/>
      <c r="M22" s="321"/>
      <c r="N22" s="321"/>
      <c r="O22" s="321"/>
      <c r="P22" s="328"/>
      <c r="Q22" s="321"/>
      <c r="R22" s="328"/>
      <c r="S22" s="321"/>
      <c r="U22" s="332"/>
      <c r="V22" s="332"/>
      <c r="W22" s="332"/>
      <c r="X22" s="332"/>
    </row>
    <row r="23" spans="1:24" s="317" customFormat="1" ht="15">
      <c r="A23" s="314">
        <f t="shared" ca="1" si="0"/>
        <v>13</v>
      </c>
      <c r="B23" s="315"/>
      <c r="C23" s="323" t="s">
        <v>17</v>
      </c>
      <c r="D23" s="323"/>
      <c r="E23" s="321">
        <f>+'[6]Exh. No. BGM 4 4'!X28</f>
        <v>974</v>
      </c>
      <c r="F23" s="321">
        <v>0</v>
      </c>
      <c r="G23" s="321">
        <v>0</v>
      </c>
      <c r="H23" s="321"/>
      <c r="I23" s="321">
        <f>SUM(E23:H23)</f>
        <v>974</v>
      </c>
      <c r="J23" s="319"/>
      <c r="K23" s="330">
        <f ca="1">+'4.02'!B22*$K$7*'2) ROR'!$D$48</f>
        <v>0</v>
      </c>
      <c r="L23" s="347"/>
      <c r="M23" s="321">
        <f ca="1">I23*K23</f>
        <v>0</v>
      </c>
      <c r="N23" s="321">
        <f ca="1">I23+M23</f>
        <v>974</v>
      </c>
      <c r="O23" s="321"/>
      <c r="P23" s="328"/>
      <c r="Q23" s="321"/>
      <c r="R23" s="328"/>
      <c r="S23" s="376">
        <f ca="1">SUM(N23:Q23)</f>
        <v>974</v>
      </c>
      <c r="U23" s="333"/>
      <c r="V23" s="332"/>
      <c r="W23" s="332"/>
      <c r="X23" s="332"/>
    </row>
    <row r="24" spans="1:24" s="317" customFormat="1" ht="15">
      <c r="A24" s="314">
        <f t="shared" ca="1" si="0"/>
        <v>14</v>
      </c>
      <c r="B24" s="315"/>
      <c r="C24" s="323" t="s">
        <v>47</v>
      </c>
      <c r="D24" s="323"/>
      <c r="E24" s="321">
        <f>+'[6]Exh. No. BGM 4 4'!X29</f>
        <v>492</v>
      </c>
      <c r="F24" s="321">
        <v>0</v>
      </c>
      <c r="G24" s="321">
        <v>0</v>
      </c>
      <c r="H24" s="334">
        <v>0</v>
      </c>
      <c r="I24" s="321">
        <f>SUM(E24:H24)</f>
        <v>492</v>
      </c>
      <c r="J24" s="319"/>
      <c r="K24" s="330">
        <f ca="1">+'4.03'!$B$22*$K$7*'2) ROR'!$D$47</f>
        <v>0</v>
      </c>
      <c r="L24" s="347"/>
      <c r="M24" s="321">
        <f ca="1">I24*K24</f>
        <v>0</v>
      </c>
      <c r="N24" s="321">
        <f ca="1">I24+M24</f>
        <v>492</v>
      </c>
      <c r="O24" s="321"/>
      <c r="P24" s="328"/>
      <c r="Q24" s="321"/>
      <c r="R24" s="328"/>
      <c r="S24" s="376">
        <f ca="1">SUM(N24:Q24)</f>
        <v>492</v>
      </c>
      <c r="U24" s="333"/>
      <c r="V24" s="332"/>
      <c r="W24" s="332"/>
      <c r="X24" s="332"/>
    </row>
    <row r="25" spans="1:24" s="317" customFormat="1" ht="15">
      <c r="A25" s="314">
        <f t="shared" ca="1" si="0"/>
        <v>15</v>
      </c>
      <c r="B25" s="315"/>
      <c r="C25" s="323" t="s">
        <v>4</v>
      </c>
      <c r="D25" s="323"/>
      <c r="E25" s="324">
        <f>+'[6]Exh. No. BGM 4 4'!X30</f>
        <v>210</v>
      </c>
      <c r="F25" s="321">
        <v>0</v>
      </c>
      <c r="G25" s="321">
        <v>0</v>
      </c>
      <c r="H25" s="324"/>
      <c r="I25" s="321">
        <f>SUM(E25:H25)</f>
        <v>210</v>
      </c>
      <c r="J25" s="319"/>
      <c r="K25" s="330">
        <f ca="1">+'4.04'!B22*$K$7</f>
        <v>6.1977999999999998E-2</v>
      </c>
      <c r="L25" s="347"/>
      <c r="M25" s="324">
        <f ca="1">I25*K25</f>
        <v>13.01538</v>
      </c>
      <c r="N25" s="321">
        <f ca="1">I25+M25</f>
        <v>223.01537999999999</v>
      </c>
      <c r="O25" s="324"/>
      <c r="P25" s="328"/>
      <c r="Q25" s="328"/>
      <c r="R25" s="328"/>
      <c r="S25" s="377">
        <f ca="1">SUM(N25:Q25)</f>
        <v>223.01537999999999</v>
      </c>
      <c r="U25" s="333"/>
      <c r="V25" s="332"/>
      <c r="W25" s="332"/>
      <c r="X25" s="332"/>
    </row>
    <row r="26" spans="1:24" s="317" customFormat="1" ht="15">
      <c r="A26" s="314">
        <f t="shared" ca="1" si="0"/>
        <v>16</v>
      </c>
      <c r="B26" s="323" t="s">
        <v>18</v>
      </c>
      <c r="C26" s="323"/>
      <c r="D26" s="315"/>
      <c r="E26" s="344">
        <f>SUM(E23:E25)</f>
        <v>1676</v>
      </c>
      <c r="F26" s="344">
        <f>SUM(F23:F25)</f>
        <v>0</v>
      </c>
      <c r="G26" s="344">
        <f>SUM(G23:G25)</f>
        <v>0</v>
      </c>
      <c r="H26" s="344">
        <f>SUM(H23:H25)</f>
        <v>0</v>
      </c>
      <c r="I26" s="344">
        <f>SUM(I23:I25)</f>
        <v>1676</v>
      </c>
      <c r="J26" s="315"/>
      <c r="K26" s="326"/>
      <c r="L26" s="351"/>
      <c r="M26" s="344">
        <f t="shared" ref="M26:S26" ca="1" si="3">SUM(M23:M25)</f>
        <v>13.01538</v>
      </c>
      <c r="N26" s="344">
        <f t="shared" ca="1" si="3"/>
        <v>1689.0153800000001</v>
      </c>
      <c r="O26" s="344">
        <f t="shared" si="3"/>
        <v>0</v>
      </c>
      <c r="P26" s="328"/>
      <c r="Q26" s="344"/>
      <c r="R26" s="328"/>
      <c r="S26" s="344">
        <f t="shared" ca="1" si="3"/>
        <v>1689.0153800000001</v>
      </c>
      <c r="U26" s="333"/>
      <c r="V26" s="332"/>
      <c r="W26" s="332"/>
      <c r="X26" s="332"/>
    </row>
    <row r="27" spans="1:24" s="317" customFormat="1" ht="15">
      <c r="A27" s="306"/>
      <c r="B27" s="323"/>
      <c r="C27" s="323"/>
      <c r="D27" s="315"/>
      <c r="E27" s="321"/>
      <c r="F27" s="321"/>
      <c r="G27" s="321"/>
      <c r="H27" s="321"/>
      <c r="I27" s="321"/>
      <c r="J27" s="315"/>
      <c r="K27" s="326"/>
      <c r="L27" s="351"/>
      <c r="M27" s="321"/>
      <c r="N27" s="321"/>
      <c r="O27" s="321"/>
      <c r="P27" s="328"/>
      <c r="Q27" s="321"/>
      <c r="R27" s="328"/>
      <c r="S27" s="321"/>
      <c r="U27" s="332"/>
      <c r="V27" s="335"/>
      <c r="W27" s="332"/>
      <c r="X27" s="332"/>
    </row>
    <row r="28" spans="1:24" s="317" customFormat="1" ht="15">
      <c r="A28" s="314">
        <f t="shared" ca="1" si="0"/>
        <v>17</v>
      </c>
      <c r="B28" s="323" t="s">
        <v>19</v>
      </c>
      <c r="C28" s="315"/>
      <c r="D28" s="323"/>
      <c r="E28" s="321"/>
      <c r="F28" s="321"/>
      <c r="G28" s="321"/>
      <c r="H28" s="321"/>
      <c r="I28" s="321"/>
      <c r="J28" s="315"/>
      <c r="K28" s="326"/>
      <c r="L28" s="351"/>
      <c r="M28" s="321"/>
      <c r="N28" s="321"/>
      <c r="O28" s="321"/>
      <c r="P28" s="328"/>
      <c r="Q28" s="321"/>
      <c r="R28" s="328"/>
      <c r="S28" s="321"/>
      <c r="U28" s="332"/>
      <c r="V28" s="332"/>
      <c r="W28" s="332"/>
      <c r="X28" s="332"/>
    </row>
    <row r="29" spans="1:24" s="317" customFormat="1" ht="15">
      <c r="A29" s="314">
        <f t="shared" ca="1" si="0"/>
        <v>18</v>
      </c>
      <c r="B29" s="315"/>
      <c r="C29" s="323" t="s">
        <v>17</v>
      </c>
      <c r="D29" s="333"/>
      <c r="E29" s="321">
        <f>+'[6]Exh. No. BGM 4 4'!X34</f>
        <v>12050</v>
      </c>
      <c r="F29" s="321">
        <v>0</v>
      </c>
      <c r="G29" s="321">
        <v>0</v>
      </c>
      <c r="H29" s="321"/>
      <c r="I29" s="321">
        <f>SUM(E29:H29)</f>
        <v>12050</v>
      </c>
      <c r="J29" s="319"/>
      <c r="K29" s="330">
        <f ca="1">+'4.05'!B22*$K$7*'2) ROR'!$D$48</f>
        <v>0</v>
      </c>
      <c r="L29" s="347"/>
      <c r="M29" s="321">
        <f ca="1">I29*K29</f>
        <v>0</v>
      </c>
      <c r="N29" s="321">
        <f ca="1">I29+M29</f>
        <v>12050</v>
      </c>
      <c r="O29" s="321"/>
      <c r="P29" s="328"/>
      <c r="Q29" s="321"/>
      <c r="R29" s="328"/>
      <c r="S29" s="376">
        <f ca="1">SUM(N29:Q29)</f>
        <v>12050</v>
      </c>
      <c r="U29" s="332"/>
      <c r="V29" s="332"/>
      <c r="W29" s="332"/>
      <c r="X29" s="332"/>
    </row>
    <row r="30" spans="1:24" s="317" customFormat="1" ht="15">
      <c r="A30" s="314">
        <f t="shared" ca="1" si="0"/>
        <v>19</v>
      </c>
      <c r="B30" s="315"/>
      <c r="C30" s="323" t="s">
        <v>47</v>
      </c>
      <c r="D30" s="323"/>
      <c r="E30" s="321">
        <f>+'[6]Exh. No. BGM 4 4'!X35</f>
        <v>9853</v>
      </c>
      <c r="F30" s="321">
        <v>0</v>
      </c>
      <c r="G30" s="321">
        <v>0</v>
      </c>
      <c r="H30" s="334">
        <v>0</v>
      </c>
      <c r="I30" s="321">
        <f>SUM(E30:H30)</f>
        <v>9853</v>
      </c>
      <c r="J30" s="319"/>
      <c r="K30" s="330">
        <f ca="1">+'4.06'!B22*$K$7*'2) ROR'!$D$47</f>
        <v>0</v>
      </c>
      <c r="L30" s="347"/>
      <c r="M30" s="321">
        <f ca="1">I30*K30</f>
        <v>0</v>
      </c>
      <c r="N30" s="321">
        <f ca="1">I30+M30</f>
        <v>9853</v>
      </c>
      <c r="O30" s="321"/>
      <c r="P30" s="328"/>
      <c r="Q30" s="336">
        <v>0</v>
      </c>
      <c r="R30" s="328"/>
      <c r="S30" s="376">
        <f ca="1">SUM(N30:Q30)</f>
        <v>9853</v>
      </c>
      <c r="U30" s="337"/>
      <c r="V30" s="332"/>
      <c r="W30" s="332"/>
      <c r="X30" s="332"/>
    </row>
    <row r="31" spans="1:24" s="317" customFormat="1" ht="15">
      <c r="A31" s="314">
        <f t="shared" ca="1" si="0"/>
        <v>20</v>
      </c>
      <c r="B31" s="315"/>
      <c r="C31" s="323" t="s">
        <v>4</v>
      </c>
      <c r="D31" s="323"/>
      <c r="E31" s="321">
        <f>+'[6]Exh. No. BGM 4 4'!X36</f>
        <v>8383</v>
      </c>
      <c r="F31" s="321">
        <v>0</v>
      </c>
      <c r="G31" s="321">
        <f>+'[6]Exh. No. BGM 4 4'!$AF$36</f>
        <v>-2554</v>
      </c>
      <c r="H31" s="321"/>
      <c r="I31" s="321">
        <f>SUM(E31:H31)</f>
        <v>5829</v>
      </c>
      <c r="J31" s="319"/>
      <c r="K31" s="330">
        <f ca="1">+'4.07'!B23*$K$7</f>
        <v>6.9667000000000007E-2</v>
      </c>
      <c r="L31" s="347"/>
      <c r="M31" s="324">
        <f ca="1">I31*K31</f>
        <v>406.08894300000003</v>
      </c>
      <c r="N31" s="321">
        <f ca="1">I31+M31</f>
        <v>6235.0889429999997</v>
      </c>
      <c r="O31" s="321">
        <f>ROUND((O$10+O$11)*'2) ROR'!$N$16,0)</f>
        <v>29</v>
      </c>
      <c r="P31" s="328"/>
      <c r="Q31" s="321"/>
      <c r="R31" s="328"/>
      <c r="S31" s="377">
        <f ca="1">SUM(N31:Q31)</f>
        <v>6264.0889429999997</v>
      </c>
      <c r="U31" s="332"/>
      <c r="V31" s="332"/>
      <c r="W31" s="332"/>
      <c r="X31" s="332"/>
    </row>
    <row r="32" spans="1:24" s="317" customFormat="1" ht="15">
      <c r="A32" s="314">
        <f t="shared" ca="1" si="0"/>
        <v>21</v>
      </c>
      <c r="B32" s="323" t="s">
        <v>20</v>
      </c>
      <c r="C32" s="338"/>
      <c r="D32" s="315"/>
      <c r="E32" s="344">
        <f>SUM(E29:E31)</f>
        <v>30286</v>
      </c>
      <c r="F32" s="344">
        <f>SUM(F29:F31)</f>
        <v>0</v>
      </c>
      <c r="G32" s="344">
        <f>SUM(G29:G31)</f>
        <v>-2554</v>
      </c>
      <c r="H32" s="344">
        <f>SUM(H29:H31)</f>
        <v>0</v>
      </c>
      <c r="I32" s="344">
        <f>SUM(I29:I31)</f>
        <v>27732</v>
      </c>
      <c r="J32" s="315"/>
      <c r="K32" s="326"/>
      <c r="L32" s="351"/>
      <c r="M32" s="344">
        <f t="shared" ref="M32:Q32" ca="1" si="4">SUM(M29:M31)</f>
        <v>406.08894300000003</v>
      </c>
      <c r="N32" s="344">
        <f t="shared" ca="1" si="4"/>
        <v>28138.088942999999</v>
      </c>
      <c r="O32" s="344">
        <f t="shared" si="4"/>
        <v>29</v>
      </c>
      <c r="P32" s="328"/>
      <c r="Q32" s="344">
        <f t="shared" si="4"/>
        <v>0</v>
      </c>
      <c r="R32" s="328"/>
      <c r="S32" s="344">
        <f ca="1">SUM(S29:S31)</f>
        <v>28167.088942999999</v>
      </c>
      <c r="U32" s="333"/>
      <c r="V32" s="339"/>
      <c r="W32" s="335"/>
      <c r="X32" s="340"/>
    </row>
    <row r="33" spans="1:27" s="317" customFormat="1" ht="15">
      <c r="A33" s="341"/>
      <c r="B33" s="315"/>
      <c r="C33" s="323"/>
      <c r="D33" s="323"/>
      <c r="E33" s="321"/>
      <c r="F33" s="321"/>
      <c r="G33" s="321"/>
      <c r="H33" s="321"/>
      <c r="I33" s="321"/>
      <c r="J33" s="315"/>
      <c r="K33" s="326"/>
      <c r="L33" s="351"/>
      <c r="M33" s="321"/>
      <c r="N33" s="321"/>
      <c r="O33" s="321"/>
      <c r="P33" s="328"/>
      <c r="Q33" s="321"/>
      <c r="R33" s="328"/>
      <c r="S33" s="321"/>
      <c r="U33" s="332"/>
      <c r="V33" s="332"/>
      <c r="W33" s="332"/>
      <c r="X33" s="332"/>
    </row>
    <row r="34" spans="1:27" s="317" customFormat="1" ht="15">
      <c r="A34" s="314">
        <f t="shared" ca="1" si="0"/>
        <v>22</v>
      </c>
      <c r="B34" s="315" t="s">
        <v>21</v>
      </c>
      <c r="C34" s="323"/>
      <c r="D34" s="323"/>
      <c r="E34" s="321">
        <f>+'[6]Exh. No. BGM 4 4'!X39</f>
        <v>6812</v>
      </c>
      <c r="F34" s="321">
        <v>0</v>
      </c>
      <c r="G34" s="321">
        <f>+'[6]Exh. No. BGM 4 4'!$AF$39</f>
        <v>-322</v>
      </c>
      <c r="H34" s="321"/>
      <c r="I34" s="321">
        <f>SUM(E34:H34)</f>
        <v>6490</v>
      </c>
      <c r="J34" s="319"/>
      <c r="K34" s="330">
        <f ca="1">+'4.08'!B23*$K$7</f>
        <v>6.7570000000000005E-2</v>
      </c>
      <c r="L34" s="347"/>
      <c r="M34" s="321">
        <f ca="1">I34*K34</f>
        <v>438.52930000000003</v>
      </c>
      <c r="N34" s="321">
        <f ca="1">I34+M34</f>
        <v>6928.5293000000001</v>
      </c>
      <c r="O34" s="321">
        <f>ROUND((O$10+O$11)*'2) ROR'!$N$12,0)</f>
        <v>4</v>
      </c>
      <c r="P34" s="328"/>
      <c r="Q34" s="321"/>
      <c r="R34" s="328"/>
      <c r="S34" s="376">
        <f ca="1">SUM(N34:Q34)</f>
        <v>6932.5293000000001</v>
      </c>
      <c r="U34" s="332"/>
      <c r="V34" s="335"/>
      <c r="W34" s="332"/>
      <c r="X34" s="332"/>
    </row>
    <row r="35" spans="1:27" s="317" customFormat="1" ht="15">
      <c r="A35" s="314">
        <f t="shared" ca="1" si="0"/>
        <v>23</v>
      </c>
      <c r="B35" s="315" t="s">
        <v>22</v>
      </c>
      <c r="C35" s="323"/>
      <c r="D35" s="323"/>
      <c r="E35" s="321">
        <f>+'[6]Exh. No. BGM 4 4'!X40</f>
        <v>963</v>
      </c>
      <c r="F35" s="321">
        <v>0</v>
      </c>
      <c r="G35" s="321">
        <v>0</v>
      </c>
      <c r="H35" s="321"/>
      <c r="I35" s="321">
        <f>SUM(E35:H35)</f>
        <v>963</v>
      </c>
      <c r="J35" s="319"/>
      <c r="K35" s="330">
        <f ca="1">+'4.09'!B23*$K$7</f>
        <v>6.9899999999999997E-4</v>
      </c>
      <c r="L35" s="347"/>
      <c r="M35" s="321">
        <f ca="1">I35*K35</f>
        <v>0.67313699999999999</v>
      </c>
      <c r="N35" s="321">
        <f ca="1">I35+M35</f>
        <v>963.673137</v>
      </c>
      <c r="O35" s="321"/>
      <c r="P35" s="328"/>
      <c r="Q35" s="321"/>
      <c r="R35" s="328"/>
      <c r="S35" s="376">
        <f ca="1">SUM(N35:Q35)</f>
        <v>963.673137</v>
      </c>
      <c r="U35" s="342"/>
    </row>
    <row r="36" spans="1:27" s="317" customFormat="1" ht="15">
      <c r="A36" s="314">
        <f t="shared" ca="1" si="0"/>
        <v>24</v>
      </c>
      <c r="B36" s="315" t="s">
        <v>23</v>
      </c>
      <c r="C36" s="323"/>
      <c r="D36" s="323"/>
      <c r="E36" s="321">
        <f>+'[6]Exh. No. BGM 4 4'!X41</f>
        <v>0</v>
      </c>
      <c r="F36" s="321">
        <v>0</v>
      </c>
      <c r="G36" s="321">
        <v>0</v>
      </c>
      <c r="H36" s="321"/>
      <c r="I36" s="321">
        <f>SUM(E36:H36)</f>
        <v>0</v>
      </c>
      <c r="J36" s="319"/>
      <c r="K36" s="326"/>
      <c r="L36" s="347"/>
      <c r="M36" s="321">
        <f>I36*K36</f>
        <v>0</v>
      </c>
      <c r="N36" s="321">
        <f>I36+M36</f>
        <v>0</v>
      </c>
      <c r="O36" s="321"/>
      <c r="P36" s="328"/>
      <c r="Q36" s="321"/>
      <c r="R36" s="328"/>
      <c r="S36" s="376">
        <f>SUM(N36:Q36)</f>
        <v>0</v>
      </c>
      <c r="U36" s="337"/>
      <c r="V36" s="332"/>
      <c r="W36" s="332"/>
    </row>
    <row r="37" spans="1:27" s="317" customFormat="1" ht="15">
      <c r="A37" s="341"/>
      <c r="B37" s="315"/>
      <c r="C37" s="323"/>
      <c r="D37" s="323"/>
      <c r="E37" s="321"/>
      <c r="F37" s="321"/>
      <c r="G37" s="321"/>
      <c r="H37" s="321"/>
      <c r="I37" s="321"/>
      <c r="J37" s="315"/>
      <c r="K37" s="326"/>
      <c r="L37" s="351"/>
      <c r="M37" s="321"/>
      <c r="N37" s="321"/>
      <c r="O37" s="321"/>
      <c r="P37" s="328"/>
      <c r="Q37" s="321"/>
      <c r="R37" s="328"/>
      <c r="S37" s="321"/>
      <c r="U37" s="332"/>
      <c r="V37" s="332"/>
      <c r="W37" s="332"/>
    </row>
    <row r="38" spans="1:27" s="317" customFormat="1" ht="15">
      <c r="A38" s="314">
        <f t="shared" ca="1" si="0"/>
        <v>25</v>
      </c>
      <c r="B38" s="315" t="s">
        <v>24</v>
      </c>
      <c r="C38" s="323"/>
      <c r="D38" s="323"/>
      <c r="E38" s="321"/>
      <c r="F38" s="321"/>
      <c r="G38" s="321"/>
      <c r="H38" s="321"/>
      <c r="I38" s="321"/>
      <c r="J38" s="315"/>
      <c r="K38" s="326"/>
      <c r="L38" s="351"/>
      <c r="M38" s="321"/>
      <c r="N38" s="321"/>
      <c r="O38" s="321"/>
      <c r="P38" s="328"/>
      <c r="Q38" s="321"/>
      <c r="R38" s="328"/>
      <c r="S38" s="321"/>
      <c r="U38" s="333"/>
      <c r="V38" s="339"/>
      <c r="W38" s="335"/>
      <c r="AA38" s="317" t="s">
        <v>222</v>
      </c>
    </row>
    <row r="39" spans="1:27" s="317" customFormat="1" ht="15">
      <c r="A39" s="314">
        <f t="shared" ca="1" si="0"/>
        <v>26</v>
      </c>
      <c r="B39" s="315"/>
      <c r="C39" s="323" t="s">
        <v>17</v>
      </c>
      <c r="D39" s="323"/>
      <c r="E39" s="321">
        <f>+'[6]Exh. No. BGM 4 4'!X44</f>
        <v>13350</v>
      </c>
      <c r="F39" s="506">
        <v>0</v>
      </c>
      <c r="G39" s="321">
        <f>+'[6]Exh. No. BGM 4 4'!$AF$44</f>
        <v>-133</v>
      </c>
      <c r="H39" s="334">
        <v>0</v>
      </c>
      <c r="I39" s="321">
        <f>SUM(E39:H39)</f>
        <v>13217</v>
      </c>
      <c r="J39" s="319"/>
      <c r="K39" s="330">
        <f ca="1">+'4.10'!B23*$K$7*'2) ROR'!$D$48</f>
        <v>0</v>
      </c>
      <c r="L39" s="347"/>
      <c r="M39" s="321">
        <f ca="1">I39*K39</f>
        <v>0</v>
      </c>
      <c r="N39" s="321">
        <f ca="1">I39+M39</f>
        <v>13217</v>
      </c>
      <c r="O39" s="321">
        <f>ROUND((O$10+O$11)*'2) ROR'!$N$14,0)</f>
        <v>1</v>
      </c>
      <c r="P39" s="328"/>
      <c r="Q39" s="321"/>
      <c r="R39" s="328"/>
      <c r="S39" s="376">
        <f ca="1">SUM(N39:Q39)</f>
        <v>13218</v>
      </c>
      <c r="U39" s="332"/>
      <c r="V39" s="332"/>
      <c r="W39" s="332"/>
    </row>
    <row r="40" spans="1:27" s="317" customFormat="1" ht="15">
      <c r="A40" s="314">
        <f t="shared" ca="1" si="0"/>
        <v>27</v>
      </c>
      <c r="B40" s="315"/>
      <c r="C40" s="323" t="s">
        <v>47</v>
      </c>
      <c r="D40" s="323"/>
      <c r="E40" s="321">
        <f>+'[6]Exh. No. BGM 4 4'!X45</f>
        <v>6260</v>
      </c>
      <c r="F40" s="321">
        <v>0</v>
      </c>
      <c r="G40" s="321">
        <v>0</v>
      </c>
      <c r="H40" s="321"/>
      <c r="I40" s="321">
        <f>SUM(E40:H40)</f>
        <v>6260</v>
      </c>
      <c r="J40" s="319"/>
      <c r="K40" s="330">
        <f ca="1">+'4.11'!B23*$K$7</f>
        <v>0.106714</v>
      </c>
      <c r="L40" s="347"/>
      <c r="M40" s="321">
        <f ca="1">I40*K40</f>
        <v>668.02963999999997</v>
      </c>
      <c r="N40" s="321">
        <f ca="1">I40+M40</f>
        <v>6928.0296399999997</v>
      </c>
      <c r="O40" s="321"/>
      <c r="P40" s="328"/>
      <c r="Q40" s="336">
        <v>0</v>
      </c>
      <c r="R40" s="328"/>
      <c r="S40" s="376">
        <f ca="1">SUM(N40:Q40)</f>
        <v>6928.0296399999997</v>
      </c>
      <c r="U40" s="332"/>
      <c r="V40" s="335"/>
      <c r="W40" s="332"/>
    </row>
    <row r="41" spans="1:27" s="317" customFormat="1" ht="15">
      <c r="A41" s="314">
        <f t="shared" ca="1" si="0"/>
        <v>28</v>
      </c>
      <c r="B41" s="315"/>
      <c r="C41" s="343" t="s">
        <v>52</v>
      </c>
      <c r="D41" s="323"/>
      <c r="E41" s="321">
        <f>+'[6]Exh. No. BGM 4 4'!X46</f>
        <v>1079</v>
      </c>
      <c r="F41" s="378">
        <f>+'[6]Exh. No. BGM 4 4'!$AG$46</f>
        <v>-1079</v>
      </c>
      <c r="G41" s="321">
        <v>0</v>
      </c>
      <c r="H41" s="321"/>
      <c r="I41" s="321">
        <f>SUM(E41:H41)</f>
        <v>0</v>
      </c>
      <c r="J41" s="321"/>
      <c r="K41" s="347"/>
      <c r="L41" s="347"/>
      <c r="M41" s="321">
        <f>I41*K41</f>
        <v>0</v>
      </c>
      <c r="N41" s="321">
        <f>I41+M41</f>
        <v>0</v>
      </c>
      <c r="O41" s="321"/>
      <c r="P41" s="328"/>
      <c r="Q41" s="321"/>
      <c r="R41" s="328"/>
      <c r="S41" s="376">
        <f>SUM(N41:Q41)</f>
        <v>0</v>
      </c>
      <c r="U41" s="332"/>
      <c r="V41" s="332"/>
      <c r="W41" s="332"/>
    </row>
    <row r="42" spans="1:27" s="317" customFormat="1" ht="15">
      <c r="A42" s="314">
        <f t="shared" ca="1" si="0"/>
        <v>29</v>
      </c>
      <c r="B42" s="315"/>
      <c r="C42" s="323" t="s">
        <v>4</v>
      </c>
      <c r="D42" s="323"/>
      <c r="E42" s="321">
        <f>+'[6]Exh. No. BGM 4 4'!X47</f>
        <v>0</v>
      </c>
      <c r="F42" s="321">
        <v>0</v>
      </c>
      <c r="G42" s="321">
        <v>0</v>
      </c>
      <c r="H42" s="324"/>
      <c r="I42" s="321">
        <f>SUM(E42:H42)</f>
        <v>0</v>
      </c>
      <c r="J42" s="374"/>
      <c r="K42" s="347"/>
      <c r="L42" s="347"/>
      <c r="M42" s="324">
        <f>I42*K42</f>
        <v>0</v>
      </c>
      <c r="N42" s="321">
        <f>I42+M42</f>
        <v>0</v>
      </c>
      <c r="O42" s="324"/>
      <c r="P42" s="328"/>
      <c r="Q42" s="328"/>
      <c r="R42" s="328"/>
      <c r="S42" s="376">
        <f>SUM(N42:Q42)</f>
        <v>0</v>
      </c>
    </row>
    <row r="43" spans="1:27" s="317" customFormat="1" ht="15">
      <c r="A43" s="314">
        <f t="shared" ca="1" si="0"/>
        <v>30</v>
      </c>
      <c r="B43" s="323" t="s">
        <v>25</v>
      </c>
      <c r="C43" s="323"/>
      <c r="D43" s="315"/>
      <c r="E43" s="344">
        <f t="shared" ref="E43:J43" si="5">SUM(E39:E42)</f>
        <v>20689</v>
      </c>
      <c r="F43" s="344">
        <f t="shared" si="5"/>
        <v>-1079</v>
      </c>
      <c r="G43" s="344">
        <f t="shared" si="5"/>
        <v>-133</v>
      </c>
      <c r="H43" s="344">
        <f t="shared" si="5"/>
        <v>0</v>
      </c>
      <c r="I43" s="344">
        <f t="shared" si="5"/>
        <v>19477</v>
      </c>
      <c r="J43" s="360">
        <f t="shared" si="5"/>
        <v>0</v>
      </c>
      <c r="K43" s="351"/>
      <c r="L43" s="351"/>
      <c r="M43" s="344">
        <f t="shared" ref="M43:N43" ca="1" si="6">SUM(M39:M42)</f>
        <v>668.02963999999997</v>
      </c>
      <c r="N43" s="344">
        <f t="shared" ca="1" si="6"/>
        <v>20145.029640000001</v>
      </c>
      <c r="O43" s="344">
        <f>SUM(O39:O42)</f>
        <v>1</v>
      </c>
      <c r="P43" s="328"/>
      <c r="Q43" s="344">
        <f>Q40</f>
        <v>0</v>
      </c>
      <c r="R43" s="328"/>
      <c r="S43" s="344">
        <f ca="1">SUM(S39:S42)</f>
        <v>20146.029640000001</v>
      </c>
    </row>
    <row r="44" spans="1:27" s="317" customFormat="1" ht="15">
      <c r="A44" s="314">
        <f t="shared" ca="1" si="0"/>
        <v>31</v>
      </c>
      <c r="B44" s="315" t="s">
        <v>26</v>
      </c>
      <c r="C44" s="323"/>
      <c r="D44" s="323"/>
      <c r="E44" s="344">
        <f t="shared" ref="E44:J44" si="7">E20+E26+E32+E34+E35+E36+E43</f>
        <v>124880</v>
      </c>
      <c r="F44" s="344">
        <f t="shared" si="7"/>
        <v>-1079</v>
      </c>
      <c r="G44" s="344">
        <f t="shared" si="7"/>
        <v>-66469</v>
      </c>
      <c r="H44" s="344">
        <f t="shared" si="7"/>
        <v>0</v>
      </c>
      <c r="I44" s="344">
        <f t="shared" si="7"/>
        <v>57332</v>
      </c>
      <c r="J44" s="360">
        <f t="shared" si="7"/>
        <v>0</v>
      </c>
      <c r="K44" s="326"/>
      <c r="L44" s="351"/>
      <c r="M44" s="344">
        <f t="shared" ref="M44:N44" ca="1" si="8">M20+M26+M32+M34+M35+M36+M43</f>
        <v>1558.9922820000002</v>
      </c>
      <c r="N44" s="344">
        <f t="shared" ca="1" si="8"/>
        <v>58890.992281999999</v>
      </c>
      <c r="O44" s="344">
        <f>O20+O26+O32+O34+O35+O36+O43</f>
        <v>34</v>
      </c>
      <c r="P44" s="328"/>
      <c r="Q44" s="344">
        <f>Q20+Q26+Q32+Q34+Q35+Q36+Q43</f>
        <v>0</v>
      </c>
      <c r="R44" s="328"/>
      <c r="S44" s="344">
        <f ca="1">S20+S26+S32+S34+S35+S36+S43</f>
        <v>58924.992281999999</v>
      </c>
    </row>
    <row r="45" spans="1:27" s="317" customFormat="1" ht="15">
      <c r="A45" s="341"/>
      <c r="B45" s="315"/>
      <c r="C45" s="323"/>
      <c r="D45" s="323"/>
      <c r="E45" s="344"/>
      <c r="F45" s="344"/>
      <c r="G45" s="344"/>
      <c r="H45" s="344"/>
      <c r="I45" s="344"/>
      <c r="J45" s="328"/>
      <c r="K45" s="315"/>
      <c r="L45" s="315"/>
      <c r="M45" s="344"/>
      <c r="N45" s="344"/>
      <c r="O45" s="344"/>
      <c r="P45" s="328"/>
      <c r="Q45" s="344"/>
      <c r="R45" s="328"/>
      <c r="S45" s="344"/>
    </row>
    <row r="46" spans="1:27" s="317" customFormat="1" ht="15">
      <c r="A46" s="314">
        <f t="shared" ca="1" si="0"/>
        <v>32</v>
      </c>
      <c r="B46" s="315" t="s">
        <v>27</v>
      </c>
      <c r="C46" s="323"/>
      <c r="D46" s="323"/>
      <c r="E46" s="321">
        <f t="shared" ref="E46:J46" si="9">E13-E44</f>
        <v>31587</v>
      </c>
      <c r="F46" s="321">
        <f t="shared" si="9"/>
        <v>1079</v>
      </c>
      <c r="G46" s="321">
        <f t="shared" si="9"/>
        <v>-922</v>
      </c>
      <c r="H46" s="321">
        <f t="shared" si="9"/>
        <v>0</v>
      </c>
      <c r="I46" s="321">
        <f t="shared" si="9"/>
        <v>31744</v>
      </c>
      <c r="J46" s="360">
        <f t="shared" si="9"/>
        <v>0</v>
      </c>
      <c r="K46" s="315"/>
      <c r="L46" s="315"/>
      <c r="M46" s="321">
        <f t="shared" ref="M46:S46" ca="1" si="10">M13-M44</f>
        <v>-1558.9922820000002</v>
      </c>
      <c r="N46" s="321">
        <f t="shared" ca="1" si="10"/>
        <v>30185.007718000001</v>
      </c>
      <c r="O46" s="321">
        <f t="shared" si="10"/>
        <v>712.1887999999999</v>
      </c>
      <c r="P46" s="328"/>
      <c r="Q46" s="321">
        <f>-Q44</f>
        <v>0</v>
      </c>
      <c r="R46" s="328"/>
      <c r="S46" s="321">
        <f t="shared" ca="1" si="10"/>
        <v>30897.196518000004</v>
      </c>
    </row>
    <row r="47" spans="1:27" s="317" customFormat="1" ht="15">
      <c r="A47" s="341"/>
      <c r="B47" s="450"/>
      <c r="C47" s="323"/>
      <c r="D47" s="323"/>
      <c r="E47" s="323"/>
      <c r="F47" s="323"/>
      <c r="G47" s="323"/>
      <c r="H47" s="323"/>
      <c r="I47" s="323"/>
      <c r="J47" s="323"/>
      <c r="K47" s="323"/>
      <c r="L47" s="323"/>
      <c r="M47" s="323"/>
      <c r="N47" s="323"/>
      <c r="O47" s="323"/>
      <c r="P47" s="308"/>
      <c r="Q47" s="323"/>
      <c r="R47" s="308"/>
      <c r="S47" s="323"/>
    </row>
    <row r="48" spans="1:27" s="317" customFormat="1" ht="15">
      <c r="A48" s="341"/>
      <c r="B48" s="315"/>
      <c r="C48" s="323"/>
      <c r="D48" s="323"/>
      <c r="E48" s="323"/>
      <c r="F48" s="323"/>
      <c r="G48" s="323"/>
      <c r="H48" s="323"/>
      <c r="I48" s="323"/>
      <c r="J48" s="323"/>
      <c r="K48" s="323"/>
      <c r="L48" s="323"/>
      <c r="M48" s="323"/>
      <c r="N48" s="323"/>
      <c r="O48" s="323"/>
      <c r="P48" s="308"/>
      <c r="Q48" s="323"/>
      <c r="R48" s="308"/>
      <c r="S48" s="323"/>
    </row>
    <row r="49" spans="1:20" s="411" customFormat="1" ht="18.75">
      <c r="A49" s="433" t="s">
        <v>349</v>
      </c>
      <c r="B49" s="433"/>
      <c r="C49" s="433"/>
      <c r="D49" s="433"/>
      <c r="E49" s="433"/>
      <c r="F49" s="433"/>
      <c r="G49" s="433"/>
      <c r="H49" s="433"/>
      <c r="I49" s="433"/>
      <c r="J49" s="433"/>
      <c r="K49" s="433"/>
      <c r="L49" s="433"/>
      <c r="M49" s="433"/>
      <c r="N49" s="433"/>
      <c r="O49" s="433"/>
      <c r="P49" s="433"/>
      <c r="Q49" s="433"/>
      <c r="R49" s="433"/>
      <c r="S49" s="433"/>
    </row>
    <row r="50" spans="1:20" s="308" customFormat="1" ht="17.25" customHeight="1">
      <c r="A50" s="370"/>
      <c r="B50" s="370"/>
      <c r="C50" s="370"/>
      <c r="D50" s="370"/>
      <c r="E50" s="380"/>
    </row>
    <row r="51" spans="1:20" s="387" customFormat="1" ht="17.25" customHeight="1">
      <c r="A51" s="381"/>
      <c r="B51" s="382"/>
      <c r="C51" s="383" t="s">
        <v>151</v>
      </c>
      <c r="D51" s="381"/>
      <c r="E51" s="384" t="s">
        <v>317</v>
      </c>
      <c r="F51" s="385"/>
      <c r="G51" s="385"/>
      <c r="H51" s="385"/>
      <c r="I51" s="386"/>
      <c r="M51" s="388" t="s">
        <v>126</v>
      </c>
      <c r="N51" s="389"/>
      <c r="O51" s="390"/>
      <c r="P51" s="308"/>
      <c r="Q51" s="391" t="s">
        <v>320</v>
      </c>
      <c r="R51" s="308"/>
      <c r="S51" s="453" t="s">
        <v>258</v>
      </c>
    </row>
    <row r="52" spans="1:20" s="304" customFormat="1" ht="15">
      <c r="A52" s="303"/>
      <c r="E52" s="526" t="str">
        <f>+E4</f>
        <v>Restated Results AMA (See BGM-4)</v>
      </c>
      <c r="F52" s="515" t="s">
        <v>264</v>
      </c>
      <c r="G52" s="515" t="s">
        <v>228</v>
      </c>
      <c r="H52" s="515" t="s">
        <v>263</v>
      </c>
      <c r="I52" s="517" t="s">
        <v>265</v>
      </c>
      <c r="K52" s="529" t="s">
        <v>321</v>
      </c>
      <c r="L52" s="305"/>
      <c r="M52" s="514" t="s">
        <v>318</v>
      </c>
      <c r="N52" s="514" t="s">
        <v>319</v>
      </c>
      <c r="O52" s="514" t="s">
        <v>220</v>
      </c>
      <c r="P52" s="308"/>
      <c r="Q52" s="521" t="s">
        <v>266</v>
      </c>
      <c r="R52" s="308"/>
      <c r="S52" s="521" t="s">
        <v>379</v>
      </c>
    </row>
    <row r="53" spans="1:20" s="309" customFormat="1" ht="15">
      <c r="A53" s="306"/>
      <c r="B53" s="307"/>
      <c r="C53" s="307"/>
      <c r="D53" s="308"/>
      <c r="E53" s="527"/>
      <c r="F53" s="528"/>
      <c r="G53" s="516"/>
      <c r="H53" s="516"/>
      <c r="I53" s="514"/>
      <c r="J53" s="307"/>
      <c r="K53" s="529"/>
      <c r="L53" s="305"/>
      <c r="M53" s="514"/>
      <c r="N53" s="514"/>
      <c r="O53" s="514"/>
      <c r="P53" s="308"/>
      <c r="Q53" s="524"/>
      <c r="R53" s="308"/>
      <c r="S53" s="522"/>
    </row>
    <row r="54" spans="1:20" s="309" customFormat="1" ht="15">
      <c r="A54" s="306"/>
      <c r="B54" s="307"/>
      <c r="C54" s="307"/>
      <c r="D54" s="308"/>
      <c r="E54" s="527"/>
      <c r="F54" s="528"/>
      <c r="G54" s="516"/>
      <c r="H54" s="516"/>
      <c r="I54" s="514"/>
      <c r="J54" s="307"/>
      <c r="K54" s="529"/>
      <c r="L54" s="315"/>
      <c r="M54" s="514"/>
      <c r="N54" s="514"/>
      <c r="O54" s="514"/>
      <c r="P54" s="308"/>
      <c r="Q54" s="524"/>
      <c r="R54" s="308"/>
      <c r="S54" s="522"/>
    </row>
    <row r="55" spans="1:20" s="309" customFormat="1" ht="30">
      <c r="A55" s="310" t="s">
        <v>316</v>
      </c>
      <c r="B55" s="311"/>
      <c r="C55" s="312" t="s">
        <v>3</v>
      </c>
      <c r="D55" s="311"/>
      <c r="E55" s="527"/>
      <c r="F55" s="528"/>
      <c r="G55" s="516"/>
      <c r="H55" s="516"/>
      <c r="I55" s="514"/>
      <c r="J55" s="315"/>
      <c r="K55" s="529"/>
      <c r="L55" s="315"/>
      <c r="M55" s="514"/>
      <c r="N55" s="514"/>
      <c r="O55" s="514"/>
      <c r="P55" s="308"/>
      <c r="Q55" s="525"/>
      <c r="R55" s="308"/>
      <c r="S55" s="523"/>
    </row>
    <row r="56" spans="1:20" s="309" customFormat="1" ht="15">
      <c r="A56" s="306"/>
      <c r="B56" s="307"/>
      <c r="C56" s="307"/>
      <c r="D56" s="307"/>
      <c r="E56" s="345" t="str">
        <f>E8</f>
        <v>[A]</v>
      </c>
      <c r="F56" s="345" t="str">
        <f>F8</f>
        <v>[B]</v>
      </c>
      <c r="G56" s="345" t="str">
        <f>G8</f>
        <v>[C]</v>
      </c>
      <c r="H56" s="345" t="str">
        <f>H8</f>
        <v>[D]</v>
      </c>
      <c r="I56" s="345" t="str">
        <f>I8</f>
        <v>[E]</v>
      </c>
      <c r="J56" s="315"/>
      <c r="K56" s="345" t="str">
        <f>K8</f>
        <v>[F]</v>
      </c>
      <c r="L56" s="315"/>
      <c r="M56" s="345" t="str">
        <f>M8</f>
        <v>[G]</v>
      </c>
      <c r="N56" s="345" t="str">
        <f>N8</f>
        <v>[H]</v>
      </c>
      <c r="O56" s="345" t="str">
        <f>O8</f>
        <v>[I]</v>
      </c>
      <c r="P56" s="308"/>
      <c r="Q56" s="345" t="str">
        <f>Q8</f>
        <v>[J]</v>
      </c>
      <c r="R56" s="308"/>
      <c r="S56" s="345" t="str">
        <f>S8</f>
        <v>[K]</v>
      </c>
    </row>
    <row r="57" spans="1:20" s="317" customFormat="1" ht="15">
      <c r="A57" s="314">
        <f t="shared" ref="A57:A61" ca="1" si="11">+MAX(OFFSET(A$1,0,0,ROW(A57)-ROW(A$1)))+1</f>
        <v>33</v>
      </c>
      <c r="B57" s="315" t="s">
        <v>28</v>
      </c>
      <c r="C57" s="323"/>
      <c r="D57" s="323"/>
      <c r="E57" s="321"/>
      <c r="F57" s="321"/>
      <c r="G57" s="321"/>
      <c r="H57" s="321"/>
      <c r="I57" s="321"/>
      <c r="J57" s="315"/>
      <c r="K57" s="315"/>
      <c r="L57" s="315"/>
      <c r="M57" s="321"/>
      <c r="N57" s="321"/>
      <c r="O57" s="321"/>
      <c r="P57" s="308"/>
      <c r="Q57" s="321"/>
      <c r="R57" s="308"/>
      <c r="S57" s="321"/>
      <c r="T57" s="309"/>
    </row>
    <row r="58" spans="1:20" s="317" customFormat="1" ht="15">
      <c r="A58" s="314">
        <f t="shared" ca="1" si="11"/>
        <v>34</v>
      </c>
      <c r="B58" s="323" t="s">
        <v>29</v>
      </c>
      <c r="C58" s="315"/>
      <c r="D58" s="323"/>
      <c r="E58" s="378">
        <f>+'[6]Exh. No. BGM 4 4'!X54</f>
        <v>-1128.6000000000004</v>
      </c>
      <c r="F58" s="378">
        <f>+'[6]Exh. No. BGM 4 4'!$AG$54</f>
        <v>377.65</v>
      </c>
      <c r="G58" s="378">
        <f>+'[6]Exh. No. BGM 4 4'!$AF$54</f>
        <v>-322.7</v>
      </c>
      <c r="H58" s="379">
        <v>0</v>
      </c>
      <c r="I58" s="378">
        <f>SUM(E58:H58)</f>
        <v>-1073.6500000000003</v>
      </c>
      <c r="J58" s="315"/>
      <c r="K58" s="315"/>
      <c r="L58" s="315"/>
      <c r="M58" s="378">
        <f ca="1">0.35*M46</f>
        <v>-545.64729869999996</v>
      </c>
      <c r="N58" s="378">
        <f ca="1">I58+M58</f>
        <v>-1619.2972987000003</v>
      </c>
      <c r="O58" s="378">
        <f>0.35*O46</f>
        <v>249.26607999999996</v>
      </c>
      <c r="P58" s="328"/>
      <c r="Q58" s="379">
        <v>0</v>
      </c>
      <c r="R58" s="328"/>
      <c r="S58" s="378">
        <f ca="1">SUM(N58:Q58)</f>
        <v>-1370.0312187000004</v>
      </c>
      <c r="T58" s="309"/>
    </row>
    <row r="59" spans="1:20" s="317" customFormat="1" ht="15">
      <c r="A59" s="314">
        <f t="shared" ca="1" si="11"/>
        <v>35</v>
      </c>
      <c r="B59" s="323" t="s">
        <v>46</v>
      </c>
      <c r="C59" s="315"/>
      <c r="D59" s="323"/>
      <c r="E59" s="321">
        <f>+'[6]Exh. No. BGM 4 4'!X55</f>
        <v>11.15282</v>
      </c>
      <c r="F59" s="321">
        <v>0</v>
      </c>
      <c r="G59" s="321">
        <f>G85*'2) ROR'!$F$38*-0.35</f>
        <v>0</v>
      </c>
      <c r="H59" s="334">
        <v>0</v>
      </c>
      <c r="I59" s="321">
        <f>SUM(E59:H59)</f>
        <v>11.15282</v>
      </c>
      <c r="J59" s="315"/>
      <c r="K59" s="315"/>
      <c r="L59" s="315"/>
      <c r="M59" s="321">
        <f ca="1">('2) ROR'!F11*-0.35*M85)+('2) ROR'!F11-'2) ROR'!F38)*I85*-0.35</f>
        <v>-52.753536509520018</v>
      </c>
      <c r="N59" s="321">
        <f ca="1">I59+M59</f>
        <v>-41.600716509520019</v>
      </c>
      <c r="O59" s="321"/>
      <c r="P59" s="328"/>
      <c r="Q59" s="328">
        <f>Q85*'2) ROR'!$F$11*-0.35</f>
        <v>0</v>
      </c>
      <c r="R59" s="328"/>
      <c r="S59" s="328">
        <f ca="1">SUM(N59:Q59)</f>
        <v>-41.600716509520019</v>
      </c>
      <c r="T59" s="309"/>
    </row>
    <row r="60" spans="1:20" s="317" customFormat="1" ht="15">
      <c r="A60" s="314">
        <f t="shared" ca="1" si="11"/>
        <v>36</v>
      </c>
      <c r="B60" s="323" t="s">
        <v>30</v>
      </c>
      <c r="C60" s="315"/>
      <c r="D60" s="323"/>
      <c r="E60" s="321">
        <f>+'[6]Exh. No. BGM 4 4'!X56</f>
        <v>9923</v>
      </c>
      <c r="F60" s="321">
        <v>0</v>
      </c>
      <c r="G60" s="321">
        <v>0</v>
      </c>
      <c r="H60" s="321"/>
      <c r="I60" s="321">
        <f>SUM(E60:H60)</f>
        <v>9923</v>
      </c>
      <c r="J60" s="315"/>
      <c r="K60" s="315"/>
      <c r="L60" s="315"/>
      <c r="M60" s="321"/>
      <c r="N60" s="321">
        <f>I60+M60</f>
        <v>9923</v>
      </c>
      <c r="O60" s="321"/>
      <c r="P60" s="328"/>
      <c r="Q60" s="328"/>
      <c r="R60" s="328"/>
      <c r="S60" s="328">
        <f>SUM(N60:Q60)</f>
        <v>9923</v>
      </c>
      <c r="T60" s="309"/>
    </row>
    <row r="61" spans="1:20" s="317" customFormat="1" ht="15">
      <c r="A61" s="314">
        <f t="shared" ca="1" si="11"/>
        <v>37</v>
      </c>
      <c r="B61" s="323" t="s">
        <v>31</v>
      </c>
      <c r="C61" s="315"/>
      <c r="D61" s="323"/>
      <c r="E61" s="321">
        <f>+'[6]Exh. No. BGM 4 4'!X57</f>
        <v>-17</v>
      </c>
      <c r="F61" s="321">
        <v>0</v>
      </c>
      <c r="G61" s="321">
        <v>0</v>
      </c>
      <c r="H61" s="324"/>
      <c r="I61" s="321">
        <f>SUM(E61:H61)</f>
        <v>-17</v>
      </c>
      <c r="J61" s="315"/>
      <c r="K61" s="315"/>
      <c r="L61" s="315"/>
      <c r="M61" s="324"/>
      <c r="N61" s="321">
        <f>I61+M61</f>
        <v>-17</v>
      </c>
      <c r="O61" s="324"/>
      <c r="P61" s="328"/>
      <c r="Q61" s="324"/>
      <c r="R61" s="328"/>
      <c r="S61" s="321">
        <f>SUM(N61:Q61)</f>
        <v>-17</v>
      </c>
      <c r="T61" s="309"/>
    </row>
    <row r="62" spans="1:20" s="317" customFormat="1" ht="15">
      <c r="A62" s="341"/>
      <c r="B62" s="315"/>
      <c r="C62" s="315"/>
      <c r="D62" s="315"/>
      <c r="E62" s="344"/>
      <c r="F62" s="344"/>
      <c r="G62" s="344"/>
      <c r="H62" s="321"/>
      <c r="I62" s="344"/>
      <c r="J62" s="315"/>
      <c r="K62" s="315"/>
      <c r="L62" s="315"/>
      <c r="M62" s="321"/>
      <c r="N62" s="344"/>
      <c r="O62" s="321"/>
      <c r="P62" s="328"/>
      <c r="Q62" s="321"/>
      <c r="R62" s="328"/>
      <c r="S62" s="344"/>
      <c r="T62" s="309"/>
    </row>
    <row r="63" spans="1:20" s="322" customFormat="1" thickBot="1">
      <c r="A63" s="314">
        <f t="shared" ref="A63" ca="1" si="12">+MAX(OFFSET(A$1,0,0,ROW(A63)-ROW(A$1)))+1</f>
        <v>38</v>
      </c>
      <c r="B63" s="318" t="s">
        <v>32</v>
      </c>
      <c r="C63" s="318"/>
      <c r="D63" s="318"/>
      <c r="E63" s="375">
        <f>E46-E58-E59-E60-E61</f>
        <v>22798.447179999999</v>
      </c>
      <c r="F63" s="375">
        <f>F46-F58-F59-F60-F61</f>
        <v>701.35</v>
      </c>
      <c r="G63" s="375">
        <f>G46-G58-G59-G60-G61</f>
        <v>-599.29999999999995</v>
      </c>
      <c r="H63" s="375">
        <f>H46-H58-H59-H60-H61</f>
        <v>0</v>
      </c>
      <c r="I63" s="375">
        <f>I46-I58-I59-I60-I61</f>
        <v>22900.497179999998</v>
      </c>
      <c r="J63" s="318"/>
      <c r="K63" s="346"/>
      <c r="L63" s="346"/>
      <c r="M63" s="375">
        <f ca="1">M46-M58-M59-M60-M61</f>
        <v>-960.59144679048018</v>
      </c>
      <c r="N63" s="375">
        <f ca="1">N46-N58-N59-N60-N61</f>
        <v>21939.905733209522</v>
      </c>
      <c r="O63" s="375">
        <f>O46-O58-O59-O60-O61</f>
        <v>462.92271999999991</v>
      </c>
      <c r="P63" s="328"/>
      <c r="Q63" s="375">
        <f>Q46-Q58-Q59-Q60-Q61</f>
        <v>0</v>
      </c>
      <c r="R63" s="328"/>
      <c r="S63" s="375">
        <f ca="1">S46-S58-S59-S60-S61</f>
        <v>22402.828453209528</v>
      </c>
      <c r="T63" s="309"/>
    </row>
    <row r="64" spans="1:20" s="317" customFormat="1" thickTop="1">
      <c r="A64" s="341"/>
      <c r="B64" s="315"/>
      <c r="C64" s="315"/>
      <c r="D64" s="315"/>
      <c r="E64" s="321"/>
      <c r="F64" s="321"/>
      <c r="G64" s="321"/>
      <c r="H64" s="321"/>
      <c r="I64" s="321"/>
      <c r="J64" s="315"/>
      <c r="K64" s="326"/>
      <c r="L64" s="326"/>
      <c r="M64" s="321"/>
      <c r="N64" s="321"/>
      <c r="O64" s="321"/>
      <c r="P64" s="328"/>
      <c r="Q64" s="321"/>
      <c r="R64" s="328"/>
      <c r="S64" s="321"/>
      <c r="T64" s="309"/>
    </row>
    <row r="65" spans="1:23" s="317" customFormat="1" ht="15">
      <c r="A65" s="314">
        <f t="shared" ref="A65:A70" ca="1" si="13">+MAX(OFFSET(A$1,0,0,ROW(A65)-ROW(A$1)))+1</f>
        <v>39</v>
      </c>
      <c r="B65" s="315" t="s">
        <v>40</v>
      </c>
      <c r="C65" s="315"/>
      <c r="D65" s="315"/>
      <c r="E65" s="321"/>
      <c r="F65" s="321"/>
      <c r="G65" s="321"/>
      <c r="H65" s="321"/>
      <c r="I65" s="321"/>
      <c r="J65" s="315"/>
      <c r="K65" s="326"/>
      <c r="L65" s="326"/>
      <c r="M65" s="321"/>
      <c r="N65" s="321"/>
      <c r="O65" s="321"/>
      <c r="P65" s="328"/>
      <c r="Q65" s="321"/>
      <c r="R65" s="328"/>
      <c r="S65" s="321"/>
      <c r="T65" s="309"/>
    </row>
    <row r="66" spans="1:23" s="317" customFormat="1" ht="15">
      <c r="A66" s="314">
        <f t="shared" ca="1" si="13"/>
        <v>40</v>
      </c>
      <c r="B66" s="315" t="s">
        <v>41</v>
      </c>
      <c r="C66" s="315"/>
      <c r="D66" s="315"/>
      <c r="E66" s="321"/>
      <c r="F66" s="321"/>
      <c r="G66" s="321"/>
      <c r="H66" s="321"/>
      <c r="I66" s="321"/>
      <c r="J66" s="315"/>
      <c r="K66" s="326"/>
      <c r="L66" s="326"/>
      <c r="M66" s="321"/>
      <c r="N66" s="321"/>
      <c r="O66" s="321"/>
      <c r="P66" s="328"/>
      <c r="Q66" s="321"/>
      <c r="R66" s="328"/>
      <c r="S66" s="321"/>
      <c r="T66" s="309"/>
    </row>
    <row r="67" spans="1:23" s="317" customFormat="1" ht="15">
      <c r="A67" s="314">
        <f t="shared" ca="1" si="13"/>
        <v>41</v>
      </c>
      <c r="B67" s="323"/>
      <c r="C67" s="323" t="s">
        <v>16</v>
      </c>
      <c r="D67" s="323"/>
      <c r="E67" s="321">
        <f>+'[6]Exh. No. BGM 4 4'!$X63</f>
        <v>26868</v>
      </c>
      <c r="F67" s="321">
        <v>0</v>
      </c>
      <c r="G67" s="321">
        <v>0</v>
      </c>
      <c r="H67" s="334">
        <v>0</v>
      </c>
      <c r="I67" s="321">
        <f>SUM(E67:H67)</f>
        <v>26868</v>
      </c>
      <c r="J67" s="315"/>
      <c r="K67" s="330">
        <f ca="1">+'4.12'!B23*$K$7</f>
        <v>2.7028E-2</v>
      </c>
      <c r="L67" s="326"/>
      <c r="M67" s="321">
        <f ca="1">I67*K67</f>
        <v>726.18830400000002</v>
      </c>
      <c r="N67" s="321">
        <f ca="1">I67+M67</f>
        <v>27594.188303999999</v>
      </c>
      <c r="O67" s="321"/>
      <c r="P67" s="328"/>
      <c r="Q67" s="321"/>
      <c r="R67" s="328"/>
      <c r="S67" s="328">
        <f ca="1">SUM(N67:Q67)</f>
        <v>27594.188303999999</v>
      </c>
      <c r="T67" s="309"/>
    </row>
    <row r="68" spans="1:23" s="317" customFormat="1" ht="15">
      <c r="A68" s="314">
        <f t="shared" ca="1" si="13"/>
        <v>42</v>
      </c>
      <c r="B68" s="323"/>
      <c r="C68" s="323" t="s">
        <v>33</v>
      </c>
      <c r="D68" s="323"/>
      <c r="E68" s="321">
        <f>+'[6]Exh. No. BGM 4 4'!$X64</f>
        <v>390508</v>
      </c>
      <c r="F68" s="321">
        <v>0</v>
      </c>
      <c r="G68" s="321"/>
      <c r="H68" s="334">
        <v>0</v>
      </c>
      <c r="I68" s="321">
        <f>SUM(E68:H68)</f>
        <v>390508</v>
      </c>
      <c r="J68" s="315"/>
      <c r="K68" s="330">
        <f ca="1">+'4.13'!B23*$K$7</f>
        <v>7.1764000000000008E-2</v>
      </c>
      <c r="L68" s="326"/>
      <c r="M68" s="321">
        <f ca="1">I68*K68</f>
        <v>28024.416112000003</v>
      </c>
      <c r="N68" s="321">
        <f ca="1">I68+M68</f>
        <v>418532.41611200001</v>
      </c>
      <c r="O68" s="321"/>
      <c r="P68" s="328"/>
      <c r="Q68" s="336">
        <v>0</v>
      </c>
      <c r="R68" s="328"/>
      <c r="S68" s="328">
        <f ca="1">SUM(N68:Q68)</f>
        <v>418532.41611200001</v>
      </c>
      <c r="T68" s="309"/>
    </row>
    <row r="69" spans="1:23" s="317" customFormat="1" ht="15">
      <c r="A69" s="314">
        <f t="shared" ca="1" si="13"/>
        <v>43</v>
      </c>
      <c r="B69" s="323"/>
      <c r="C69" s="323" t="s">
        <v>34</v>
      </c>
      <c r="D69" s="323"/>
      <c r="E69" s="321">
        <f>+'[6]Exh. No. BGM 4 4'!$X65</f>
        <v>82624</v>
      </c>
      <c r="F69" s="321">
        <v>0</v>
      </c>
      <c r="G69" s="321">
        <v>0</v>
      </c>
      <c r="H69" s="334">
        <v>0</v>
      </c>
      <c r="I69" s="321">
        <f>SUM(E69:H69)</f>
        <v>82624</v>
      </c>
      <c r="J69" s="315"/>
      <c r="K69" s="330">
        <f ca="1">+'4.14'!B23*$K$7</f>
        <v>0.11882999999999999</v>
      </c>
      <c r="L69" s="326"/>
      <c r="M69" s="324">
        <f ca="1">I69*K69</f>
        <v>9818.2099199999993</v>
      </c>
      <c r="N69" s="321">
        <f ca="1">I69+M69</f>
        <v>92442.209919999994</v>
      </c>
      <c r="O69" s="324"/>
      <c r="P69" s="328"/>
      <c r="Q69" s="336">
        <v>0</v>
      </c>
      <c r="R69" s="328"/>
      <c r="S69" s="324">
        <f ca="1">SUM(N69:Q69)</f>
        <v>92442.209919999994</v>
      </c>
    </row>
    <row r="70" spans="1:23" s="317" customFormat="1" ht="15">
      <c r="A70" s="314">
        <f t="shared" ca="1" si="13"/>
        <v>44</v>
      </c>
      <c r="B70" s="323" t="s">
        <v>35</v>
      </c>
      <c r="C70" s="323"/>
      <c r="D70" s="315"/>
      <c r="E70" s="344">
        <f t="shared" ref="E70:I70" si="14">SUM(E67:E69)</f>
        <v>500000</v>
      </c>
      <c r="F70" s="344">
        <f t="shared" si="14"/>
        <v>0</v>
      </c>
      <c r="G70" s="344">
        <f t="shared" si="14"/>
        <v>0</v>
      </c>
      <c r="H70" s="344">
        <f t="shared" si="14"/>
        <v>0</v>
      </c>
      <c r="I70" s="344">
        <f t="shared" si="14"/>
        <v>500000</v>
      </c>
      <c r="J70" s="315"/>
      <c r="K70" s="326"/>
      <c r="L70" s="326"/>
      <c r="M70" s="321">
        <f ca="1">SUM(M67:M69)</f>
        <v>38568.814336000003</v>
      </c>
      <c r="N70" s="344">
        <f ca="1">SUM(N67:N69)</f>
        <v>538568.81433600001</v>
      </c>
      <c r="O70" s="321"/>
      <c r="P70" s="328"/>
      <c r="Q70" s="321">
        <f>SUM(Q67:Q69)</f>
        <v>0</v>
      </c>
      <c r="R70" s="328"/>
      <c r="S70" s="344">
        <f ca="1">SUM(S67:S69)</f>
        <v>538568.81433600001</v>
      </c>
    </row>
    <row r="71" spans="1:23" s="317" customFormat="1" ht="15">
      <c r="A71" s="341"/>
      <c r="B71" s="323"/>
      <c r="C71" s="323"/>
      <c r="D71" s="315"/>
      <c r="E71" s="321"/>
      <c r="F71" s="321"/>
      <c r="G71" s="321"/>
      <c r="H71" s="321"/>
      <c r="I71" s="321"/>
      <c r="J71" s="315"/>
      <c r="K71" s="326"/>
      <c r="L71" s="326"/>
      <c r="M71" s="321"/>
      <c r="N71" s="321"/>
      <c r="O71" s="321"/>
      <c r="P71" s="328"/>
      <c r="Q71" s="321"/>
      <c r="R71" s="328"/>
      <c r="S71" s="321"/>
    </row>
    <row r="72" spans="1:23" s="317" customFormat="1" ht="15">
      <c r="A72" s="314">
        <f t="shared" ref="A72:A85" ca="1" si="15">+MAX(OFFSET(A$1,0,0,ROW(A72)-ROW(A$1)))+1</f>
        <v>45</v>
      </c>
      <c r="B72" s="323" t="s">
        <v>257</v>
      </c>
      <c r="C72" s="323"/>
      <c r="D72" s="323"/>
      <c r="E72" s="321"/>
      <c r="F72" s="321"/>
      <c r="G72" s="321"/>
      <c r="H72" s="321"/>
      <c r="I72" s="321"/>
      <c r="J72" s="315"/>
      <c r="K72" s="326"/>
      <c r="L72" s="326"/>
      <c r="M72" s="321"/>
      <c r="N72" s="321"/>
      <c r="O72" s="321"/>
      <c r="P72" s="328"/>
      <c r="Q72" s="321"/>
      <c r="R72" s="328"/>
      <c r="S72" s="321"/>
    </row>
    <row r="73" spans="1:23" s="317" customFormat="1" ht="15">
      <c r="A73" s="314">
        <f t="shared" ca="1" si="15"/>
        <v>46</v>
      </c>
      <c r="B73" s="323"/>
      <c r="C73" s="323" t="s">
        <v>16</v>
      </c>
      <c r="D73" s="323"/>
      <c r="E73" s="321">
        <f>+'[6]Exh. No. BGM 4 4'!X69</f>
        <v>-10317</v>
      </c>
      <c r="F73" s="321">
        <v>0</v>
      </c>
      <c r="G73" s="321">
        <v>0</v>
      </c>
      <c r="H73" s="334">
        <v>0</v>
      </c>
      <c r="I73" s="321">
        <f>SUM(E73:H73)</f>
        <v>-10317</v>
      </c>
      <c r="J73" s="315"/>
      <c r="K73" s="347">
        <f ca="1">+K67</f>
        <v>2.7028E-2</v>
      </c>
      <c r="L73" s="326"/>
      <c r="M73" s="321">
        <f ca="1">I73*K73</f>
        <v>-278.84787599999999</v>
      </c>
      <c r="N73" s="321">
        <f ca="1">I73+M73</f>
        <v>-10595.847876</v>
      </c>
      <c r="O73" s="321"/>
      <c r="P73" s="328"/>
      <c r="Q73" s="321"/>
      <c r="R73" s="328"/>
      <c r="S73" s="328">
        <f ca="1">SUM(N73:Q73)</f>
        <v>-10595.847876</v>
      </c>
    </row>
    <row r="74" spans="1:23" s="317" customFormat="1" ht="15">
      <c r="A74" s="314">
        <f t="shared" ca="1" si="15"/>
        <v>47</v>
      </c>
      <c r="B74" s="323"/>
      <c r="C74" s="323" t="s">
        <v>33</v>
      </c>
      <c r="D74" s="323"/>
      <c r="E74" s="321">
        <f>+'[6]Exh. No. BGM 4 4'!X70</f>
        <v>-129098</v>
      </c>
      <c r="F74" s="321">
        <v>0</v>
      </c>
      <c r="G74" s="321"/>
      <c r="H74" s="334">
        <v>0</v>
      </c>
      <c r="I74" s="321">
        <f>SUM(E74:H74)</f>
        <v>-129098</v>
      </c>
      <c r="J74" s="315"/>
      <c r="K74" s="320">
        <f ca="1">+K68</f>
        <v>7.1764000000000008E-2</v>
      </c>
      <c r="L74" s="326"/>
      <c r="M74" s="321">
        <f ca="1">I74*K74</f>
        <v>-9264.5888720000003</v>
      </c>
      <c r="N74" s="321">
        <f ca="1">I74+M74</f>
        <v>-138362.58887199999</v>
      </c>
      <c r="O74" s="321"/>
      <c r="P74" s="328"/>
      <c r="Q74" s="336">
        <v>0</v>
      </c>
      <c r="R74" s="328"/>
      <c r="S74" s="328">
        <f ca="1">SUM(N74:Q74)</f>
        <v>-138362.58887199999</v>
      </c>
    </row>
    <row r="75" spans="1:23" s="317" customFormat="1" ht="15">
      <c r="A75" s="314">
        <f t="shared" ca="1" si="15"/>
        <v>48</v>
      </c>
      <c r="B75" s="323"/>
      <c r="C75" s="323" t="s">
        <v>34</v>
      </c>
      <c r="D75" s="323"/>
      <c r="E75" s="321">
        <f>+'[6]Exh. No. BGM 4 4'!X71</f>
        <v>-23473</v>
      </c>
      <c r="F75" s="321">
        <v>0</v>
      </c>
      <c r="G75" s="321">
        <v>0</v>
      </c>
      <c r="H75" s="334">
        <v>0</v>
      </c>
      <c r="I75" s="321">
        <f>SUM(E75:H75)</f>
        <v>-23473</v>
      </c>
      <c r="J75" s="315"/>
      <c r="K75" s="320">
        <f ca="1">+K69</f>
        <v>0.11882999999999999</v>
      </c>
      <c r="L75" s="326"/>
      <c r="M75" s="321">
        <f ca="1">I75*K75</f>
        <v>-2789.2965899999999</v>
      </c>
      <c r="N75" s="321">
        <f ca="1">I75+M75</f>
        <v>-26262.296589999998</v>
      </c>
      <c r="O75" s="321"/>
      <c r="P75" s="328"/>
      <c r="Q75" s="336">
        <v>0</v>
      </c>
      <c r="R75" s="328"/>
      <c r="S75" s="328">
        <f ca="1">SUM(N75:Q75)</f>
        <v>-26262.296589999998</v>
      </c>
    </row>
    <row r="76" spans="1:23" s="317" customFormat="1" ht="15">
      <c r="A76" s="314">
        <f t="shared" ca="1" si="15"/>
        <v>49</v>
      </c>
      <c r="B76" s="323" t="s">
        <v>256</v>
      </c>
      <c r="C76" s="323"/>
      <c r="D76" s="315"/>
      <c r="E76" s="349">
        <f>SUM(E73:E75)</f>
        <v>-162888</v>
      </c>
      <c r="F76" s="349">
        <f>SUM(F73:F75)</f>
        <v>0</v>
      </c>
      <c r="G76" s="349">
        <f>SUM(G73:G75)</f>
        <v>0</v>
      </c>
      <c r="H76" s="349">
        <f>SUM(H73:H75)</f>
        <v>0</v>
      </c>
      <c r="I76" s="349">
        <f>SUM(I73:I75)</f>
        <v>-162888</v>
      </c>
      <c r="J76" s="315"/>
      <c r="K76" s="348"/>
      <c r="L76" s="326"/>
      <c r="M76" s="349">
        <f ca="1">SUM(M73:M75)</f>
        <v>-12332.733338</v>
      </c>
      <c r="N76" s="349">
        <f ca="1">SUM(N73:N75)</f>
        <v>-175220.73333799996</v>
      </c>
      <c r="O76" s="349"/>
      <c r="P76" s="328"/>
      <c r="Q76" s="349">
        <f>SUM(Q73:Q75)</f>
        <v>0</v>
      </c>
      <c r="R76" s="328"/>
      <c r="S76" s="349">
        <f ca="1">SUM(S73:S75)</f>
        <v>-175220.73333799996</v>
      </c>
    </row>
    <row r="77" spans="1:23" s="317" customFormat="1" ht="15">
      <c r="A77" s="314">
        <f t="shared" ca="1" si="15"/>
        <v>50</v>
      </c>
      <c r="B77" s="323" t="s">
        <v>44</v>
      </c>
      <c r="C77" s="323"/>
      <c r="D77" s="323"/>
      <c r="E77" s="321">
        <f>E70+E76</f>
        <v>337112</v>
      </c>
      <c r="F77" s="321">
        <f>F70+F76</f>
        <v>0</v>
      </c>
      <c r="G77" s="321">
        <f>G70+G76</f>
        <v>0</v>
      </c>
      <c r="H77" s="321">
        <f>H70+H76</f>
        <v>0</v>
      </c>
      <c r="I77" s="321">
        <f>I70+I76</f>
        <v>337112</v>
      </c>
      <c r="J77" s="315"/>
      <c r="K77" s="326"/>
      <c r="L77" s="326"/>
      <c r="M77" s="321">
        <f ca="1">M70+M76</f>
        <v>26236.080998000005</v>
      </c>
      <c r="N77" s="321">
        <f ca="1">N70+N76</f>
        <v>363348.08099800005</v>
      </c>
      <c r="O77" s="328"/>
      <c r="P77" s="328"/>
      <c r="Q77" s="321">
        <f>Q70+Q76</f>
        <v>0</v>
      </c>
      <c r="R77" s="328"/>
      <c r="S77" s="328">
        <f ca="1">S70+S76</f>
        <v>363348.08099800005</v>
      </c>
    </row>
    <row r="78" spans="1:23" s="332" customFormat="1" ht="15">
      <c r="A78" s="314">
        <f t="shared" ca="1" si="15"/>
        <v>51</v>
      </c>
      <c r="B78" s="350" t="s">
        <v>42</v>
      </c>
      <c r="C78" s="350"/>
      <c r="D78" s="350"/>
      <c r="E78" s="321">
        <f>+'[6]Exh. No. BGM 4 4'!$X$74</f>
        <v>-74181</v>
      </c>
      <c r="F78" s="321">
        <v>0</v>
      </c>
      <c r="G78" s="321"/>
      <c r="H78" s="334">
        <v>0</v>
      </c>
      <c r="I78" s="321">
        <f>SUM(E78:H78)</f>
        <v>-74181</v>
      </c>
      <c r="J78" s="315"/>
      <c r="K78" s="330">
        <f ca="1">+'4.15'!B22*$K$7</f>
        <v>0.18127399999999999</v>
      </c>
      <c r="L78" s="326"/>
      <c r="M78" s="324">
        <f ca="1">I78*K78</f>
        <v>-13447.086593999999</v>
      </c>
      <c r="N78" s="321">
        <f ca="1">I78+M78</f>
        <v>-87628.086593999993</v>
      </c>
      <c r="O78" s="324"/>
      <c r="P78" s="328"/>
      <c r="Q78" s="336">
        <v>0</v>
      </c>
      <c r="R78" s="328"/>
      <c r="S78" s="321">
        <f ca="1">SUM(N78:Q78)</f>
        <v>-87628.086593999993</v>
      </c>
      <c r="U78" s="342"/>
      <c r="V78" s="317"/>
      <c r="W78" s="317"/>
    </row>
    <row r="79" spans="1:23" s="332" customFormat="1" ht="15">
      <c r="A79" s="314">
        <f t="shared" ca="1" si="15"/>
        <v>52</v>
      </c>
      <c r="B79" s="350" t="s">
        <v>50</v>
      </c>
      <c r="C79" s="350"/>
      <c r="D79" s="350"/>
      <c r="E79" s="344">
        <f>E77+E78</f>
        <v>262931</v>
      </c>
      <c r="F79" s="344">
        <f>F77+F78</f>
        <v>0</v>
      </c>
      <c r="G79" s="344">
        <f>G77+G78</f>
        <v>0</v>
      </c>
      <c r="H79" s="344">
        <f>H77+H78</f>
        <v>0</v>
      </c>
      <c r="I79" s="344">
        <f>I77+I78</f>
        <v>262931</v>
      </c>
      <c r="J79" s="315"/>
      <c r="K79" s="351"/>
      <c r="L79" s="326"/>
      <c r="M79" s="328">
        <f ca="1">M77+M78</f>
        <v>12788.994404000006</v>
      </c>
      <c r="N79" s="344">
        <f ca="1">N77+N78</f>
        <v>275719.99440400006</v>
      </c>
      <c r="O79" s="328"/>
      <c r="P79" s="328"/>
      <c r="Q79" s="344">
        <f>Q77+Q78</f>
        <v>0</v>
      </c>
      <c r="R79" s="328"/>
      <c r="S79" s="344">
        <f ca="1">S77+S78</f>
        <v>275719.99440400006</v>
      </c>
      <c r="U79" s="352"/>
      <c r="V79" s="353"/>
      <c r="W79" s="317"/>
    </row>
    <row r="80" spans="1:23" s="317" customFormat="1" ht="15">
      <c r="A80" s="314">
        <f t="shared" ca="1" si="15"/>
        <v>53</v>
      </c>
      <c r="B80" s="323" t="s">
        <v>36</v>
      </c>
      <c r="C80" s="323"/>
      <c r="D80" s="323"/>
      <c r="E80" s="321">
        <f>+'[6]Exh. No. BGM 4 4'!$X$76</f>
        <v>9116</v>
      </c>
      <c r="F80" s="321">
        <v>0</v>
      </c>
      <c r="G80" s="321">
        <v>0</v>
      </c>
      <c r="H80" s="321"/>
      <c r="I80" s="321">
        <f>SUM(E80:H80)</f>
        <v>9116</v>
      </c>
      <c r="J80" s="319"/>
      <c r="K80" s="320">
        <v>0</v>
      </c>
      <c r="L80" s="326"/>
      <c r="M80" s="321">
        <f>I80*K80</f>
        <v>0</v>
      </c>
      <c r="N80" s="321">
        <f>I80+M80</f>
        <v>9116</v>
      </c>
      <c r="O80" s="321"/>
      <c r="P80" s="328"/>
      <c r="Q80" s="321"/>
      <c r="R80" s="328"/>
      <c r="S80" s="321">
        <f>SUM(N80:O80)</f>
        <v>9116</v>
      </c>
      <c r="V80" s="354"/>
    </row>
    <row r="81" spans="1:23" s="332" customFormat="1" ht="15">
      <c r="A81" s="314">
        <f t="shared" ca="1" si="15"/>
        <v>54</v>
      </c>
      <c r="B81" s="350" t="s">
        <v>37</v>
      </c>
      <c r="C81" s="350"/>
      <c r="D81" s="350"/>
      <c r="E81" s="321">
        <f>+'[9]Attrition 12.2015 to 2017'!$E84</f>
        <v>0</v>
      </c>
      <c r="F81" s="321">
        <v>0</v>
      </c>
      <c r="G81" s="321">
        <v>0</v>
      </c>
      <c r="H81" s="328"/>
      <c r="I81" s="321">
        <f>SUM(E81:H81)</f>
        <v>0</v>
      </c>
      <c r="J81" s="319"/>
      <c r="K81" s="319">
        <v>0</v>
      </c>
      <c r="L81" s="326"/>
      <c r="M81" s="328">
        <f>I81*K81</f>
        <v>0</v>
      </c>
      <c r="N81" s="321">
        <f>I81+M81</f>
        <v>0</v>
      </c>
      <c r="O81" s="328"/>
      <c r="P81" s="328"/>
      <c r="Q81" s="328"/>
      <c r="R81" s="328"/>
      <c r="S81" s="321">
        <f>SUM(N81:O81)</f>
        <v>0</v>
      </c>
      <c r="V81" s="355"/>
      <c r="W81" s="317"/>
    </row>
    <row r="82" spans="1:23" s="332" customFormat="1" ht="15">
      <c r="A82" s="314">
        <f t="shared" ca="1" si="15"/>
        <v>55</v>
      </c>
      <c r="B82" s="350" t="s">
        <v>54</v>
      </c>
      <c r="C82" s="350"/>
      <c r="D82" s="350"/>
      <c r="E82" s="321">
        <f>+'[6]Exh. No. BGM 4 4'!$X$78</f>
        <v>-249</v>
      </c>
      <c r="F82" s="321">
        <v>0</v>
      </c>
      <c r="G82" s="321">
        <v>0</v>
      </c>
      <c r="H82" s="328"/>
      <c r="I82" s="321">
        <f>SUM(E82:H82)</f>
        <v>-249</v>
      </c>
      <c r="J82" s="319"/>
      <c r="K82" s="319">
        <v>0</v>
      </c>
      <c r="L82" s="326"/>
      <c r="M82" s="328">
        <f>I82*K82</f>
        <v>0</v>
      </c>
      <c r="N82" s="321">
        <f>I82+M82</f>
        <v>-249</v>
      </c>
      <c r="O82" s="328"/>
      <c r="P82" s="328"/>
      <c r="Q82" s="328"/>
      <c r="R82" s="328"/>
      <c r="S82" s="321">
        <f>SUM(N82:O82)</f>
        <v>-249</v>
      </c>
      <c r="U82" s="355"/>
      <c r="W82" s="317"/>
    </row>
    <row r="83" spans="1:23" s="317" customFormat="1" ht="15">
      <c r="A83" s="314">
        <f t="shared" ca="1" si="15"/>
        <v>56</v>
      </c>
      <c r="B83" s="323" t="s">
        <v>45</v>
      </c>
      <c r="C83" s="323"/>
      <c r="D83" s="323"/>
      <c r="E83" s="321">
        <f>+'[6]Exh. No. BGM 4 4'!$X$79</f>
        <v>14800</v>
      </c>
      <c r="F83" s="321">
        <v>0</v>
      </c>
      <c r="G83" s="321">
        <v>0</v>
      </c>
      <c r="H83" s="328"/>
      <c r="I83" s="321">
        <f>SUM(E83:H83)</f>
        <v>14800</v>
      </c>
      <c r="J83" s="319"/>
      <c r="K83" s="319">
        <v>0</v>
      </c>
      <c r="L83" s="326"/>
      <c r="M83" s="328">
        <f>I83*K83</f>
        <v>0</v>
      </c>
      <c r="N83" s="328">
        <f>I83+M83</f>
        <v>14800</v>
      </c>
      <c r="O83" s="328"/>
      <c r="P83" s="328"/>
      <c r="Q83" s="328"/>
      <c r="R83" s="328"/>
      <c r="S83" s="328">
        <f>SUM(N83:O83)</f>
        <v>14800</v>
      </c>
      <c r="T83" s="332"/>
      <c r="U83" s="355"/>
      <c r="V83" s="355"/>
    </row>
    <row r="84" spans="1:23" s="317" customFormat="1" ht="15">
      <c r="A84" s="314">
        <f t="shared" ca="1" si="15"/>
        <v>57</v>
      </c>
      <c r="B84" s="508" t="s">
        <v>313</v>
      </c>
      <c r="C84" s="508"/>
      <c r="D84" s="350"/>
      <c r="E84" s="328"/>
      <c r="F84" s="328"/>
      <c r="G84" s="328"/>
      <c r="H84" s="328"/>
      <c r="I84" s="328"/>
      <c r="J84" s="374"/>
      <c r="K84" s="374"/>
      <c r="L84" s="351"/>
      <c r="M84" s="328"/>
      <c r="N84" s="328"/>
      <c r="O84" s="328"/>
      <c r="P84" s="328"/>
      <c r="Q84" s="328"/>
      <c r="R84" s="328"/>
      <c r="S84" s="451">
        <f ca="1">+MIN('[6]Exh. No. BGM-4 1'!$R$46-SUM(S79:S83),0)</f>
        <v>0</v>
      </c>
      <c r="T84" s="332"/>
      <c r="U84" s="355"/>
      <c r="V84" s="355"/>
    </row>
    <row r="85" spans="1:23" s="355" customFormat="1" thickBot="1">
      <c r="A85" s="314">
        <f t="shared" ca="1" si="15"/>
        <v>58</v>
      </c>
      <c r="B85" s="356" t="s">
        <v>38</v>
      </c>
      <c r="C85" s="356"/>
      <c r="D85" s="356"/>
      <c r="E85" s="375">
        <f>SUM(E79:E83)</f>
        <v>286598</v>
      </c>
      <c r="F85" s="375">
        <f>SUM(F79:F83)</f>
        <v>0</v>
      </c>
      <c r="G85" s="375">
        <f>SUM(G79:G83)</f>
        <v>0</v>
      </c>
      <c r="H85" s="375">
        <f>SUM(H79:H83)</f>
        <v>0</v>
      </c>
      <c r="I85" s="375">
        <f>SUM(I79:I83)</f>
        <v>286598</v>
      </c>
      <c r="J85" s="356"/>
      <c r="K85" s="356"/>
      <c r="L85" s="326"/>
      <c r="M85" s="375">
        <f ca="1">SUM(M79:M83)</f>
        <v>12788.994404000006</v>
      </c>
      <c r="N85" s="375">
        <f ca="1">SUM(N79:N83)</f>
        <v>299386.99440400006</v>
      </c>
      <c r="O85" s="375"/>
      <c r="P85" s="328"/>
      <c r="Q85" s="375">
        <f>SUM(Q79:Q83)</f>
        <v>0</v>
      </c>
      <c r="R85" s="328"/>
      <c r="S85" s="375">
        <f ca="1">SUM(S79:S84)</f>
        <v>299386.99440400006</v>
      </c>
      <c r="T85" s="332"/>
      <c r="V85" s="329"/>
    </row>
    <row r="86" spans="1:23" s="355" customFormat="1" thickTop="1">
      <c r="A86" s="357"/>
      <c r="D86" s="358"/>
      <c r="E86" s="359"/>
      <c r="F86" s="360"/>
      <c r="G86" s="359"/>
      <c r="H86" s="359"/>
      <c r="I86" s="359"/>
      <c r="M86" s="359"/>
      <c r="N86" s="359"/>
      <c r="O86" s="359"/>
      <c r="P86" s="308"/>
      <c r="Q86" s="359"/>
      <c r="R86" s="308"/>
      <c r="S86" s="359"/>
      <c r="T86" s="332"/>
      <c r="V86" s="340"/>
      <c r="W86" s="361"/>
    </row>
    <row r="87" spans="1:23" s="355" customFormat="1" ht="15">
      <c r="A87" s="362"/>
      <c r="B87" s="322"/>
      <c r="C87" s="322"/>
      <c r="D87" s="322"/>
      <c r="E87" s="335"/>
      <c r="F87" s="360"/>
      <c r="G87" s="359"/>
      <c r="H87" s="359"/>
      <c r="M87" s="359"/>
      <c r="N87" s="359"/>
      <c r="O87" s="359"/>
      <c r="P87" s="359"/>
      <c r="Q87" s="359"/>
      <c r="R87" s="308"/>
      <c r="S87" s="335"/>
      <c r="T87" s="332"/>
      <c r="V87" s="332"/>
      <c r="W87" s="361"/>
    </row>
    <row r="88" spans="1:23" s="355" customFormat="1" ht="15">
      <c r="A88" s="314">
        <f t="shared" ref="A88" ca="1" si="16">+MAX(OFFSET(A$1,0,0,ROW(A88)-ROW(A$1)))+1</f>
        <v>59</v>
      </c>
      <c r="B88" s="322" t="s">
        <v>128</v>
      </c>
      <c r="C88" s="322"/>
      <c r="D88" s="322"/>
      <c r="E88" s="335">
        <f>E63/E85</f>
        <v>7.9548521552837079E-2</v>
      </c>
      <c r="F88" s="360"/>
      <c r="G88" s="359"/>
      <c r="H88" s="359"/>
      <c r="M88" s="359"/>
      <c r="N88" s="359"/>
      <c r="O88" s="359"/>
      <c r="P88" s="359"/>
      <c r="Q88" s="359">
        <f>((Q85*'2) ROR'!F15)-'3.01) Attrition 2016 to 2018'!Q63)/'2) ROR'!N24</f>
        <v>0</v>
      </c>
      <c r="R88" s="308"/>
      <c r="S88" s="335">
        <f ca="1">S63/S85</f>
        <v>7.4828996823351007E-2</v>
      </c>
      <c r="T88" s="332"/>
      <c r="V88" s="332"/>
      <c r="W88" s="361"/>
    </row>
    <row r="89" spans="1:23" s="315" customFormat="1" ht="15">
      <c r="A89" s="341"/>
      <c r="D89" s="363"/>
      <c r="E89" s="364"/>
      <c r="I89" s="364"/>
      <c r="M89" s="364"/>
      <c r="N89" s="364"/>
      <c r="O89" s="364"/>
      <c r="P89" s="364"/>
      <c r="Q89" s="364"/>
      <c r="R89" s="364"/>
      <c r="T89" s="332"/>
      <c r="U89" s="355"/>
      <c r="V89" s="332"/>
      <c r="W89" s="308"/>
    </row>
    <row r="90" spans="1:23" s="317" customFormat="1" ht="15">
      <c r="A90" s="314">
        <f t="shared" ref="A90:A98" ca="1" si="17">+MAX(OFFSET(A$1,0,0,ROW(A90)-ROW(A$1)))+1</f>
        <v>60</v>
      </c>
      <c r="B90" s="407" t="s">
        <v>327</v>
      </c>
      <c r="C90" s="399"/>
      <c r="D90" s="399"/>
      <c r="E90" s="408"/>
      <c r="F90" s="399"/>
      <c r="G90" s="399"/>
      <c r="H90" s="399"/>
      <c r="I90" s="399"/>
      <c r="J90" s="399"/>
      <c r="K90" s="399"/>
      <c r="L90" s="399"/>
      <c r="M90" s="399"/>
      <c r="N90" s="399"/>
      <c r="O90" s="399"/>
      <c r="P90" s="399"/>
      <c r="Q90" s="399"/>
      <c r="R90" s="399"/>
      <c r="S90" s="409"/>
      <c r="U90" s="365"/>
      <c r="V90" s="332"/>
      <c r="W90" s="332"/>
    </row>
    <row r="91" spans="1:23" s="317" customFormat="1" ht="15">
      <c r="A91" s="314">
        <f t="shared" ca="1" si="17"/>
        <v>61</v>
      </c>
      <c r="B91" s="400" t="s">
        <v>88</v>
      </c>
      <c r="C91" s="308"/>
      <c r="D91" s="308"/>
      <c r="E91" s="374"/>
      <c r="F91" s="366"/>
      <c r="G91" s="366"/>
      <c r="H91" s="366"/>
      <c r="I91" s="366"/>
      <c r="J91" s="366"/>
      <c r="K91" s="366"/>
      <c r="L91" s="366"/>
      <c r="M91" s="366"/>
      <c r="N91" s="366"/>
      <c r="O91" s="366"/>
      <c r="P91" s="366"/>
      <c r="Q91" s="366"/>
      <c r="R91" s="366"/>
      <c r="S91" s="402">
        <f>'2) ROR'!F15</f>
        <v>7.0800000000000002E-2</v>
      </c>
      <c r="V91" s="332"/>
      <c r="W91" s="332"/>
    </row>
    <row r="92" spans="1:23" s="317" customFormat="1" ht="15">
      <c r="A92" s="314">
        <f t="shared" ca="1" si="17"/>
        <v>62</v>
      </c>
      <c r="B92" s="400" t="s">
        <v>89</v>
      </c>
      <c r="C92" s="308"/>
      <c r="D92" s="308"/>
      <c r="E92" s="360"/>
      <c r="F92" s="366"/>
      <c r="G92" s="366"/>
      <c r="H92" s="366"/>
      <c r="I92" s="366"/>
      <c r="J92" s="366"/>
      <c r="K92" s="366"/>
      <c r="L92" s="366"/>
      <c r="M92" s="366"/>
      <c r="N92" s="366"/>
      <c r="O92" s="366"/>
      <c r="P92" s="366"/>
      <c r="Q92" s="366"/>
      <c r="R92" s="366"/>
      <c r="S92" s="454">
        <f ca="1">S85*S91</f>
        <v>21196.599203803205</v>
      </c>
      <c r="U92" s="352"/>
      <c r="V92" s="333"/>
      <c r="W92" s="335"/>
    </row>
    <row r="93" spans="1:23" s="317" customFormat="1" ht="15">
      <c r="A93" s="314">
        <f t="shared" ca="1" si="17"/>
        <v>63</v>
      </c>
      <c r="B93" s="400" t="s">
        <v>90</v>
      </c>
      <c r="C93" s="308"/>
      <c r="D93" s="308"/>
      <c r="E93" s="328"/>
      <c r="F93" s="366"/>
      <c r="G93" s="366"/>
      <c r="H93" s="366"/>
      <c r="I93" s="366"/>
      <c r="J93" s="366"/>
      <c r="K93" s="366"/>
      <c r="L93" s="366"/>
      <c r="M93" s="366"/>
      <c r="N93" s="366"/>
      <c r="O93" s="366"/>
      <c r="P93" s="366"/>
      <c r="Q93" s="366"/>
      <c r="R93" s="366"/>
      <c r="S93" s="403">
        <f ca="1">S63</f>
        <v>22402.828453209528</v>
      </c>
      <c r="V93" s="332"/>
      <c r="W93" s="332"/>
    </row>
    <row r="94" spans="1:23" s="317" customFormat="1" ht="15">
      <c r="A94" s="314">
        <f t="shared" ca="1" si="17"/>
        <v>64</v>
      </c>
      <c r="B94" s="400" t="s">
        <v>91</v>
      </c>
      <c r="C94" s="308"/>
      <c r="D94" s="308"/>
      <c r="E94" s="360"/>
      <c r="F94" s="366"/>
      <c r="G94" s="366"/>
      <c r="H94" s="366"/>
      <c r="I94" s="366"/>
      <c r="J94" s="366"/>
      <c r="K94" s="366"/>
      <c r="L94" s="366"/>
      <c r="M94" s="366"/>
      <c r="N94" s="366"/>
      <c r="O94" s="366"/>
      <c r="P94" s="366"/>
      <c r="Q94" s="366"/>
      <c r="R94" s="366"/>
      <c r="S94" s="403">
        <f ca="1">S92-S93</f>
        <v>-1206.2292494063222</v>
      </c>
      <c r="V94" s="335"/>
      <c r="W94" s="332"/>
    </row>
    <row r="95" spans="1:23" s="317" customFormat="1" ht="15">
      <c r="A95" s="314">
        <f t="shared" ca="1" si="17"/>
        <v>65</v>
      </c>
      <c r="B95" s="400" t="s">
        <v>92</v>
      </c>
      <c r="C95" s="308"/>
      <c r="D95" s="308"/>
      <c r="E95" s="308"/>
      <c r="F95" s="366"/>
      <c r="G95" s="366"/>
      <c r="H95" s="366"/>
      <c r="I95" s="366"/>
      <c r="J95" s="366"/>
      <c r="K95" s="366"/>
      <c r="L95" s="366"/>
      <c r="M95" s="366"/>
      <c r="N95" s="366"/>
      <c r="O95" s="366"/>
      <c r="P95" s="366"/>
      <c r="Q95" s="366"/>
      <c r="R95" s="366"/>
      <c r="S95" s="401">
        <f>'2) ROR'!N24</f>
        <v>0.620645</v>
      </c>
      <c r="U95" s="342"/>
      <c r="V95" s="332"/>
      <c r="W95" s="332"/>
    </row>
    <row r="96" spans="1:23" s="317" customFormat="1" ht="15">
      <c r="A96" s="314">
        <f t="shared" ca="1" si="17"/>
        <v>66</v>
      </c>
      <c r="B96" s="400" t="s">
        <v>93</v>
      </c>
      <c r="C96" s="308"/>
      <c r="D96" s="308"/>
      <c r="E96" s="360"/>
      <c r="F96" s="366"/>
      <c r="G96" s="366"/>
      <c r="H96" s="366"/>
      <c r="I96" s="366"/>
      <c r="J96" s="366"/>
      <c r="K96" s="366"/>
      <c r="L96" s="366"/>
      <c r="M96" s="366"/>
      <c r="N96" s="366"/>
      <c r="O96" s="366"/>
      <c r="P96" s="366"/>
      <c r="Q96" s="366"/>
      <c r="R96" s="366"/>
      <c r="S96" s="403">
        <f ca="1">S94/S95</f>
        <v>-1943.5091709533183</v>
      </c>
      <c r="V96" s="332"/>
      <c r="W96" s="332"/>
    </row>
    <row r="97" spans="1:24" s="317" customFormat="1" ht="15">
      <c r="A97" s="314">
        <f t="shared" ca="1" si="17"/>
        <v>67</v>
      </c>
      <c r="B97" s="400" t="s">
        <v>94</v>
      </c>
      <c r="C97" s="308"/>
      <c r="D97" s="308"/>
      <c r="E97" s="380"/>
      <c r="F97" s="367"/>
      <c r="G97" s="367"/>
      <c r="H97" s="367"/>
      <c r="I97" s="367"/>
      <c r="J97" s="367"/>
      <c r="K97" s="367"/>
      <c r="L97" s="367"/>
      <c r="M97" s="367"/>
      <c r="N97" s="367"/>
      <c r="O97" s="367"/>
      <c r="P97" s="367"/>
      <c r="Q97" s="367"/>
      <c r="R97" s="367"/>
      <c r="S97" s="410">
        <f>(S10+S11)/(I10+I11-H10)</f>
        <v>1.0084</v>
      </c>
      <c r="U97" s="368"/>
      <c r="V97" s="332"/>
      <c r="W97" s="332"/>
      <c r="X97" s="332"/>
    </row>
    <row r="98" spans="1:24" s="317" customFormat="1" ht="15">
      <c r="A98" s="314">
        <f t="shared" ca="1" si="17"/>
        <v>68</v>
      </c>
      <c r="B98" s="404" t="s">
        <v>328</v>
      </c>
      <c r="C98" s="405"/>
      <c r="D98" s="405"/>
      <c r="E98" s="406"/>
      <c r="F98" s="369"/>
      <c r="G98" s="369"/>
      <c r="H98" s="369"/>
      <c r="I98" s="369"/>
      <c r="J98" s="369"/>
      <c r="K98" s="369"/>
      <c r="L98" s="369"/>
      <c r="M98" s="369"/>
      <c r="N98" s="369"/>
      <c r="O98" s="369"/>
      <c r="P98" s="369"/>
      <c r="Q98" s="369"/>
      <c r="R98" s="369"/>
      <c r="S98" s="434">
        <f ca="1">S96/S97</f>
        <v>-1927.3196855943261</v>
      </c>
      <c r="U98" s="332"/>
      <c r="V98" s="332"/>
      <c r="W98" s="332"/>
      <c r="X98" s="332"/>
    </row>
    <row r="99" spans="1:24" s="317" customFormat="1" ht="15">
      <c r="A99" s="362"/>
      <c r="E99" s="392"/>
      <c r="F99" s="315"/>
      <c r="U99" s="333"/>
      <c r="V99" s="333"/>
      <c r="W99" s="335"/>
      <c r="X99" s="332"/>
    </row>
    <row r="100" spans="1:24" ht="27"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298"/>
      <c r="V100" s="298"/>
      <c r="W100" s="298"/>
      <c r="X100" s="298"/>
    </row>
    <row r="101" spans="1:24">
      <c r="U101" s="298"/>
      <c r="V101" s="299"/>
      <c r="W101" s="298"/>
      <c r="X101" s="298"/>
    </row>
    <row r="102" spans="1:24">
      <c r="I102" s="302"/>
      <c r="J102" s="302"/>
      <c r="K102" s="302"/>
      <c r="L102" s="302"/>
      <c r="M102" s="302"/>
      <c r="N102" s="302"/>
      <c r="U102" s="298"/>
      <c r="V102" s="298"/>
      <c r="W102" s="298"/>
      <c r="X102" s="298"/>
    </row>
    <row r="103" spans="1:24">
      <c r="I103" s="302"/>
      <c r="J103" s="302"/>
      <c r="K103" s="302"/>
      <c r="L103" s="302"/>
      <c r="M103" s="302"/>
      <c r="N103" s="302"/>
      <c r="U103" s="298"/>
      <c r="V103" s="298"/>
      <c r="W103" s="298"/>
      <c r="X103" s="298"/>
    </row>
    <row r="104" spans="1:24">
      <c r="I104" s="302"/>
      <c r="J104" s="302"/>
      <c r="K104" s="302"/>
      <c r="L104" s="302"/>
      <c r="M104" s="302"/>
      <c r="N104" s="302"/>
    </row>
    <row r="105" spans="1:24">
      <c r="I105" s="302"/>
      <c r="J105" s="302"/>
      <c r="K105" s="302"/>
      <c r="L105" s="302"/>
      <c r="M105" s="302"/>
      <c r="N105" s="302"/>
    </row>
    <row r="106" spans="1:24">
      <c r="I106" s="302"/>
      <c r="J106" s="302"/>
      <c r="K106" s="302"/>
      <c r="L106" s="302"/>
      <c r="M106" s="302"/>
      <c r="N106" s="302"/>
    </row>
    <row r="107" spans="1:24">
      <c r="I107" s="302"/>
      <c r="J107" s="302"/>
      <c r="K107" s="302"/>
      <c r="L107" s="302"/>
      <c r="M107" s="302"/>
      <c r="N107" s="302"/>
    </row>
    <row r="108" spans="1:24">
      <c r="I108" s="302"/>
      <c r="J108" s="302"/>
      <c r="K108" s="302"/>
      <c r="L108" s="302"/>
      <c r="M108" s="302"/>
      <c r="N108" s="302"/>
    </row>
    <row r="109" spans="1:24">
      <c r="I109" s="302"/>
      <c r="J109" s="302"/>
      <c r="K109" s="302"/>
      <c r="L109" s="302"/>
      <c r="M109" s="302"/>
      <c r="N109" s="302"/>
    </row>
    <row r="193" spans="7:7">
      <c r="G193" s="301"/>
    </row>
    <row r="194" spans="7:7">
      <c r="G194" s="301"/>
    </row>
    <row r="195" spans="7:7">
      <c r="G195" s="301"/>
    </row>
    <row r="196" spans="7:7">
      <c r="G196" s="301"/>
    </row>
    <row r="197" spans="7:7">
      <c r="G197" s="301"/>
    </row>
    <row r="198" spans="7:7">
      <c r="G198" s="301"/>
    </row>
    <row r="199" spans="7:7">
      <c r="G199" s="301"/>
    </row>
    <row r="200" spans="7:7">
      <c r="G200" s="301"/>
    </row>
    <row r="201" spans="7:7">
      <c r="G201" s="301"/>
    </row>
    <row r="202" spans="7:7">
      <c r="G202" s="301"/>
    </row>
    <row r="203" spans="7:7">
      <c r="G203" s="301"/>
    </row>
    <row r="204" spans="7:7">
      <c r="G204" s="301"/>
    </row>
    <row r="205" spans="7:7">
      <c r="G205" s="301"/>
    </row>
    <row r="206" spans="7:7">
      <c r="G206" s="301"/>
    </row>
    <row r="207" spans="7:7">
      <c r="G207" s="301"/>
    </row>
  </sheetData>
  <mergeCells count="22">
    <mergeCell ref="S4:S7"/>
    <mergeCell ref="Q4:Q7"/>
    <mergeCell ref="O52:O55"/>
    <mergeCell ref="E52:E55"/>
    <mergeCell ref="F52:F55"/>
    <mergeCell ref="G52:G55"/>
    <mergeCell ref="H52:H55"/>
    <mergeCell ref="I52:I55"/>
    <mergeCell ref="K52:K55"/>
    <mergeCell ref="M52:M55"/>
    <mergeCell ref="N52:N55"/>
    <mergeCell ref="S52:S55"/>
    <mergeCell ref="Q52:Q55"/>
    <mergeCell ref="O4:O7"/>
    <mergeCell ref="E4:E7"/>
    <mergeCell ref="F4:F7"/>
    <mergeCell ref="N4:N7"/>
    <mergeCell ref="G4:G7"/>
    <mergeCell ref="H4:H7"/>
    <mergeCell ref="I4:I7"/>
    <mergeCell ref="M4:M7"/>
    <mergeCell ref="K3:K5"/>
  </mergeCells>
  <printOptions horizontalCentered="1" verticalCentered="1"/>
  <pageMargins left="0.7" right="0.7" top="0.25" bottom="0.25" header="0" footer="0"/>
  <pageSetup scale="70" orientation="landscape" r:id="rId1"/>
  <headerFooter scaleWithDoc="0"/>
  <rowBreaks count="1" manualBreakCount="1">
    <brk id="48"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A207"/>
  <sheetViews>
    <sheetView showGridLines="0" zoomScaleNormal="100" zoomScaleSheetLayoutView="70" workbookViewId="0"/>
  </sheetViews>
  <sheetFormatPr defaultColWidth="10.7109375" defaultRowHeight="15.75"/>
  <cols>
    <col min="1" max="1" width="5" style="300" customWidth="1"/>
    <col min="2" max="2" width="1.7109375" style="297" customWidth="1"/>
    <col min="3" max="3" width="35" style="297" customWidth="1"/>
    <col min="4" max="4" width="1.28515625" style="297" customWidth="1"/>
    <col min="5" max="5" width="12.85546875" style="301" customWidth="1"/>
    <col min="6" max="6" width="12.85546875" style="296" customWidth="1"/>
    <col min="7" max="7" width="12.85546875" style="297" customWidth="1"/>
    <col min="8" max="8" width="12.85546875" style="297" hidden="1" customWidth="1"/>
    <col min="9" max="9" width="12.85546875" style="297" customWidth="1"/>
    <col min="10" max="10" width="1.28515625" style="297" customWidth="1"/>
    <col min="11" max="11" width="12.85546875" style="297" customWidth="1"/>
    <col min="12" max="12" width="1.28515625" style="297" customWidth="1"/>
    <col min="13" max="15" width="12.85546875" style="297" customWidth="1"/>
    <col min="16" max="16" width="1.28515625" style="297" customWidth="1"/>
    <col min="17" max="17" width="12.85546875" style="297" hidden="1" customWidth="1"/>
    <col min="18" max="18" width="1.140625" style="297" hidden="1" customWidth="1"/>
    <col min="19" max="19" width="12.85546875" style="297" customWidth="1"/>
    <col min="20" max="16384" width="10.7109375" style="297"/>
  </cols>
  <sheetData>
    <row r="1" spans="1:19" s="411" customFormat="1" ht="18.75">
      <c r="A1" s="433" t="s">
        <v>377</v>
      </c>
      <c r="B1" s="433"/>
      <c r="C1" s="433"/>
      <c r="D1" s="433"/>
      <c r="E1" s="433"/>
      <c r="F1" s="433"/>
      <c r="G1" s="433"/>
      <c r="H1" s="433"/>
      <c r="I1" s="433"/>
      <c r="J1" s="433"/>
      <c r="K1" s="433"/>
      <c r="L1" s="433"/>
      <c r="M1" s="433"/>
      <c r="N1" s="433"/>
      <c r="O1" s="433"/>
      <c r="P1" s="433"/>
      <c r="Q1" s="433"/>
      <c r="R1" s="433"/>
      <c r="S1" s="433"/>
    </row>
    <row r="2" spans="1:19" s="308" customFormat="1" ht="17.25" customHeight="1">
      <c r="A2" s="370"/>
      <c r="B2" s="370"/>
      <c r="C2" s="370"/>
      <c r="D2" s="370"/>
      <c r="E2" s="380"/>
    </row>
    <row r="3" spans="1:19" s="387" customFormat="1" ht="17.25" customHeight="1">
      <c r="A3" s="381"/>
      <c r="B3" s="382"/>
      <c r="C3" s="383" t="s">
        <v>151</v>
      </c>
      <c r="D3" s="381"/>
      <c r="E3" s="384" t="s">
        <v>317</v>
      </c>
      <c r="F3" s="385"/>
      <c r="G3" s="385"/>
      <c r="H3" s="385"/>
      <c r="I3" s="386"/>
      <c r="K3" s="518" t="s">
        <v>321</v>
      </c>
      <c r="M3" s="388" t="s">
        <v>126</v>
      </c>
      <c r="N3" s="389"/>
      <c r="O3" s="390"/>
      <c r="P3" s="308"/>
      <c r="Q3" s="391" t="s">
        <v>320</v>
      </c>
      <c r="R3" s="308"/>
      <c r="S3" s="453" t="s">
        <v>258</v>
      </c>
    </row>
    <row r="4" spans="1:19" s="304" customFormat="1" ht="15" customHeight="1">
      <c r="A4" s="303"/>
      <c r="E4" s="526" t="s">
        <v>337</v>
      </c>
      <c r="F4" s="515" t="s">
        <v>264</v>
      </c>
      <c r="G4" s="515" t="s">
        <v>228</v>
      </c>
      <c r="H4" s="515" t="s">
        <v>263</v>
      </c>
      <c r="I4" s="517" t="s">
        <v>265</v>
      </c>
      <c r="K4" s="519"/>
      <c r="L4" s="305"/>
      <c r="M4" s="514" t="s">
        <v>318</v>
      </c>
      <c r="N4" s="514" t="s">
        <v>319</v>
      </c>
      <c r="O4" s="514" t="s">
        <v>220</v>
      </c>
      <c r="P4" s="308"/>
      <c r="Q4" s="521" t="s">
        <v>266</v>
      </c>
      <c r="R4" s="308"/>
      <c r="S4" s="521" t="s">
        <v>380</v>
      </c>
    </row>
    <row r="5" spans="1:19" s="309" customFormat="1" ht="15">
      <c r="A5" s="306"/>
      <c r="B5" s="307"/>
      <c r="C5" s="307"/>
      <c r="D5" s="308"/>
      <c r="E5" s="527"/>
      <c r="F5" s="528"/>
      <c r="G5" s="516"/>
      <c r="H5" s="516"/>
      <c r="I5" s="514"/>
      <c r="J5" s="307"/>
      <c r="K5" s="520"/>
      <c r="L5" s="305"/>
      <c r="M5" s="514"/>
      <c r="N5" s="514"/>
      <c r="O5" s="514"/>
      <c r="P5" s="308"/>
      <c r="Q5" s="524"/>
      <c r="R5" s="308"/>
      <c r="S5" s="522"/>
    </row>
    <row r="6" spans="1:19" s="309" customFormat="1" ht="15" customHeight="1">
      <c r="A6" s="310" t="s">
        <v>0</v>
      </c>
      <c r="B6" s="307"/>
      <c r="C6" s="307"/>
      <c r="D6" s="308"/>
      <c r="E6" s="527"/>
      <c r="F6" s="528"/>
      <c r="G6" s="516"/>
      <c r="H6" s="516"/>
      <c r="I6" s="514"/>
      <c r="J6" s="307"/>
      <c r="K6" s="501" t="s">
        <v>351</v>
      </c>
      <c r="L6" s="305"/>
      <c r="M6" s="514"/>
      <c r="N6" s="514"/>
      <c r="O6" s="514"/>
      <c r="P6" s="308"/>
      <c r="Q6" s="524"/>
      <c r="R6" s="308"/>
      <c r="S6" s="522"/>
    </row>
    <row r="7" spans="1:19" s="309" customFormat="1" ht="16.5" customHeight="1">
      <c r="A7" s="310" t="s">
        <v>350</v>
      </c>
      <c r="B7" s="311"/>
      <c r="C7" s="312" t="s">
        <v>3</v>
      </c>
      <c r="D7" s="311"/>
      <c r="E7" s="527"/>
      <c r="F7" s="528"/>
      <c r="G7" s="516"/>
      <c r="H7" s="516"/>
      <c r="I7" s="514"/>
      <c r="J7" s="307"/>
      <c r="K7" s="507">
        <v>3.33</v>
      </c>
      <c r="L7" s="305"/>
      <c r="M7" s="514"/>
      <c r="N7" s="514"/>
      <c r="O7" s="514"/>
      <c r="P7" s="308"/>
      <c r="Q7" s="525"/>
      <c r="R7" s="308"/>
      <c r="S7" s="523"/>
    </row>
    <row r="8" spans="1:19" s="309" customFormat="1" ht="15">
      <c r="A8" s="306"/>
      <c r="B8" s="307"/>
      <c r="C8" s="307"/>
      <c r="D8" s="307"/>
      <c r="E8" s="313" t="s">
        <v>174</v>
      </c>
      <c r="F8" s="313" t="s">
        <v>175</v>
      </c>
      <c r="G8" s="313" t="s">
        <v>176</v>
      </c>
      <c r="H8" s="313" t="s">
        <v>177</v>
      </c>
      <c r="I8" s="313" t="s">
        <v>178</v>
      </c>
      <c r="J8" s="307"/>
      <c r="K8" s="313" t="s">
        <v>179</v>
      </c>
      <c r="L8" s="313"/>
      <c r="M8" s="313" t="s">
        <v>180</v>
      </c>
      <c r="N8" s="313" t="s">
        <v>181</v>
      </c>
      <c r="O8" s="313" t="s">
        <v>182</v>
      </c>
      <c r="P8" s="308"/>
      <c r="Q8" s="313" t="s">
        <v>183</v>
      </c>
      <c r="R8" s="308"/>
      <c r="S8" s="313" t="s">
        <v>184</v>
      </c>
    </row>
    <row r="9" spans="1:19" s="317" customFormat="1" ht="15">
      <c r="A9" s="314">
        <f t="shared" ref="A9:A46" ca="1" si="0">+MAX(OFFSET(A$1,0,0,ROW(A9)-ROW(A$1)))+1</f>
        <v>1</v>
      </c>
      <c r="B9" s="315" t="s">
        <v>6</v>
      </c>
      <c r="C9" s="315"/>
      <c r="D9" s="315"/>
      <c r="E9" s="316"/>
      <c r="F9" s="315"/>
      <c r="G9" s="315"/>
      <c r="H9" s="315"/>
      <c r="I9" s="315"/>
      <c r="J9" s="315"/>
      <c r="K9" s="315"/>
      <c r="L9" s="315"/>
      <c r="M9" s="315"/>
      <c r="N9" s="315"/>
      <c r="O9" s="315"/>
      <c r="P9" s="308"/>
      <c r="Q9" s="315"/>
      <c r="R9" s="308"/>
      <c r="S9" s="315"/>
    </row>
    <row r="10" spans="1:19" s="322" customFormat="1" ht="15">
      <c r="A10" s="314">
        <f t="shared" ca="1" si="0"/>
        <v>2</v>
      </c>
      <c r="B10" s="318" t="s">
        <v>7</v>
      </c>
      <c r="C10" s="318"/>
      <c r="D10" s="318"/>
      <c r="E10" s="378">
        <f>+'[6]Exh. No. BGM 4 4'!X15</f>
        <v>150970</v>
      </c>
      <c r="F10" s="378">
        <v>0</v>
      </c>
      <c r="G10" s="378">
        <f>+'[6]Exh. No. BGM 4 4'!$AF$15</f>
        <v>-66671</v>
      </c>
      <c r="H10" s="378"/>
      <c r="I10" s="378">
        <f>SUM(E10:H10)</f>
        <v>84299</v>
      </c>
      <c r="J10" s="319"/>
      <c r="K10" s="330">
        <f>-'[8]Cost Trends'!$T$206/2.33*K7</f>
        <v>1.2005150214592274E-2</v>
      </c>
      <c r="L10" s="320"/>
      <c r="M10" s="378"/>
      <c r="N10" s="378">
        <f>I10+M10</f>
        <v>84299</v>
      </c>
      <c r="O10" s="378">
        <f>(N10)*K10</f>
        <v>1012.0221579399141</v>
      </c>
      <c r="P10" s="378"/>
      <c r="Q10" s="378"/>
      <c r="R10" s="378"/>
      <c r="S10" s="378">
        <f>SUM(N10:Q10)</f>
        <v>85311.022157939908</v>
      </c>
    </row>
    <row r="11" spans="1:19" s="317" customFormat="1" ht="15">
      <c r="A11" s="314">
        <f t="shared" ca="1" si="0"/>
        <v>3</v>
      </c>
      <c r="B11" s="323" t="s">
        <v>8</v>
      </c>
      <c r="C11" s="315"/>
      <c r="D11" s="323"/>
      <c r="E11" s="321">
        <f>+'[6]Exh. No. BGM 4 4'!X16</f>
        <v>4477</v>
      </c>
      <c r="F11" s="321">
        <v>0</v>
      </c>
      <c r="G11" s="321">
        <f>+'[6]Exh. No. BGM 4 4'!$AF$16</f>
        <v>56</v>
      </c>
      <c r="H11" s="321"/>
      <c r="I11" s="321">
        <f>SUM(E11:H11)</f>
        <v>4533</v>
      </c>
      <c r="J11" s="319"/>
      <c r="K11" s="330">
        <f>-'[8]Cost Trends'!$T$206/2.33*K7</f>
        <v>1.2005150214592274E-2</v>
      </c>
      <c r="L11" s="347"/>
      <c r="M11" s="321"/>
      <c r="N11" s="321">
        <f>I11+M11</f>
        <v>4533</v>
      </c>
      <c r="O11" s="321">
        <f>N11*K11</f>
        <v>54.419345922746778</v>
      </c>
      <c r="P11" s="328"/>
      <c r="Q11" s="321"/>
      <c r="R11" s="328"/>
      <c r="S11" s="321">
        <f>SUM(N11:Q11)</f>
        <v>4587.4193459227472</v>
      </c>
    </row>
    <row r="12" spans="1:19" s="317" customFormat="1" ht="15">
      <c r="A12" s="314">
        <f t="shared" ca="1" si="0"/>
        <v>4</v>
      </c>
      <c r="B12" s="323" t="s">
        <v>9</v>
      </c>
      <c r="C12" s="315"/>
      <c r="D12" s="323"/>
      <c r="E12" s="321">
        <f>+'[6]Exh. No. BGM 4 4'!X17</f>
        <v>1020</v>
      </c>
      <c r="F12" s="321">
        <v>0</v>
      </c>
      <c r="G12" s="321">
        <f>+'[6]Exh. No. BGM 4 4'!$AF$17</f>
        <v>-776</v>
      </c>
      <c r="H12" s="324"/>
      <c r="I12" s="321">
        <f>SUM(E12:H12)</f>
        <v>244</v>
      </c>
      <c r="J12" s="321"/>
      <c r="K12" s="325">
        <v>0</v>
      </c>
      <c r="L12" s="373"/>
      <c r="M12" s="324"/>
      <c r="N12" s="321">
        <f>I12+M12</f>
        <v>244</v>
      </c>
      <c r="O12" s="321">
        <f>N12*K12</f>
        <v>0</v>
      </c>
      <c r="P12" s="328"/>
      <c r="Q12" s="321"/>
      <c r="R12" s="328"/>
      <c r="S12" s="324">
        <f>SUM(N12:Q12)</f>
        <v>244</v>
      </c>
    </row>
    <row r="13" spans="1:19" s="317" customFormat="1" ht="15">
      <c r="A13" s="314">
        <f t="shared" ca="1" si="0"/>
        <v>5</v>
      </c>
      <c r="B13" s="315" t="s">
        <v>10</v>
      </c>
      <c r="C13" s="323"/>
      <c r="D13" s="323"/>
      <c r="E13" s="344">
        <f>SUM(E10:E12)</f>
        <v>156467</v>
      </c>
      <c r="F13" s="344">
        <f>SUM(F10:F12)</f>
        <v>0</v>
      </c>
      <c r="G13" s="344">
        <f>SUM(G10:G12)</f>
        <v>-67391</v>
      </c>
      <c r="H13" s="344">
        <f>SUM(H10:H12)</f>
        <v>0</v>
      </c>
      <c r="I13" s="344">
        <f>SUM(I10:I12)</f>
        <v>89076</v>
      </c>
      <c r="J13" s="315"/>
      <c r="K13" s="326"/>
      <c r="L13" s="351"/>
      <c r="M13" s="344">
        <f t="shared" ref="M13:S13" si="1">SUM(M10:M12)</f>
        <v>0</v>
      </c>
      <c r="N13" s="344">
        <f t="shared" si="1"/>
        <v>89076</v>
      </c>
      <c r="O13" s="344">
        <f t="shared" si="1"/>
        <v>1066.441503862661</v>
      </c>
      <c r="P13" s="328"/>
      <c r="Q13" s="344"/>
      <c r="R13" s="328"/>
      <c r="S13" s="344">
        <f t="shared" si="1"/>
        <v>90142.441503862661</v>
      </c>
    </row>
    <row r="14" spans="1:19" s="317" customFormat="1" ht="15">
      <c r="A14" s="306"/>
      <c r="B14" s="315"/>
      <c r="C14" s="323"/>
      <c r="D14" s="323"/>
      <c r="E14" s="321"/>
      <c r="F14" s="321"/>
      <c r="G14" s="321"/>
      <c r="H14" s="321"/>
      <c r="I14" s="321"/>
      <c r="J14" s="315"/>
      <c r="K14" s="326"/>
      <c r="L14" s="351"/>
      <c r="M14" s="321"/>
      <c r="N14" s="321"/>
      <c r="O14" s="321"/>
      <c r="P14" s="328"/>
      <c r="Q14" s="321"/>
      <c r="R14" s="328"/>
      <c r="S14" s="321"/>
    </row>
    <row r="15" spans="1:19" s="317" customFormat="1" ht="15">
      <c r="A15" s="314">
        <f t="shared" ca="1" si="0"/>
        <v>6</v>
      </c>
      <c r="B15" s="315" t="s">
        <v>11</v>
      </c>
      <c r="C15" s="323"/>
      <c r="D15" s="323"/>
      <c r="E15" s="321"/>
      <c r="F15" s="321"/>
      <c r="G15" s="321"/>
      <c r="H15" s="321"/>
      <c r="I15" s="321"/>
      <c r="J15" s="315"/>
      <c r="K15" s="326"/>
      <c r="L15" s="351"/>
      <c r="M15" s="321"/>
      <c r="N15" s="321"/>
      <c r="O15" s="321"/>
      <c r="P15" s="328"/>
      <c r="Q15" s="321"/>
      <c r="R15" s="328"/>
      <c r="S15" s="321"/>
    </row>
    <row r="16" spans="1:19" s="317" customFormat="1" ht="15">
      <c r="A16" s="314">
        <f t="shared" ca="1" si="0"/>
        <v>7</v>
      </c>
      <c r="B16" s="323" t="s">
        <v>51</v>
      </c>
      <c r="C16" s="315"/>
      <c r="D16" s="323"/>
      <c r="E16" s="321"/>
      <c r="F16" s="321"/>
      <c r="G16" s="321"/>
      <c r="H16" s="321"/>
      <c r="I16" s="321"/>
      <c r="J16" s="315"/>
      <c r="K16" s="326"/>
      <c r="L16" s="351"/>
      <c r="M16" s="321"/>
      <c r="N16" s="321"/>
      <c r="O16" s="321"/>
      <c r="P16" s="328"/>
      <c r="Q16" s="321"/>
      <c r="R16" s="328"/>
      <c r="S16" s="321"/>
    </row>
    <row r="17" spans="1:24" s="317" customFormat="1" ht="15">
      <c r="A17" s="314">
        <f t="shared" ca="1" si="0"/>
        <v>8</v>
      </c>
      <c r="B17" s="315"/>
      <c r="C17" s="323" t="s">
        <v>12</v>
      </c>
      <c r="D17" s="323"/>
      <c r="E17" s="321">
        <f>+'[6]Exh. No. BGM 4 4'!X22</f>
        <v>63460</v>
      </c>
      <c r="F17" s="321">
        <v>0</v>
      </c>
      <c r="G17" s="321">
        <f>+'[6]Exh. No. BGM 4 4'!$AF$22</f>
        <v>-63460</v>
      </c>
      <c r="H17" s="321"/>
      <c r="I17" s="321">
        <f>SUM(E17:H17)</f>
        <v>0</v>
      </c>
      <c r="J17" s="315"/>
      <c r="K17" s="327"/>
      <c r="L17" s="371"/>
      <c r="M17" s="321"/>
      <c r="N17" s="321">
        <f>I17+M17</f>
        <v>0</v>
      </c>
      <c r="O17" s="328"/>
      <c r="P17" s="328"/>
      <c r="Q17" s="321"/>
      <c r="R17" s="328"/>
      <c r="S17" s="376">
        <f>SUM(N17:Q17)</f>
        <v>0</v>
      </c>
    </row>
    <row r="18" spans="1:24" s="317" customFormat="1" ht="15">
      <c r="A18" s="314">
        <f t="shared" ca="1" si="0"/>
        <v>9</v>
      </c>
      <c r="B18" s="315"/>
      <c r="C18" s="323" t="s">
        <v>13</v>
      </c>
      <c r="D18" s="323"/>
      <c r="E18" s="321">
        <f>+'[6]Exh. No. BGM 4 4'!X23</f>
        <v>994</v>
      </c>
      <c r="F18" s="321">
        <v>0</v>
      </c>
      <c r="G18" s="321">
        <v>0</v>
      </c>
      <c r="H18" s="321" t="s">
        <v>261</v>
      </c>
      <c r="I18" s="321">
        <f>SUM(E18:H18)</f>
        <v>994</v>
      </c>
      <c r="J18" s="319"/>
      <c r="K18" s="330">
        <f ca="1">+'4.01'!$B$23*$K$7</f>
        <v>4.6953000000000002E-2</v>
      </c>
      <c r="L18" s="347"/>
      <c r="M18" s="321">
        <f ca="1">I18*K18</f>
        <v>46.671282000000005</v>
      </c>
      <c r="N18" s="321">
        <f ca="1">I18+M18</f>
        <v>1040.671282</v>
      </c>
      <c r="O18" s="321"/>
      <c r="P18" s="328"/>
      <c r="Q18" s="321"/>
      <c r="R18" s="328"/>
      <c r="S18" s="376">
        <f ca="1">SUM(N18:Q18)</f>
        <v>1040.671282</v>
      </c>
    </row>
    <row r="19" spans="1:24" s="317" customFormat="1" ht="15">
      <c r="A19" s="314">
        <f t="shared" ca="1" si="0"/>
        <v>10</v>
      </c>
      <c r="B19" s="315"/>
      <c r="C19" s="323" t="s">
        <v>14</v>
      </c>
      <c r="D19" s="323"/>
      <c r="E19" s="324">
        <f>+'[6]Exh. No. BGM 4 4'!X24</f>
        <v>0</v>
      </c>
      <c r="F19" s="321">
        <v>0</v>
      </c>
      <c r="G19" s="321">
        <v>0</v>
      </c>
      <c r="H19" s="324"/>
      <c r="I19" s="321">
        <f>SUM(E19:H19)</f>
        <v>0</v>
      </c>
      <c r="J19" s="321"/>
      <c r="K19" s="331"/>
      <c r="L19" s="372"/>
      <c r="M19" s="324">
        <f>I19*K19</f>
        <v>0</v>
      </c>
      <c r="N19" s="321">
        <f>I19+M19</f>
        <v>0</v>
      </c>
      <c r="O19" s="324"/>
      <c r="P19" s="328"/>
      <c r="Q19" s="328"/>
      <c r="R19" s="328"/>
      <c r="S19" s="376">
        <f>SUM(N19:Q19)</f>
        <v>0</v>
      </c>
      <c r="U19" s="332"/>
      <c r="V19" s="332"/>
      <c r="W19" s="332"/>
      <c r="X19" s="332"/>
    </row>
    <row r="20" spans="1:24" s="317" customFormat="1" ht="15">
      <c r="A20" s="314">
        <f t="shared" ca="1" si="0"/>
        <v>11</v>
      </c>
      <c r="B20" s="323" t="s">
        <v>15</v>
      </c>
      <c r="C20" s="323"/>
      <c r="D20" s="315"/>
      <c r="E20" s="344">
        <f>SUM(E17:E19)</f>
        <v>64454</v>
      </c>
      <c r="F20" s="344">
        <f>SUM(F17:F19)</f>
        <v>0</v>
      </c>
      <c r="G20" s="344">
        <f>SUM(G17:G19)</f>
        <v>-63460</v>
      </c>
      <c r="H20" s="344">
        <f>SUM(H17:H19)</f>
        <v>0</v>
      </c>
      <c r="I20" s="344">
        <f>SUM(I17:I19)</f>
        <v>994</v>
      </c>
      <c r="J20" s="315"/>
      <c r="K20" s="326"/>
      <c r="L20" s="351"/>
      <c r="M20" s="344">
        <f t="shared" ref="M20:S20" ca="1" si="2">SUM(M17:M19)</f>
        <v>46.671282000000005</v>
      </c>
      <c r="N20" s="344">
        <f t="shared" ca="1" si="2"/>
        <v>1040.671282</v>
      </c>
      <c r="O20" s="344">
        <f t="shared" si="2"/>
        <v>0</v>
      </c>
      <c r="P20" s="328"/>
      <c r="Q20" s="344"/>
      <c r="R20" s="328"/>
      <c r="S20" s="344">
        <f t="shared" ca="1" si="2"/>
        <v>1040.671282</v>
      </c>
      <c r="U20" s="332"/>
      <c r="V20" s="332"/>
      <c r="W20" s="332"/>
      <c r="X20" s="332"/>
    </row>
    <row r="21" spans="1:24" s="317" customFormat="1" ht="15">
      <c r="A21" s="306"/>
      <c r="B21" s="323"/>
      <c r="C21" s="323"/>
      <c r="D21" s="315"/>
      <c r="E21" s="321"/>
      <c r="F21" s="321"/>
      <c r="G21" s="321"/>
      <c r="H21" s="321"/>
      <c r="I21" s="321"/>
      <c r="J21" s="315"/>
      <c r="K21" s="326"/>
      <c r="L21" s="351"/>
      <c r="M21" s="321"/>
      <c r="N21" s="321"/>
      <c r="O21" s="321"/>
      <c r="P21" s="328"/>
      <c r="Q21" s="321"/>
      <c r="R21" s="328"/>
      <c r="S21" s="321"/>
      <c r="U21" s="332"/>
      <c r="V21" s="332"/>
      <c r="W21" s="332"/>
      <c r="X21" s="332"/>
    </row>
    <row r="22" spans="1:24" s="317" customFormat="1" ht="15">
      <c r="A22" s="314">
        <f t="shared" ca="1" si="0"/>
        <v>12</v>
      </c>
      <c r="B22" s="323" t="s">
        <v>16</v>
      </c>
      <c r="C22" s="315"/>
      <c r="D22" s="323"/>
      <c r="E22" s="321"/>
      <c r="F22" s="321"/>
      <c r="G22" s="321"/>
      <c r="H22" s="321"/>
      <c r="I22" s="321"/>
      <c r="J22" s="315"/>
      <c r="K22" s="326"/>
      <c r="L22" s="351"/>
      <c r="M22" s="321"/>
      <c r="N22" s="321"/>
      <c r="O22" s="321"/>
      <c r="P22" s="328"/>
      <c r="Q22" s="321"/>
      <c r="R22" s="328"/>
      <c r="S22" s="321"/>
      <c r="U22" s="332"/>
      <c r="V22" s="332"/>
      <c r="W22" s="332"/>
      <c r="X22" s="332"/>
    </row>
    <row r="23" spans="1:24" s="317" customFormat="1" ht="15">
      <c r="A23" s="314">
        <f t="shared" ca="1" si="0"/>
        <v>13</v>
      </c>
      <c r="B23" s="315"/>
      <c r="C23" s="323" t="s">
        <v>17</v>
      </c>
      <c r="D23" s="323"/>
      <c r="E23" s="321">
        <f>+'[6]Exh. No. BGM 4 4'!X28</f>
        <v>974</v>
      </c>
      <c r="F23" s="321">
        <v>0</v>
      </c>
      <c r="G23" s="321">
        <v>0</v>
      </c>
      <c r="H23" s="321"/>
      <c r="I23" s="321">
        <f>SUM(E23:H23)</f>
        <v>974</v>
      </c>
      <c r="J23" s="319"/>
      <c r="K23" s="330">
        <f ca="1">+'4.02'!B22*$K$7*'2) ROR'!$D$47</f>
        <v>0</v>
      </c>
      <c r="L23" s="347"/>
      <c r="M23" s="321">
        <f ca="1">I23*K23</f>
        <v>0</v>
      </c>
      <c r="N23" s="321">
        <f ca="1">I23+M23</f>
        <v>974</v>
      </c>
      <c r="O23" s="321"/>
      <c r="P23" s="328"/>
      <c r="Q23" s="321"/>
      <c r="R23" s="328"/>
      <c r="S23" s="376">
        <f ca="1">SUM(N23:Q23)</f>
        <v>974</v>
      </c>
      <c r="U23" s="333"/>
      <c r="V23" s="332"/>
      <c r="W23" s="332"/>
      <c r="X23" s="332"/>
    </row>
    <row r="24" spans="1:24" s="317" customFormat="1" ht="15">
      <c r="A24" s="314">
        <f t="shared" ca="1" si="0"/>
        <v>14</v>
      </c>
      <c r="B24" s="315"/>
      <c r="C24" s="323" t="s">
        <v>47</v>
      </c>
      <c r="D24" s="323"/>
      <c r="E24" s="321">
        <f>+'[6]Exh. No. BGM 4 4'!X29</f>
        <v>492</v>
      </c>
      <c r="F24" s="321">
        <v>0</v>
      </c>
      <c r="G24" s="321">
        <v>0</v>
      </c>
      <c r="H24" s="334">
        <v>0</v>
      </c>
      <c r="I24" s="321">
        <f>SUM(E24:H24)</f>
        <v>492</v>
      </c>
      <c r="J24" s="319"/>
      <c r="K24" s="330">
        <f ca="1">+'4.03'!$B$22*$K$7*'2) ROR'!$D$47</f>
        <v>0</v>
      </c>
      <c r="L24" s="347"/>
      <c r="M24" s="321">
        <f ca="1">I24*K24</f>
        <v>0</v>
      </c>
      <c r="N24" s="321">
        <f ca="1">I24+M24</f>
        <v>492</v>
      </c>
      <c r="O24" s="321"/>
      <c r="P24" s="328"/>
      <c r="Q24" s="321"/>
      <c r="R24" s="328"/>
      <c r="S24" s="376">
        <f ca="1">SUM(N24:Q24)</f>
        <v>492</v>
      </c>
      <c r="U24" s="333"/>
      <c r="V24" s="332"/>
      <c r="W24" s="332"/>
      <c r="X24" s="332"/>
    </row>
    <row r="25" spans="1:24" s="317" customFormat="1" ht="15">
      <c r="A25" s="314">
        <f t="shared" ca="1" si="0"/>
        <v>15</v>
      </c>
      <c r="B25" s="315"/>
      <c r="C25" s="323" t="s">
        <v>4</v>
      </c>
      <c r="D25" s="323"/>
      <c r="E25" s="324">
        <f>+'[6]Exh. No. BGM 4 4'!X30</f>
        <v>210</v>
      </c>
      <c r="F25" s="321">
        <v>0</v>
      </c>
      <c r="G25" s="321">
        <v>0</v>
      </c>
      <c r="H25" s="324"/>
      <c r="I25" s="321">
        <f>SUM(E25:H25)</f>
        <v>210</v>
      </c>
      <c r="J25" s="319"/>
      <c r="K25" s="330">
        <f ca="1">+'4.04'!B22*$K$7</f>
        <v>8.8578000000000004E-2</v>
      </c>
      <c r="L25" s="347"/>
      <c r="M25" s="324">
        <f ca="1">I25*K25</f>
        <v>18.601380000000002</v>
      </c>
      <c r="N25" s="321">
        <f ca="1">I25+M25</f>
        <v>228.60138000000001</v>
      </c>
      <c r="O25" s="324"/>
      <c r="P25" s="328"/>
      <c r="Q25" s="328"/>
      <c r="R25" s="328"/>
      <c r="S25" s="377">
        <f ca="1">SUM(N25:Q25)</f>
        <v>228.60138000000001</v>
      </c>
      <c r="U25" s="333"/>
      <c r="V25" s="332"/>
      <c r="W25" s="332"/>
      <c r="X25" s="332"/>
    </row>
    <row r="26" spans="1:24" s="317" customFormat="1" ht="15">
      <c r="A26" s="314">
        <f t="shared" ca="1" si="0"/>
        <v>16</v>
      </c>
      <c r="B26" s="323" t="s">
        <v>18</v>
      </c>
      <c r="C26" s="323"/>
      <c r="D26" s="315"/>
      <c r="E26" s="344">
        <f>SUM(E23:E25)</f>
        <v>1676</v>
      </c>
      <c r="F26" s="344">
        <f>SUM(F23:F25)</f>
        <v>0</v>
      </c>
      <c r="G26" s="344">
        <f>SUM(G23:G25)</f>
        <v>0</v>
      </c>
      <c r="H26" s="344">
        <f>SUM(H23:H25)</f>
        <v>0</v>
      </c>
      <c r="I26" s="344">
        <f>SUM(I23:I25)</f>
        <v>1676</v>
      </c>
      <c r="J26" s="315"/>
      <c r="K26" s="326"/>
      <c r="L26" s="351"/>
      <c r="M26" s="344">
        <f t="shared" ref="M26:S26" ca="1" si="3">SUM(M23:M25)</f>
        <v>18.601380000000002</v>
      </c>
      <c r="N26" s="344">
        <f t="shared" ca="1" si="3"/>
        <v>1694.6013800000001</v>
      </c>
      <c r="O26" s="344">
        <f t="shared" si="3"/>
        <v>0</v>
      </c>
      <c r="P26" s="328"/>
      <c r="Q26" s="344"/>
      <c r="R26" s="328"/>
      <c r="S26" s="344">
        <f t="shared" ca="1" si="3"/>
        <v>1694.6013800000001</v>
      </c>
      <c r="U26" s="333"/>
      <c r="V26" s="332"/>
      <c r="W26" s="332"/>
      <c r="X26" s="332"/>
    </row>
    <row r="27" spans="1:24" s="317" customFormat="1" ht="15">
      <c r="A27" s="306"/>
      <c r="B27" s="323"/>
      <c r="C27" s="323"/>
      <c r="D27" s="315"/>
      <c r="E27" s="321"/>
      <c r="F27" s="321"/>
      <c r="G27" s="321"/>
      <c r="H27" s="321"/>
      <c r="I27" s="321"/>
      <c r="J27" s="315"/>
      <c r="K27" s="326"/>
      <c r="L27" s="351"/>
      <c r="M27" s="321"/>
      <c r="N27" s="321"/>
      <c r="O27" s="321"/>
      <c r="P27" s="328"/>
      <c r="Q27" s="321"/>
      <c r="R27" s="328"/>
      <c r="S27" s="321"/>
      <c r="U27" s="332"/>
      <c r="V27" s="335"/>
      <c r="W27" s="332"/>
      <c r="X27" s="332"/>
    </row>
    <row r="28" spans="1:24" s="317" customFormat="1" ht="15">
      <c r="A28" s="314">
        <f t="shared" ca="1" si="0"/>
        <v>17</v>
      </c>
      <c r="B28" s="323" t="s">
        <v>19</v>
      </c>
      <c r="C28" s="315"/>
      <c r="D28" s="323"/>
      <c r="E28" s="321"/>
      <c r="F28" s="321"/>
      <c r="G28" s="321"/>
      <c r="H28" s="321"/>
      <c r="I28" s="321"/>
      <c r="J28" s="315"/>
      <c r="K28" s="326"/>
      <c r="L28" s="351"/>
      <c r="M28" s="321"/>
      <c r="N28" s="321"/>
      <c r="O28" s="321"/>
      <c r="P28" s="328"/>
      <c r="Q28" s="321"/>
      <c r="R28" s="328"/>
      <c r="S28" s="321"/>
      <c r="U28" s="332"/>
      <c r="V28" s="332"/>
      <c r="W28" s="332"/>
      <c r="X28" s="332"/>
    </row>
    <row r="29" spans="1:24" s="317" customFormat="1" ht="15">
      <c r="A29" s="314">
        <f t="shared" ca="1" si="0"/>
        <v>18</v>
      </c>
      <c r="B29" s="315"/>
      <c r="C29" s="323" t="s">
        <v>17</v>
      </c>
      <c r="D29" s="333"/>
      <c r="E29" s="321">
        <f>+'[6]Exh. No. BGM 4 4'!X34</f>
        <v>12050</v>
      </c>
      <c r="F29" s="321">
        <v>0</v>
      </c>
      <c r="G29" s="321">
        <v>0</v>
      </c>
      <c r="H29" s="321"/>
      <c r="I29" s="321">
        <f>SUM(E29:H29)</f>
        <v>12050</v>
      </c>
      <c r="J29" s="319"/>
      <c r="K29" s="330">
        <f ca="1">+'4.05'!B22*$K$7*'2) ROR'!$D$47</f>
        <v>0</v>
      </c>
      <c r="L29" s="347"/>
      <c r="M29" s="321">
        <f ca="1">I29*K29</f>
        <v>0</v>
      </c>
      <c r="N29" s="321">
        <f ca="1">I29+M29</f>
        <v>12050</v>
      </c>
      <c r="O29" s="321"/>
      <c r="P29" s="328"/>
      <c r="Q29" s="321"/>
      <c r="R29" s="328"/>
      <c r="S29" s="376">
        <f ca="1">SUM(N29:Q29)</f>
        <v>12050</v>
      </c>
      <c r="U29" s="332"/>
      <c r="V29" s="332"/>
      <c r="W29" s="332"/>
      <c r="X29" s="332"/>
    </row>
    <row r="30" spans="1:24" s="317" customFormat="1" ht="15">
      <c r="A30" s="314">
        <f t="shared" ca="1" si="0"/>
        <v>19</v>
      </c>
      <c r="B30" s="315"/>
      <c r="C30" s="323" t="s">
        <v>47</v>
      </c>
      <c r="D30" s="323"/>
      <c r="E30" s="321">
        <f>+'[6]Exh. No. BGM 4 4'!X35</f>
        <v>9853</v>
      </c>
      <c r="F30" s="321">
        <v>0</v>
      </c>
      <c r="G30" s="321">
        <v>0</v>
      </c>
      <c r="H30" s="334">
        <v>0</v>
      </c>
      <c r="I30" s="321">
        <f>SUM(E30:H30)</f>
        <v>9853</v>
      </c>
      <c r="J30" s="319"/>
      <c r="K30" s="330">
        <f ca="1">+'4.06'!B22*$K$7*'2) ROR'!$D$47</f>
        <v>0</v>
      </c>
      <c r="L30" s="347"/>
      <c r="M30" s="321">
        <f ca="1">I30*K30</f>
        <v>0</v>
      </c>
      <c r="N30" s="321">
        <f ca="1">I30+M30</f>
        <v>9853</v>
      </c>
      <c r="O30" s="321"/>
      <c r="P30" s="328"/>
      <c r="Q30" s="336">
        <v>0</v>
      </c>
      <c r="R30" s="328"/>
      <c r="S30" s="376">
        <f ca="1">SUM(N30:Q30)</f>
        <v>9853</v>
      </c>
      <c r="U30" s="337"/>
      <c r="V30" s="332"/>
      <c r="W30" s="332"/>
      <c r="X30" s="332"/>
    </row>
    <row r="31" spans="1:24" s="317" customFormat="1" ht="15">
      <c r="A31" s="314">
        <f t="shared" ca="1" si="0"/>
        <v>20</v>
      </c>
      <c r="B31" s="315"/>
      <c r="C31" s="323" t="s">
        <v>4</v>
      </c>
      <c r="D31" s="323"/>
      <c r="E31" s="321">
        <f>+'[6]Exh. No. BGM 4 4'!X36</f>
        <v>8383</v>
      </c>
      <c r="F31" s="321">
        <v>0</v>
      </c>
      <c r="G31" s="321">
        <f>+'[6]Exh. No. BGM 4 4'!$AF$36</f>
        <v>-2554</v>
      </c>
      <c r="H31" s="321"/>
      <c r="I31" s="321">
        <f>SUM(E31:H31)</f>
        <v>5829</v>
      </c>
      <c r="J31" s="319"/>
      <c r="K31" s="330">
        <f ca="1">+'4.07'!B23*$K$7</f>
        <v>9.9567000000000003E-2</v>
      </c>
      <c r="L31" s="347"/>
      <c r="M31" s="324">
        <f ca="1">I31*K31</f>
        <v>580.37604299999998</v>
      </c>
      <c r="N31" s="321">
        <f ca="1">I31+M31</f>
        <v>6409.3760430000002</v>
      </c>
      <c r="O31" s="321">
        <f>ROUND((O$10+O$11)*'2) ROR'!$N$16,0)</f>
        <v>41</v>
      </c>
      <c r="P31" s="328"/>
      <c r="Q31" s="321"/>
      <c r="R31" s="328"/>
      <c r="S31" s="377">
        <f ca="1">SUM(N31:Q31)</f>
        <v>6450.3760430000002</v>
      </c>
      <c r="U31" s="332"/>
      <c r="V31" s="332"/>
      <c r="W31" s="332"/>
      <c r="X31" s="332"/>
    </row>
    <row r="32" spans="1:24" s="317" customFormat="1" ht="15">
      <c r="A32" s="314">
        <f t="shared" ca="1" si="0"/>
        <v>21</v>
      </c>
      <c r="B32" s="323" t="s">
        <v>20</v>
      </c>
      <c r="C32" s="338"/>
      <c r="D32" s="315"/>
      <c r="E32" s="344">
        <f>SUM(E29:E31)</f>
        <v>30286</v>
      </c>
      <c r="F32" s="344">
        <f>SUM(F29:F31)</f>
        <v>0</v>
      </c>
      <c r="G32" s="344">
        <f>SUM(G29:G31)</f>
        <v>-2554</v>
      </c>
      <c r="H32" s="344">
        <f>SUM(H29:H31)</f>
        <v>0</v>
      </c>
      <c r="I32" s="344">
        <f>SUM(I29:I31)</f>
        <v>27732</v>
      </c>
      <c r="J32" s="315"/>
      <c r="K32" s="326"/>
      <c r="L32" s="351"/>
      <c r="M32" s="344">
        <f t="shared" ref="M32:Q32" ca="1" si="4">SUM(M29:M31)</f>
        <v>580.37604299999998</v>
      </c>
      <c r="N32" s="344">
        <f t="shared" ca="1" si="4"/>
        <v>28312.376043</v>
      </c>
      <c r="O32" s="344">
        <f t="shared" si="4"/>
        <v>41</v>
      </c>
      <c r="P32" s="328"/>
      <c r="Q32" s="344">
        <f t="shared" si="4"/>
        <v>0</v>
      </c>
      <c r="R32" s="328"/>
      <c r="S32" s="344">
        <f ca="1">SUM(S29:S31)</f>
        <v>28353.376043</v>
      </c>
      <c r="U32" s="333"/>
      <c r="V32" s="339"/>
      <c r="W32" s="335"/>
      <c r="X32" s="340"/>
    </row>
    <row r="33" spans="1:27" s="317" customFormat="1" ht="15">
      <c r="A33" s="341"/>
      <c r="B33" s="315"/>
      <c r="C33" s="323"/>
      <c r="D33" s="323"/>
      <c r="E33" s="321"/>
      <c r="F33" s="321"/>
      <c r="G33" s="321"/>
      <c r="H33" s="321"/>
      <c r="I33" s="321"/>
      <c r="J33" s="315"/>
      <c r="K33" s="326"/>
      <c r="L33" s="351"/>
      <c r="M33" s="321"/>
      <c r="N33" s="321"/>
      <c r="O33" s="321"/>
      <c r="P33" s="328"/>
      <c r="Q33" s="321"/>
      <c r="R33" s="328"/>
      <c r="S33" s="321"/>
      <c r="U33" s="332"/>
      <c r="V33" s="332"/>
      <c r="W33" s="332"/>
      <c r="X33" s="332"/>
    </row>
    <row r="34" spans="1:27" s="317" customFormat="1" ht="15">
      <c r="A34" s="314">
        <f t="shared" ca="1" si="0"/>
        <v>22</v>
      </c>
      <c r="B34" s="315" t="s">
        <v>21</v>
      </c>
      <c r="C34" s="323"/>
      <c r="D34" s="323"/>
      <c r="E34" s="321">
        <f>+'[6]Exh. No. BGM 4 4'!X39</f>
        <v>6812</v>
      </c>
      <c r="F34" s="321">
        <v>0</v>
      </c>
      <c r="G34" s="321">
        <f>+'[6]Exh. No. BGM 4 4'!$AF$39</f>
        <v>-322</v>
      </c>
      <c r="H34" s="321"/>
      <c r="I34" s="321">
        <f>SUM(E34:H34)</f>
        <v>6490</v>
      </c>
      <c r="J34" s="319"/>
      <c r="K34" s="330">
        <f ca="1">+'4.08'!B23*$K$7</f>
        <v>9.6570000000000003E-2</v>
      </c>
      <c r="L34" s="347"/>
      <c r="M34" s="321">
        <f ca="1">I34*K34</f>
        <v>626.73930000000007</v>
      </c>
      <c r="N34" s="321">
        <f ca="1">I34+M34</f>
        <v>7116.7393000000002</v>
      </c>
      <c r="O34" s="321">
        <f>ROUND((O$10+O$11)*'2) ROR'!$N$12,0)</f>
        <v>5</v>
      </c>
      <c r="P34" s="328"/>
      <c r="Q34" s="321"/>
      <c r="R34" s="328"/>
      <c r="S34" s="376">
        <f ca="1">SUM(N34:Q34)</f>
        <v>7121.7393000000002</v>
      </c>
      <c r="U34" s="332"/>
      <c r="V34" s="335"/>
      <c r="W34" s="332"/>
      <c r="X34" s="332"/>
    </row>
    <row r="35" spans="1:27" s="317" customFormat="1" ht="15">
      <c r="A35" s="314">
        <f t="shared" ca="1" si="0"/>
        <v>23</v>
      </c>
      <c r="B35" s="315" t="s">
        <v>22</v>
      </c>
      <c r="C35" s="323"/>
      <c r="D35" s="323"/>
      <c r="E35" s="321">
        <f>+'[6]Exh. No. BGM 4 4'!X40</f>
        <v>963</v>
      </c>
      <c r="F35" s="321">
        <v>0</v>
      </c>
      <c r="G35" s="321">
        <v>0</v>
      </c>
      <c r="H35" s="321"/>
      <c r="I35" s="321">
        <f>SUM(E35:H35)</f>
        <v>963</v>
      </c>
      <c r="J35" s="319"/>
      <c r="K35" s="330">
        <f ca="1">+'4.09'!B23*$K$7</f>
        <v>9.9899999999999989E-4</v>
      </c>
      <c r="L35" s="347"/>
      <c r="M35" s="321">
        <f ca="1">I35*K35</f>
        <v>0.96203699999999992</v>
      </c>
      <c r="N35" s="321">
        <f ca="1">I35+M35</f>
        <v>963.96203700000001</v>
      </c>
      <c r="O35" s="321"/>
      <c r="P35" s="328"/>
      <c r="Q35" s="321"/>
      <c r="R35" s="328"/>
      <c r="S35" s="376">
        <f ca="1">SUM(N35:Q35)</f>
        <v>963.96203700000001</v>
      </c>
      <c r="U35" s="342"/>
    </row>
    <row r="36" spans="1:27" s="317" customFormat="1" ht="15">
      <c r="A36" s="314">
        <f t="shared" ca="1" si="0"/>
        <v>24</v>
      </c>
      <c r="B36" s="315" t="s">
        <v>23</v>
      </c>
      <c r="C36" s="323"/>
      <c r="D36" s="323"/>
      <c r="E36" s="321">
        <f>+'[6]Exh. No. BGM 4 4'!X41</f>
        <v>0</v>
      </c>
      <c r="F36" s="321">
        <v>0</v>
      </c>
      <c r="G36" s="321">
        <v>0</v>
      </c>
      <c r="H36" s="321"/>
      <c r="I36" s="321">
        <f>SUM(E36:H36)</f>
        <v>0</v>
      </c>
      <c r="J36" s="319"/>
      <c r="K36" s="326"/>
      <c r="L36" s="347"/>
      <c r="M36" s="321">
        <f>I36*K36</f>
        <v>0</v>
      </c>
      <c r="N36" s="321">
        <f>I36+M36</f>
        <v>0</v>
      </c>
      <c r="O36" s="321"/>
      <c r="P36" s="328"/>
      <c r="Q36" s="321"/>
      <c r="R36" s="328"/>
      <c r="S36" s="376">
        <f>SUM(N36:Q36)</f>
        <v>0</v>
      </c>
      <c r="U36" s="337"/>
      <c r="V36" s="332"/>
      <c r="W36" s="332"/>
    </row>
    <row r="37" spans="1:27" s="317" customFormat="1" ht="15">
      <c r="A37" s="341"/>
      <c r="B37" s="315"/>
      <c r="C37" s="323"/>
      <c r="D37" s="323"/>
      <c r="E37" s="321"/>
      <c r="F37" s="321"/>
      <c r="G37" s="321"/>
      <c r="H37" s="321"/>
      <c r="I37" s="321"/>
      <c r="J37" s="315"/>
      <c r="K37" s="326"/>
      <c r="L37" s="351"/>
      <c r="M37" s="321"/>
      <c r="N37" s="321"/>
      <c r="O37" s="321"/>
      <c r="P37" s="328"/>
      <c r="Q37" s="321"/>
      <c r="R37" s="328"/>
      <c r="S37" s="321"/>
      <c r="U37" s="332"/>
      <c r="V37" s="332"/>
      <c r="W37" s="332"/>
    </row>
    <row r="38" spans="1:27" s="317" customFormat="1" ht="15">
      <c r="A38" s="314">
        <f t="shared" ca="1" si="0"/>
        <v>25</v>
      </c>
      <c r="B38" s="315" t="s">
        <v>24</v>
      </c>
      <c r="C38" s="323"/>
      <c r="D38" s="323"/>
      <c r="E38" s="321"/>
      <c r="F38" s="321"/>
      <c r="G38" s="321"/>
      <c r="H38" s="321"/>
      <c r="I38" s="321"/>
      <c r="J38" s="315"/>
      <c r="K38" s="326"/>
      <c r="L38" s="351"/>
      <c r="M38" s="321"/>
      <c r="N38" s="321"/>
      <c r="O38" s="321"/>
      <c r="P38" s="328"/>
      <c r="Q38" s="321"/>
      <c r="R38" s="328"/>
      <c r="S38" s="321"/>
      <c r="U38" s="333"/>
      <c r="V38" s="339"/>
      <c r="W38" s="335"/>
      <c r="AA38" s="317" t="s">
        <v>222</v>
      </c>
    </row>
    <row r="39" spans="1:27" s="317" customFormat="1" ht="15">
      <c r="A39" s="314">
        <f t="shared" ca="1" si="0"/>
        <v>26</v>
      </c>
      <c r="B39" s="315"/>
      <c r="C39" s="323" t="s">
        <v>17</v>
      </c>
      <c r="D39" s="323"/>
      <c r="E39" s="321">
        <f>+'[6]Exh. No. BGM 4 4'!X44</f>
        <v>13350</v>
      </c>
      <c r="F39" s="506">
        <v>0</v>
      </c>
      <c r="G39" s="321">
        <f>+'[6]Exh. No. BGM 4 4'!$AF$44</f>
        <v>-133</v>
      </c>
      <c r="H39" s="334">
        <v>0</v>
      </c>
      <c r="I39" s="321">
        <f>SUM(E39:H39)</f>
        <v>13217</v>
      </c>
      <c r="J39" s="319"/>
      <c r="K39" s="330">
        <f ca="1">+'4.10'!B23*$K$7*'2) ROR'!$D$47</f>
        <v>0</v>
      </c>
      <c r="L39" s="347"/>
      <c r="M39" s="321">
        <f ca="1">I39*K39</f>
        <v>0</v>
      </c>
      <c r="N39" s="321">
        <f ca="1">I39+M39</f>
        <v>13217</v>
      </c>
      <c r="O39" s="321">
        <f>ROUND((O$10+O$11)*'2) ROR'!$N$14,0)</f>
        <v>2</v>
      </c>
      <c r="P39" s="328"/>
      <c r="Q39" s="321"/>
      <c r="R39" s="328"/>
      <c r="S39" s="376">
        <f ca="1">SUM(N39:Q39)</f>
        <v>13219</v>
      </c>
      <c r="U39" s="332"/>
      <c r="V39" s="332"/>
      <c r="W39" s="332"/>
    </row>
    <row r="40" spans="1:27" s="317" customFormat="1" ht="15">
      <c r="A40" s="314">
        <f t="shared" ca="1" si="0"/>
        <v>27</v>
      </c>
      <c r="B40" s="315"/>
      <c r="C40" s="323" t="s">
        <v>47</v>
      </c>
      <c r="D40" s="323"/>
      <c r="E40" s="321">
        <f>+'[6]Exh. No. BGM 4 4'!X45</f>
        <v>6260</v>
      </c>
      <c r="F40" s="321">
        <v>0</v>
      </c>
      <c r="G40" s="321">
        <v>0</v>
      </c>
      <c r="H40" s="321"/>
      <c r="I40" s="321">
        <f>SUM(E40:H40)</f>
        <v>6260</v>
      </c>
      <c r="J40" s="319"/>
      <c r="K40" s="330">
        <f ca="1">+'4.11'!B23*$K$7</f>
        <v>0.15251400000000001</v>
      </c>
      <c r="L40" s="347"/>
      <c r="M40" s="321">
        <f ca="1">I40*K40</f>
        <v>954.73764000000006</v>
      </c>
      <c r="N40" s="321">
        <f ca="1">I40+M40</f>
        <v>7214.7376400000003</v>
      </c>
      <c r="O40" s="321"/>
      <c r="P40" s="328"/>
      <c r="Q40" s="336">
        <v>0</v>
      </c>
      <c r="R40" s="328"/>
      <c r="S40" s="376">
        <f ca="1">SUM(N40:Q40)</f>
        <v>7214.7376400000003</v>
      </c>
      <c r="U40" s="332"/>
      <c r="V40" s="335"/>
      <c r="W40" s="332"/>
    </row>
    <row r="41" spans="1:27" s="317" customFormat="1" ht="15">
      <c r="A41" s="314">
        <f t="shared" ca="1" si="0"/>
        <v>28</v>
      </c>
      <c r="B41" s="315"/>
      <c r="C41" s="343" t="s">
        <v>52</v>
      </c>
      <c r="D41" s="323"/>
      <c r="E41" s="321">
        <f>+'[6]Exh. No. BGM 4 4'!X46</f>
        <v>1079</v>
      </c>
      <c r="F41" s="378">
        <f>+'[6]Exh. No. BGM 4 4'!$AG$46</f>
        <v>-1079</v>
      </c>
      <c r="G41" s="321">
        <v>0</v>
      </c>
      <c r="H41" s="321"/>
      <c r="I41" s="321">
        <f>SUM(E41:H41)</f>
        <v>0</v>
      </c>
      <c r="J41" s="321"/>
      <c r="K41" s="347"/>
      <c r="L41" s="347"/>
      <c r="M41" s="321">
        <f>I41*K41</f>
        <v>0</v>
      </c>
      <c r="N41" s="321">
        <f>I41+M41</f>
        <v>0</v>
      </c>
      <c r="O41" s="321"/>
      <c r="P41" s="328"/>
      <c r="Q41" s="321"/>
      <c r="R41" s="328"/>
      <c r="S41" s="376">
        <f>SUM(N41:Q41)</f>
        <v>0</v>
      </c>
      <c r="U41" s="332"/>
      <c r="V41" s="332"/>
      <c r="W41" s="332"/>
    </row>
    <row r="42" spans="1:27" s="317" customFormat="1" ht="15">
      <c r="A42" s="314">
        <f t="shared" ca="1" si="0"/>
        <v>29</v>
      </c>
      <c r="B42" s="315"/>
      <c r="C42" s="323" t="s">
        <v>4</v>
      </c>
      <c r="D42" s="323"/>
      <c r="E42" s="321">
        <f>+'[6]Exh. No. BGM 4 4'!X47</f>
        <v>0</v>
      </c>
      <c r="F42" s="321">
        <v>0</v>
      </c>
      <c r="G42" s="321">
        <v>0</v>
      </c>
      <c r="H42" s="324"/>
      <c r="I42" s="321">
        <f>SUM(E42:H42)</f>
        <v>0</v>
      </c>
      <c r="J42" s="374"/>
      <c r="K42" s="347"/>
      <c r="L42" s="347"/>
      <c r="M42" s="324">
        <f>I42*K42</f>
        <v>0</v>
      </c>
      <c r="N42" s="321">
        <f>I42+M42</f>
        <v>0</v>
      </c>
      <c r="O42" s="324"/>
      <c r="P42" s="328"/>
      <c r="Q42" s="328"/>
      <c r="R42" s="328"/>
      <c r="S42" s="376">
        <f>SUM(N42:Q42)</f>
        <v>0</v>
      </c>
    </row>
    <row r="43" spans="1:27" s="317" customFormat="1" ht="15">
      <c r="A43" s="314">
        <f t="shared" ca="1" si="0"/>
        <v>30</v>
      </c>
      <c r="B43" s="323" t="s">
        <v>25</v>
      </c>
      <c r="C43" s="323"/>
      <c r="D43" s="315"/>
      <c r="E43" s="344">
        <f t="shared" ref="E43:J43" si="5">SUM(E39:E42)</f>
        <v>20689</v>
      </c>
      <c r="F43" s="344">
        <f t="shared" si="5"/>
        <v>-1079</v>
      </c>
      <c r="G43" s="344">
        <f t="shared" si="5"/>
        <v>-133</v>
      </c>
      <c r="H43" s="344">
        <f t="shared" si="5"/>
        <v>0</v>
      </c>
      <c r="I43" s="344">
        <f t="shared" si="5"/>
        <v>19477</v>
      </c>
      <c r="J43" s="360">
        <f t="shared" si="5"/>
        <v>0</v>
      </c>
      <c r="K43" s="351"/>
      <c r="L43" s="351"/>
      <c r="M43" s="344">
        <f t="shared" ref="M43:N43" ca="1" si="6">SUM(M39:M42)</f>
        <v>954.73764000000006</v>
      </c>
      <c r="N43" s="344">
        <f t="shared" ca="1" si="6"/>
        <v>20431.737639999999</v>
      </c>
      <c r="O43" s="344">
        <f>SUM(O39:O42)</f>
        <v>2</v>
      </c>
      <c r="P43" s="328"/>
      <c r="Q43" s="344">
        <f>Q40</f>
        <v>0</v>
      </c>
      <c r="R43" s="328"/>
      <c r="S43" s="344">
        <f ca="1">SUM(S39:S42)</f>
        <v>20433.737639999999</v>
      </c>
    </row>
    <row r="44" spans="1:27" s="317" customFormat="1" ht="15">
      <c r="A44" s="314">
        <f t="shared" ca="1" si="0"/>
        <v>31</v>
      </c>
      <c r="B44" s="315" t="s">
        <v>26</v>
      </c>
      <c r="C44" s="323"/>
      <c r="D44" s="323"/>
      <c r="E44" s="344">
        <f t="shared" ref="E44:J44" si="7">E20+E26+E32+E34+E35+E36+E43</f>
        <v>124880</v>
      </c>
      <c r="F44" s="344">
        <f t="shared" si="7"/>
        <v>-1079</v>
      </c>
      <c r="G44" s="344">
        <f t="shared" si="7"/>
        <v>-66469</v>
      </c>
      <c r="H44" s="344">
        <f t="shared" si="7"/>
        <v>0</v>
      </c>
      <c r="I44" s="344">
        <f t="shared" si="7"/>
        <v>57332</v>
      </c>
      <c r="J44" s="360">
        <f t="shared" si="7"/>
        <v>0</v>
      </c>
      <c r="K44" s="326"/>
      <c r="L44" s="351"/>
      <c r="M44" s="344">
        <f t="shared" ref="M44:N44" ca="1" si="8">M20+M26+M32+M34+M35+M36+M43</f>
        <v>2228.0876820000003</v>
      </c>
      <c r="N44" s="344">
        <f t="shared" ca="1" si="8"/>
        <v>59560.087681999998</v>
      </c>
      <c r="O44" s="344">
        <f>O20+O26+O32+O34+O35+O36+O43</f>
        <v>48</v>
      </c>
      <c r="P44" s="328"/>
      <c r="Q44" s="344">
        <f>Q20+Q26+Q32+Q34+Q35+Q36+Q43</f>
        <v>0</v>
      </c>
      <c r="R44" s="328"/>
      <c r="S44" s="344">
        <f ca="1">S20+S26+S32+S34+S35+S36+S43</f>
        <v>59608.087681999998</v>
      </c>
    </row>
    <row r="45" spans="1:27" s="317" customFormat="1" ht="15">
      <c r="A45" s="341"/>
      <c r="B45" s="315"/>
      <c r="C45" s="323"/>
      <c r="D45" s="323"/>
      <c r="E45" s="344"/>
      <c r="F45" s="344"/>
      <c r="G45" s="344"/>
      <c r="H45" s="344"/>
      <c r="I45" s="344"/>
      <c r="J45" s="328"/>
      <c r="K45" s="315"/>
      <c r="L45" s="315"/>
      <c r="M45" s="344"/>
      <c r="N45" s="344"/>
      <c r="O45" s="344"/>
      <c r="P45" s="328"/>
      <c r="Q45" s="344"/>
      <c r="R45" s="328"/>
      <c r="S45" s="344"/>
    </row>
    <row r="46" spans="1:27" s="317" customFormat="1" ht="15">
      <c r="A46" s="314">
        <f t="shared" ca="1" si="0"/>
        <v>32</v>
      </c>
      <c r="B46" s="315" t="s">
        <v>27</v>
      </c>
      <c r="C46" s="323"/>
      <c r="D46" s="323"/>
      <c r="E46" s="321">
        <f t="shared" ref="E46:J46" si="9">E13-E44</f>
        <v>31587</v>
      </c>
      <c r="F46" s="321">
        <f t="shared" si="9"/>
        <v>1079</v>
      </c>
      <c r="G46" s="321">
        <f t="shared" si="9"/>
        <v>-922</v>
      </c>
      <c r="H46" s="321">
        <f t="shared" si="9"/>
        <v>0</v>
      </c>
      <c r="I46" s="321">
        <f t="shared" si="9"/>
        <v>31744</v>
      </c>
      <c r="J46" s="360">
        <f t="shared" si="9"/>
        <v>0</v>
      </c>
      <c r="K46" s="315"/>
      <c r="L46" s="315"/>
      <c r="M46" s="321">
        <f t="shared" ref="M46:S46" ca="1" si="10">M13-M44</f>
        <v>-2228.0876820000003</v>
      </c>
      <c r="N46" s="321">
        <f t="shared" ca="1" si="10"/>
        <v>29515.912318000002</v>
      </c>
      <c r="O46" s="321">
        <f t="shared" si="10"/>
        <v>1018.441503862661</v>
      </c>
      <c r="P46" s="328"/>
      <c r="Q46" s="321">
        <f>-Q44</f>
        <v>0</v>
      </c>
      <c r="R46" s="328"/>
      <c r="S46" s="321">
        <f t="shared" ca="1" si="10"/>
        <v>30534.353821862664</v>
      </c>
    </row>
    <row r="47" spans="1:27" s="317" customFormat="1" ht="15">
      <c r="A47" s="341"/>
      <c r="B47" s="450"/>
      <c r="C47" s="323"/>
      <c r="D47" s="323"/>
      <c r="E47" s="323"/>
      <c r="F47" s="323"/>
      <c r="G47" s="323"/>
      <c r="H47" s="323"/>
      <c r="I47" s="323"/>
      <c r="J47" s="323"/>
      <c r="K47" s="323"/>
      <c r="L47" s="323"/>
      <c r="M47" s="323"/>
      <c r="N47" s="323"/>
      <c r="O47" s="323"/>
      <c r="P47" s="308"/>
      <c r="Q47" s="323"/>
      <c r="R47" s="308"/>
      <c r="S47" s="323"/>
    </row>
    <row r="48" spans="1:27" s="317" customFormat="1" ht="15">
      <c r="A48" s="341"/>
      <c r="B48" s="315"/>
      <c r="C48" s="323"/>
      <c r="D48" s="323"/>
      <c r="E48" s="323"/>
      <c r="F48" s="323"/>
      <c r="G48" s="323"/>
      <c r="H48" s="323"/>
      <c r="I48" s="323"/>
      <c r="J48" s="323"/>
      <c r="K48" s="323"/>
      <c r="L48" s="323"/>
      <c r="M48" s="323"/>
      <c r="N48" s="323"/>
      <c r="O48" s="323"/>
      <c r="P48" s="308"/>
      <c r="Q48" s="323"/>
      <c r="R48" s="308"/>
      <c r="S48" s="323"/>
    </row>
    <row r="49" spans="1:20" s="411" customFormat="1" ht="18.75">
      <c r="A49" s="433" t="s">
        <v>377</v>
      </c>
      <c r="B49" s="433"/>
      <c r="C49" s="433"/>
      <c r="D49" s="433"/>
      <c r="E49" s="433"/>
      <c r="F49" s="433"/>
      <c r="G49" s="433"/>
      <c r="H49" s="433"/>
      <c r="I49" s="433"/>
      <c r="J49" s="433"/>
      <c r="K49" s="433"/>
      <c r="L49" s="433"/>
      <c r="M49" s="433"/>
      <c r="N49" s="433"/>
      <c r="O49" s="433"/>
      <c r="P49" s="433"/>
      <c r="Q49" s="433"/>
      <c r="R49" s="433"/>
      <c r="S49" s="433"/>
    </row>
    <row r="50" spans="1:20" s="308" customFormat="1" ht="17.25" customHeight="1">
      <c r="A50" s="370"/>
      <c r="B50" s="370"/>
      <c r="C50" s="370"/>
      <c r="D50" s="370"/>
      <c r="E50" s="380"/>
    </row>
    <row r="51" spans="1:20" s="387" customFormat="1" ht="17.25" customHeight="1">
      <c r="A51" s="381"/>
      <c r="B51" s="382"/>
      <c r="C51" s="383" t="s">
        <v>151</v>
      </c>
      <c r="D51" s="381"/>
      <c r="E51" s="384" t="s">
        <v>317</v>
      </c>
      <c r="F51" s="385"/>
      <c r="G51" s="385"/>
      <c r="H51" s="385"/>
      <c r="I51" s="386"/>
      <c r="M51" s="388" t="s">
        <v>126</v>
      </c>
      <c r="N51" s="389"/>
      <c r="O51" s="390"/>
      <c r="P51" s="308"/>
      <c r="Q51" s="391" t="s">
        <v>320</v>
      </c>
      <c r="R51" s="308"/>
      <c r="S51" s="453" t="s">
        <v>258</v>
      </c>
    </row>
    <row r="52" spans="1:20" s="304" customFormat="1" ht="15">
      <c r="A52" s="303"/>
      <c r="E52" s="526" t="str">
        <f>+E4</f>
        <v>Restated Results AMA (See BGM-4)</v>
      </c>
      <c r="F52" s="515" t="s">
        <v>264</v>
      </c>
      <c r="G52" s="515" t="s">
        <v>228</v>
      </c>
      <c r="H52" s="515" t="s">
        <v>263</v>
      </c>
      <c r="I52" s="517" t="s">
        <v>265</v>
      </c>
      <c r="K52" s="529" t="s">
        <v>321</v>
      </c>
      <c r="L52" s="305"/>
      <c r="M52" s="514" t="s">
        <v>318</v>
      </c>
      <c r="N52" s="514" t="s">
        <v>319</v>
      </c>
      <c r="O52" s="514" t="s">
        <v>220</v>
      </c>
      <c r="P52" s="308"/>
      <c r="Q52" s="521" t="s">
        <v>266</v>
      </c>
      <c r="R52" s="308"/>
      <c r="S52" s="521" t="s">
        <v>380</v>
      </c>
    </row>
    <row r="53" spans="1:20" s="309" customFormat="1" ht="15">
      <c r="A53" s="306"/>
      <c r="B53" s="307"/>
      <c r="C53" s="307"/>
      <c r="D53" s="308"/>
      <c r="E53" s="527"/>
      <c r="F53" s="528"/>
      <c r="G53" s="516"/>
      <c r="H53" s="516"/>
      <c r="I53" s="514"/>
      <c r="J53" s="307"/>
      <c r="K53" s="529"/>
      <c r="L53" s="305"/>
      <c r="M53" s="514"/>
      <c r="N53" s="514"/>
      <c r="O53" s="514"/>
      <c r="P53" s="308"/>
      <c r="Q53" s="524"/>
      <c r="R53" s="308"/>
      <c r="S53" s="522"/>
    </row>
    <row r="54" spans="1:20" s="309" customFormat="1" ht="15">
      <c r="A54" s="306"/>
      <c r="B54" s="307"/>
      <c r="C54" s="307"/>
      <c r="D54" s="308"/>
      <c r="E54" s="527"/>
      <c r="F54" s="528"/>
      <c r="G54" s="516"/>
      <c r="H54" s="516"/>
      <c r="I54" s="514"/>
      <c r="J54" s="307"/>
      <c r="K54" s="529"/>
      <c r="L54" s="315"/>
      <c r="M54" s="514"/>
      <c r="N54" s="514"/>
      <c r="O54" s="514"/>
      <c r="P54" s="308"/>
      <c r="Q54" s="524"/>
      <c r="R54" s="308"/>
      <c r="S54" s="522"/>
    </row>
    <row r="55" spans="1:20" s="309" customFormat="1" ht="30">
      <c r="A55" s="310" t="s">
        <v>316</v>
      </c>
      <c r="B55" s="311"/>
      <c r="C55" s="312" t="s">
        <v>3</v>
      </c>
      <c r="D55" s="311"/>
      <c r="E55" s="527"/>
      <c r="F55" s="528"/>
      <c r="G55" s="516"/>
      <c r="H55" s="516"/>
      <c r="I55" s="514"/>
      <c r="J55" s="315"/>
      <c r="K55" s="529"/>
      <c r="L55" s="315"/>
      <c r="M55" s="514"/>
      <c r="N55" s="514"/>
      <c r="O55" s="514"/>
      <c r="P55" s="308"/>
      <c r="Q55" s="525"/>
      <c r="R55" s="308"/>
      <c r="S55" s="523"/>
    </row>
    <row r="56" spans="1:20" s="309" customFormat="1" ht="15">
      <c r="A56" s="306"/>
      <c r="B56" s="307"/>
      <c r="C56" s="307"/>
      <c r="D56" s="307"/>
      <c r="E56" s="345" t="str">
        <f>E8</f>
        <v>[A]</v>
      </c>
      <c r="F56" s="345" t="str">
        <f>F8</f>
        <v>[B]</v>
      </c>
      <c r="G56" s="345" t="str">
        <f>G8</f>
        <v>[C]</v>
      </c>
      <c r="H56" s="345" t="str">
        <f>H8</f>
        <v>[D]</v>
      </c>
      <c r="I56" s="345" t="str">
        <f>I8</f>
        <v>[E]</v>
      </c>
      <c r="J56" s="315"/>
      <c r="K56" s="345" t="str">
        <f>K8</f>
        <v>[F]</v>
      </c>
      <c r="L56" s="315"/>
      <c r="M56" s="345" t="str">
        <f>M8</f>
        <v>[G]</v>
      </c>
      <c r="N56" s="345" t="str">
        <f>N8</f>
        <v>[H]</v>
      </c>
      <c r="O56" s="345" t="str">
        <f>O8</f>
        <v>[I]</v>
      </c>
      <c r="P56" s="308"/>
      <c r="Q56" s="345" t="str">
        <f>Q8</f>
        <v>[J]</v>
      </c>
      <c r="R56" s="308"/>
      <c r="S56" s="345" t="str">
        <f>S8</f>
        <v>[K]</v>
      </c>
    </row>
    <row r="57" spans="1:20" s="317" customFormat="1" ht="15">
      <c r="A57" s="314">
        <f t="shared" ref="A57:A61" ca="1" si="11">+MAX(OFFSET(A$1,0,0,ROW(A57)-ROW(A$1)))+1</f>
        <v>33</v>
      </c>
      <c r="B57" s="315" t="s">
        <v>28</v>
      </c>
      <c r="C57" s="323"/>
      <c r="D57" s="323"/>
      <c r="E57" s="321"/>
      <c r="F57" s="321"/>
      <c r="G57" s="321"/>
      <c r="H57" s="321"/>
      <c r="I57" s="321"/>
      <c r="J57" s="315"/>
      <c r="K57" s="315"/>
      <c r="L57" s="315"/>
      <c r="M57" s="321"/>
      <c r="N57" s="321"/>
      <c r="O57" s="321"/>
      <c r="P57" s="308"/>
      <c r="Q57" s="321"/>
      <c r="R57" s="308"/>
      <c r="S57" s="321"/>
      <c r="T57" s="309"/>
    </row>
    <row r="58" spans="1:20" s="317" customFormat="1" ht="15">
      <c r="A58" s="314">
        <f t="shared" ca="1" si="11"/>
        <v>34</v>
      </c>
      <c r="B58" s="323" t="s">
        <v>29</v>
      </c>
      <c r="C58" s="315"/>
      <c r="D58" s="323"/>
      <c r="E58" s="378">
        <f>+'[6]Exh. No. BGM 4 4'!X54</f>
        <v>-1128.6000000000004</v>
      </c>
      <c r="F58" s="378">
        <f>+'[6]Exh. No. BGM 4 4'!$AG$54</f>
        <v>377.65</v>
      </c>
      <c r="G58" s="378">
        <f>+'[6]Exh. No. BGM 4 4'!$AF$54</f>
        <v>-322.7</v>
      </c>
      <c r="H58" s="379">
        <v>0</v>
      </c>
      <c r="I58" s="378">
        <f>SUM(E58:H58)</f>
        <v>-1073.6500000000003</v>
      </c>
      <c r="J58" s="315"/>
      <c r="K58" s="315"/>
      <c r="L58" s="315"/>
      <c r="M58" s="378">
        <f ca="1">0.35*M46</f>
        <v>-779.83068870000011</v>
      </c>
      <c r="N58" s="378">
        <f ca="1">I58+M58</f>
        <v>-1853.4806887000004</v>
      </c>
      <c r="O58" s="378">
        <f>0.35*O46</f>
        <v>356.45452635193129</v>
      </c>
      <c r="P58" s="328"/>
      <c r="Q58" s="379">
        <v>0</v>
      </c>
      <c r="R58" s="328"/>
      <c r="S58" s="378">
        <f ca="1">SUM(N58:Q58)</f>
        <v>-1497.0261623480692</v>
      </c>
      <c r="T58" s="309"/>
    </row>
    <row r="59" spans="1:20" s="317" customFormat="1" ht="15">
      <c r="A59" s="314">
        <f t="shared" ca="1" si="11"/>
        <v>35</v>
      </c>
      <c r="B59" s="323" t="s">
        <v>46</v>
      </c>
      <c r="C59" s="315"/>
      <c r="D59" s="323"/>
      <c r="E59" s="321">
        <f>+'[6]Exh. No. BGM 4 4'!X55</f>
        <v>11.15282</v>
      </c>
      <c r="F59" s="321">
        <v>0</v>
      </c>
      <c r="G59" s="321">
        <f>G85*'2) ROR'!$F$38*-0.35</f>
        <v>0</v>
      </c>
      <c r="H59" s="334">
        <v>0</v>
      </c>
      <c r="I59" s="321">
        <f>SUM(E59:H59)</f>
        <v>11.15282</v>
      </c>
      <c r="J59" s="315"/>
      <c r="K59" s="315"/>
      <c r="L59" s="315"/>
      <c r="M59" s="321">
        <f ca="1">('2) ROR'!F11*-0.35*M85)+('2) ROR'!F11-'2) ROR'!F38)*I85*-0.35</f>
        <v>-104.23884445351999</v>
      </c>
      <c r="N59" s="321">
        <f ca="1">I59+M59</f>
        <v>-93.086024453519983</v>
      </c>
      <c r="O59" s="321"/>
      <c r="P59" s="328"/>
      <c r="Q59" s="328">
        <f>Q85*'2) ROR'!$F$11*-0.35</f>
        <v>0</v>
      </c>
      <c r="R59" s="328"/>
      <c r="S59" s="328">
        <f ca="1">SUM(N59:Q59)</f>
        <v>-93.086024453519983</v>
      </c>
      <c r="T59" s="309"/>
    </row>
    <row r="60" spans="1:20" s="317" customFormat="1" ht="15">
      <c r="A60" s="314">
        <f t="shared" ca="1" si="11"/>
        <v>36</v>
      </c>
      <c r="B60" s="323" t="s">
        <v>30</v>
      </c>
      <c r="C60" s="315"/>
      <c r="D60" s="323"/>
      <c r="E60" s="321">
        <f>+'[6]Exh. No. BGM 4 4'!X56</f>
        <v>9923</v>
      </c>
      <c r="F60" s="321">
        <v>0</v>
      </c>
      <c r="G60" s="321">
        <v>0</v>
      </c>
      <c r="H60" s="321"/>
      <c r="I60" s="321">
        <f>SUM(E60:H60)</f>
        <v>9923</v>
      </c>
      <c r="J60" s="315"/>
      <c r="K60" s="315"/>
      <c r="L60" s="315"/>
      <c r="M60" s="321"/>
      <c r="N60" s="321">
        <f>I60+M60</f>
        <v>9923</v>
      </c>
      <c r="O60" s="321"/>
      <c r="P60" s="328"/>
      <c r="Q60" s="328"/>
      <c r="R60" s="328"/>
      <c r="S60" s="328">
        <f>SUM(N60:Q60)</f>
        <v>9923</v>
      </c>
      <c r="T60" s="309"/>
    </row>
    <row r="61" spans="1:20" s="317" customFormat="1" ht="15">
      <c r="A61" s="314">
        <f t="shared" ca="1" si="11"/>
        <v>37</v>
      </c>
      <c r="B61" s="323" t="s">
        <v>31</v>
      </c>
      <c r="C61" s="315"/>
      <c r="D61" s="323"/>
      <c r="E61" s="321">
        <f>+'[6]Exh. No. BGM 4 4'!X57</f>
        <v>-17</v>
      </c>
      <c r="F61" s="321">
        <v>0</v>
      </c>
      <c r="G61" s="321">
        <v>0</v>
      </c>
      <c r="H61" s="324"/>
      <c r="I61" s="321">
        <f>SUM(E61:H61)</f>
        <v>-17</v>
      </c>
      <c r="J61" s="315"/>
      <c r="K61" s="315"/>
      <c r="L61" s="315"/>
      <c r="M61" s="324"/>
      <c r="N61" s="321">
        <f>I61+M61</f>
        <v>-17</v>
      </c>
      <c r="O61" s="324"/>
      <c r="P61" s="328"/>
      <c r="Q61" s="324"/>
      <c r="R61" s="328"/>
      <c r="S61" s="321">
        <f>SUM(N61:Q61)</f>
        <v>-17</v>
      </c>
      <c r="T61" s="309"/>
    </row>
    <row r="62" spans="1:20" s="317" customFormat="1" ht="15">
      <c r="A62" s="341"/>
      <c r="B62" s="315"/>
      <c r="C62" s="315"/>
      <c r="D62" s="315"/>
      <c r="E62" s="344"/>
      <c r="F62" s="344"/>
      <c r="G62" s="344"/>
      <c r="H62" s="321"/>
      <c r="I62" s="344"/>
      <c r="J62" s="315"/>
      <c r="K62" s="315"/>
      <c r="L62" s="315"/>
      <c r="M62" s="321"/>
      <c r="N62" s="344"/>
      <c r="O62" s="321"/>
      <c r="P62" s="328"/>
      <c r="Q62" s="321"/>
      <c r="R62" s="328"/>
      <c r="S62" s="344"/>
      <c r="T62" s="309"/>
    </row>
    <row r="63" spans="1:20" s="322" customFormat="1" thickBot="1">
      <c r="A63" s="314">
        <f t="shared" ref="A63" ca="1" si="12">+MAX(OFFSET(A$1,0,0,ROW(A63)-ROW(A$1)))+1</f>
        <v>38</v>
      </c>
      <c r="B63" s="318" t="s">
        <v>32</v>
      </c>
      <c r="C63" s="318"/>
      <c r="D63" s="318"/>
      <c r="E63" s="375">
        <f>E46-E58-E59-E60-E61</f>
        <v>22798.447179999999</v>
      </c>
      <c r="F63" s="375">
        <f>F46-F58-F59-F60-F61</f>
        <v>701.35</v>
      </c>
      <c r="G63" s="375">
        <f>G46-G58-G59-G60-G61</f>
        <v>-599.29999999999995</v>
      </c>
      <c r="H63" s="375">
        <f>H46-H58-H59-H60-H61</f>
        <v>0</v>
      </c>
      <c r="I63" s="375">
        <f>I46-I58-I59-I60-I61</f>
        <v>22900.497179999998</v>
      </c>
      <c r="J63" s="318"/>
      <c r="K63" s="346"/>
      <c r="L63" s="346"/>
      <c r="M63" s="375">
        <f ca="1">M46-M58-M59-M60-M61</f>
        <v>-1344.0181488464802</v>
      </c>
      <c r="N63" s="375">
        <f ca="1">N46-N58-N59-N60-N61</f>
        <v>21556.479031153525</v>
      </c>
      <c r="O63" s="375">
        <f>O46-O58-O59-O60-O61</f>
        <v>661.98697751072973</v>
      </c>
      <c r="P63" s="328"/>
      <c r="Q63" s="375">
        <f>Q46-Q58-Q59-Q60-Q61</f>
        <v>0</v>
      </c>
      <c r="R63" s="328"/>
      <c r="S63" s="375">
        <f ca="1">S46-S58-S59-S60-S61</f>
        <v>22218.466008664254</v>
      </c>
      <c r="T63" s="309"/>
    </row>
    <row r="64" spans="1:20" s="317" customFormat="1" thickTop="1">
      <c r="A64" s="341"/>
      <c r="B64" s="315"/>
      <c r="C64" s="315"/>
      <c r="D64" s="315"/>
      <c r="E64" s="321"/>
      <c r="F64" s="321"/>
      <c r="G64" s="321"/>
      <c r="H64" s="321"/>
      <c r="I64" s="321"/>
      <c r="J64" s="315"/>
      <c r="K64" s="326"/>
      <c r="L64" s="326"/>
      <c r="M64" s="321"/>
      <c r="N64" s="321"/>
      <c r="O64" s="321"/>
      <c r="P64" s="328"/>
      <c r="Q64" s="321"/>
      <c r="R64" s="328"/>
      <c r="S64" s="321"/>
      <c r="T64" s="309"/>
    </row>
    <row r="65" spans="1:23" s="317" customFormat="1" ht="15">
      <c r="A65" s="314">
        <f t="shared" ref="A65:A70" ca="1" si="13">+MAX(OFFSET(A$1,0,0,ROW(A65)-ROW(A$1)))+1</f>
        <v>39</v>
      </c>
      <c r="B65" s="315" t="s">
        <v>40</v>
      </c>
      <c r="C65" s="315"/>
      <c r="D65" s="315"/>
      <c r="E65" s="321"/>
      <c r="F65" s="321"/>
      <c r="G65" s="321"/>
      <c r="H65" s="321"/>
      <c r="I65" s="321"/>
      <c r="J65" s="315"/>
      <c r="K65" s="326"/>
      <c r="L65" s="326"/>
      <c r="M65" s="321"/>
      <c r="N65" s="321"/>
      <c r="O65" s="321"/>
      <c r="P65" s="328"/>
      <c r="Q65" s="321"/>
      <c r="R65" s="328"/>
      <c r="S65" s="321"/>
      <c r="T65" s="309"/>
    </row>
    <row r="66" spans="1:23" s="317" customFormat="1" ht="15">
      <c r="A66" s="314">
        <f t="shared" ca="1" si="13"/>
        <v>40</v>
      </c>
      <c r="B66" s="315" t="s">
        <v>41</v>
      </c>
      <c r="C66" s="315"/>
      <c r="D66" s="315"/>
      <c r="E66" s="321"/>
      <c r="F66" s="321"/>
      <c r="G66" s="321"/>
      <c r="H66" s="321"/>
      <c r="I66" s="321"/>
      <c r="J66" s="315"/>
      <c r="K66" s="326"/>
      <c r="L66" s="326"/>
      <c r="M66" s="321"/>
      <c r="N66" s="321"/>
      <c r="O66" s="321"/>
      <c r="P66" s="328"/>
      <c r="Q66" s="321"/>
      <c r="R66" s="328"/>
      <c r="S66" s="321"/>
      <c r="T66" s="309"/>
    </row>
    <row r="67" spans="1:23" s="317" customFormat="1" ht="15">
      <c r="A67" s="314">
        <f t="shared" ca="1" si="13"/>
        <v>41</v>
      </c>
      <c r="B67" s="323"/>
      <c r="C67" s="323" t="s">
        <v>16</v>
      </c>
      <c r="D67" s="323"/>
      <c r="E67" s="321">
        <f>+'[6]Exh. No. BGM 4 4'!$X63</f>
        <v>26868</v>
      </c>
      <c r="F67" s="321">
        <v>0</v>
      </c>
      <c r="G67" s="321">
        <v>0</v>
      </c>
      <c r="H67" s="334">
        <v>0</v>
      </c>
      <c r="I67" s="321">
        <f>SUM(E67:H67)</f>
        <v>26868</v>
      </c>
      <c r="J67" s="315"/>
      <c r="K67" s="330">
        <f ca="1">+'4.12'!B23*$K$7</f>
        <v>3.8627999999999996E-2</v>
      </c>
      <c r="L67" s="326"/>
      <c r="M67" s="321">
        <f ca="1">I67*K67</f>
        <v>1037.8571039999999</v>
      </c>
      <c r="N67" s="321">
        <f ca="1">I67+M67</f>
        <v>27905.857103999999</v>
      </c>
      <c r="O67" s="321"/>
      <c r="P67" s="328"/>
      <c r="Q67" s="321"/>
      <c r="R67" s="328"/>
      <c r="S67" s="328">
        <f ca="1">SUM(N67:Q67)</f>
        <v>27905.857103999999</v>
      </c>
      <c r="T67" s="309"/>
    </row>
    <row r="68" spans="1:23" s="317" customFormat="1" ht="15">
      <c r="A68" s="314">
        <f t="shared" ca="1" si="13"/>
        <v>42</v>
      </c>
      <c r="B68" s="323"/>
      <c r="C68" s="323" t="s">
        <v>33</v>
      </c>
      <c r="D68" s="323"/>
      <c r="E68" s="321">
        <f>+'[6]Exh. No. BGM 4 4'!$X64</f>
        <v>390508</v>
      </c>
      <c r="F68" s="321">
        <v>0</v>
      </c>
      <c r="G68" s="321"/>
      <c r="H68" s="334">
        <v>0</v>
      </c>
      <c r="I68" s="321">
        <f>SUM(E68:H68)</f>
        <v>390508</v>
      </c>
      <c r="J68" s="315"/>
      <c r="K68" s="330">
        <f ca="1">+'4.13'!B23*$K$7</f>
        <v>0.102564</v>
      </c>
      <c r="L68" s="326"/>
      <c r="M68" s="321">
        <f ca="1">I68*K68</f>
        <v>40052.062512000004</v>
      </c>
      <c r="N68" s="321">
        <f ca="1">I68+M68</f>
        <v>430560.06251199997</v>
      </c>
      <c r="O68" s="321"/>
      <c r="P68" s="328"/>
      <c r="Q68" s="336">
        <v>0</v>
      </c>
      <c r="R68" s="328"/>
      <c r="S68" s="328">
        <f ca="1">SUM(N68:Q68)</f>
        <v>430560.06251199997</v>
      </c>
      <c r="T68" s="309"/>
    </row>
    <row r="69" spans="1:23" s="317" customFormat="1" ht="15">
      <c r="A69" s="314">
        <f t="shared" ca="1" si="13"/>
        <v>43</v>
      </c>
      <c r="B69" s="323"/>
      <c r="C69" s="323" t="s">
        <v>34</v>
      </c>
      <c r="D69" s="323"/>
      <c r="E69" s="321">
        <f>+'[6]Exh. No. BGM 4 4'!$X65</f>
        <v>82624</v>
      </c>
      <c r="F69" s="321">
        <v>0</v>
      </c>
      <c r="G69" s="321">
        <v>0</v>
      </c>
      <c r="H69" s="334">
        <v>0</v>
      </c>
      <c r="I69" s="321">
        <f>SUM(E69:H69)</f>
        <v>82624</v>
      </c>
      <c r="J69" s="315"/>
      <c r="K69" s="330">
        <f ca="1">+'4.14'!B23*$K$7</f>
        <v>0.16982999999999998</v>
      </c>
      <c r="L69" s="326"/>
      <c r="M69" s="324">
        <f ca="1">I69*K69</f>
        <v>14032.033919999998</v>
      </c>
      <c r="N69" s="321">
        <f ca="1">I69+M69</f>
        <v>96656.033920000002</v>
      </c>
      <c r="O69" s="324"/>
      <c r="P69" s="328"/>
      <c r="Q69" s="336">
        <v>0</v>
      </c>
      <c r="R69" s="328"/>
      <c r="S69" s="324">
        <f ca="1">SUM(N69:Q69)</f>
        <v>96656.033920000002</v>
      </c>
    </row>
    <row r="70" spans="1:23" s="317" customFormat="1" ht="15">
      <c r="A70" s="314">
        <f t="shared" ca="1" si="13"/>
        <v>44</v>
      </c>
      <c r="B70" s="323" t="s">
        <v>35</v>
      </c>
      <c r="C70" s="323"/>
      <c r="D70" s="315"/>
      <c r="E70" s="344">
        <f t="shared" ref="E70:I70" si="14">SUM(E67:E69)</f>
        <v>500000</v>
      </c>
      <c r="F70" s="344">
        <f t="shared" si="14"/>
        <v>0</v>
      </c>
      <c r="G70" s="344">
        <f t="shared" si="14"/>
        <v>0</v>
      </c>
      <c r="H70" s="344">
        <f t="shared" si="14"/>
        <v>0</v>
      </c>
      <c r="I70" s="344">
        <f t="shared" si="14"/>
        <v>500000</v>
      </c>
      <c r="J70" s="315"/>
      <c r="K70" s="326"/>
      <c r="L70" s="326"/>
      <c r="M70" s="321">
        <f ca="1">SUM(M67:M69)</f>
        <v>55121.953536000001</v>
      </c>
      <c r="N70" s="344">
        <f ca="1">SUM(N67:N69)</f>
        <v>555121.95353599999</v>
      </c>
      <c r="O70" s="321"/>
      <c r="P70" s="328"/>
      <c r="Q70" s="321">
        <f>SUM(Q67:Q69)</f>
        <v>0</v>
      </c>
      <c r="R70" s="328"/>
      <c r="S70" s="344">
        <f ca="1">SUM(S67:S69)</f>
        <v>555121.95353599999</v>
      </c>
    </row>
    <row r="71" spans="1:23" s="317" customFormat="1" ht="15">
      <c r="A71" s="341"/>
      <c r="B71" s="323"/>
      <c r="C71" s="323"/>
      <c r="D71" s="315"/>
      <c r="E71" s="321"/>
      <c r="F71" s="321"/>
      <c r="G71" s="321"/>
      <c r="H71" s="321"/>
      <c r="I71" s="321"/>
      <c r="J71" s="315"/>
      <c r="K71" s="326"/>
      <c r="L71" s="326"/>
      <c r="M71" s="321"/>
      <c r="N71" s="321"/>
      <c r="O71" s="321"/>
      <c r="P71" s="328"/>
      <c r="Q71" s="321"/>
      <c r="R71" s="328"/>
      <c r="S71" s="321"/>
    </row>
    <row r="72" spans="1:23" s="317" customFormat="1" ht="15">
      <c r="A72" s="314">
        <f t="shared" ref="A72:A85" ca="1" si="15">+MAX(OFFSET(A$1,0,0,ROW(A72)-ROW(A$1)))+1</f>
        <v>45</v>
      </c>
      <c r="B72" s="323" t="s">
        <v>257</v>
      </c>
      <c r="C72" s="323"/>
      <c r="D72" s="323"/>
      <c r="E72" s="321"/>
      <c r="F72" s="321"/>
      <c r="G72" s="321"/>
      <c r="H72" s="321"/>
      <c r="I72" s="321"/>
      <c r="J72" s="315"/>
      <c r="K72" s="326"/>
      <c r="L72" s="326"/>
      <c r="M72" s="321"/>
      <c r="N72" s="321"/>
      <c r="O72" s="321"/>
      <c r="P72" s="328"/>
      <c r="Q72" s="321"/>
      <c r="R72" s="328"/>
      <c r="S72" s="321"/>
    </row>
    <row r="73" spans="1:23" s="317" customFormat="1" ht="15">
      <c r="A73" s="314">
        <f t="shared" ca="1" si="15"/>
        <v>46</v>
      </c>
      <c r="B73" s="323"/>
      <c r="C73" s="323" t="s">
        <v>16</v>
      </c>
      <c r="D73" s="323"/>
      <c r="E73" s="321">
        <f>+'[6]Exh. No. BGM 4 4'!X69</f>
        <v>-10317</v>
      </c>
      <c r="F73" s="321">
        <v>0</v>
      </c>
      <c r="G73" s="321">
        <v>0</v>
      </c>
      <c r="H73" s="334">
        <v>0</v>
      </c>
      <c r="I73" s="321">
        <f>SUM(E73:H73)</f>
        <v>-10317</v>
      </c>
      <c r="J73" s="315"/>
      <c r="K73" s="347">
        <f ca="1">+K67</f>
        <v>3.8627999999999996E-2</v>
      </c>
      <c r="L73" s="326"/>
      <c r="M73" s="321">
        <f ca="1">I73*K73</f>
        <v>-398.52507599999996</v>
      </c>
      <c r="N73" s="321">
        <f ca="1">I73+M73</f>
        <v>-10715.525076</v>
      </c>
      <c r="O73" s="321"/>
      <c r="P73" s="328"/>
      <c r="Q73" s="321"/>
      <c r="R73" s="328"/>
      <c r="S73" s="328">
        <f ca="1">SUM(N73:Q73)</f>
        <v>-10715.525076</v>
      </c>
    </row>
    <row r="74" spans="1:23" s="317" customFormat="1" ht="15">
      <c r="A74" s="314">
        <f t="shared" ca="1" si="15"/>
        <v>47</v>
      </c>
      <c r="B74" s="323"/>
      <c r="C74" s="323" t="s">
        <v>33</v>
      </c>
      <c r="D74" s="323"/>
      <c r="E74" s="321">
        <f>+'[6]Exh. No. BGM 4 4'!X70</f>
        <v>-129098</v>
      </c>
      <c r="F74" s="321">
        <v>0</v>
      </c>
      <c r="G74" s="321"/>
      <c r="H74" s="334">
        <v>0</v>
      </c>
      <c r="I74" s="321">
        <f>SUM(E74:H74)</f>
        <v>-129098</v>
      </c>
      <c r="J74" s="315"/>
      <c r="K74" s="320">
        <f ca="1">+K68</f>
        <v>0.102564</v>
      </c>
      <c r="L74" s="326"/>
      <c r="M74" s="321">
        <f ca="1">I74*K74</f>
        <v>-13240.807272</v>
      </c>
      <c r="N74" s="321">
        <f ca="1">I74+M74</f>
        <v>-142338.80727200001</v>
      </c>
      <c r="O74" s="321"/>
      <c r="P74" s="328"/>
      <c r="Q74" s="336">
        <v>0</v>
      </c>
      <c r="R74" s="328"/>
      <c r="S74" s="328">
        <f ca="1">SUM(N74:Q74)</f>
        <v>-142338.80727200001</v>
      </c>
    </row>
    <row r="75" spans="1:23" s="317" customFormat="1" ht="15">
      <c r="A75" s="314">
        <f t="shared" ca="1" si="15"/>
        <v>48</v>
      </c>
      <c r="B75" s="323"/>
      <c r="C75" s="323" t="s">
        <v>34</v>
      </c>
      <c r="D75" s="323"/>
      <c r="E75" s="321">
        <f>+'[6]Exh. No. BGM 4 4'!X71</f>
        <v>-23473</v>
      </c>
      <c r="F75" s="321">
        <v>0</v>
      </c>
      <c r="G75" s="321">
        <v>0</v>
      </c>
      <c r="H75" s="334">
        <v>0</v>
      </c>
      <c r="I75" s="321">
        <f>SUM(E75:H75)</f>
        <v>-23473</v>
      </c>
      <c r="J75" s="315"/>
      <c r="K75" s="320">
        <f ca="1">+K69</f>
        <v>0.16982999999999998</v>
      </c>
      <c r="L75" s="326"/>
      <c r="M75" s="321">
        <f ca="1">I75*K75</f>
        <v>-3986.4195899999995</v>
      </c>
      <c r="N75" s="321">
        <f ca="1">I75+M75</f>
        <v>-27459.419589999998</v>
      </c>
      <c r="O75" s="321"/>
      <c r="P75" s="328"/>
      <c r="Q75" s="336">
        <v>0</v>
      </c>
      <c r="R75" s="328"/>
      <c r="S75" s="328">
        <f ca="1">SUM(N75:Q75)</f>
        <v>-27459.419589999998</v>
      </c>
    </row>
    <row r="76" spans="1:23" s="317" customFormat="1" ht="15">
      <c r="A76" s="314">
        <f t="shared" ca="1" si="15"/>
        <v>49</v>
      </c>
      <c r="B76" s="323" t="s">
        <v>256</v>
      </c>
      <c r="C76" s="323"/>
      <c r="D76" s="315"/>
      <c r="E76" s="349">
        <f>SUM(E73:E75)</f>
        <v>-162888</v>
      </c>
      <c r="F76" s="349">
        <f>SUM(F73:F75)</f>
        <v>0</v>
      </c>
      <c r="G76" s="349">
        <f>SUM(G73:G75)</f>
        <v>0</v>
      </c>
      <c r="H76" s="349">
        <f>SUM(H73:H75)</f>
        <v>0</v>
      </c>
      <c r="I76" s="349">
        <f>SUM(I73:I75)</f>
        <v>-162888</v>
      </c>
      <c r="J76" s="315"/>
      <c r="K76" s="348"/>
      <c r="L76" s="326"/>
      <c r="M76" s="349">
        <f ca="1">SUM(M73:M75)</f>
        <v>-17625.751938000001</v>
      </c>
      <c r="N76" s="349">
        <f ca="1">SUM(N73:N75)</f>
        <v>-180513.751938</v>
      </c>
      <c r="O76" s="349"/>
      <c r="P76" s="328"/>
      <c r="Q76" s="349">
        <f>SUM(Q73:Q75)</f>
        <v>0</v>
      </c>
      <c r="R76" s="328"/>
      <c r="S76" s="349">
        <f ca="1">SUM(S73:S75)</f>
        <v>-180513.751938</v>
      </c>
    </row>
    <row r="77" spans="1:23" s="317" customFormat="1" ht="15">
      <c r="A77" s="314">
        <f t="shared" ca="1" si="15"/>
        <v>50</v>
      </c>
      <c r="B77" s="323" t="s">
        <v>44</v>
      </c>
      <c r="C77" s="323"/>
      <c r="D77" s="323"/>
      <c r="E77" s="321">
        <f>E70+E76</f>
        <v>337112</v>
      </c>
      <c r="F77" s="321">
        <f>F70+F76</f>
        <v>0</v>
      </c>
      <c r="G77" s="321">
        <f>G70+G76</f>
        <v>0</v>
      </c>
      <c r="H77" s="321">
        <f>H70+H76</f>
        <v>0</v>
      </c>
      <c r="I77" s="321">
        <f>I70+I76</f>
        <v>337112</v>
      </c>
      <c r="J77" s="315"/>
      <c r="K77" s="326"/>
      <c r="L77" s="326"/>
      <c r="M77" s="321">
        <f ca="1">M70+M76</f>
        <v>37496.201598</v>
      </c>
      <c r="N77" s="321">
        <f ca="1">N70+N76</f>
        <v>374608.20159800001</v>
      </c>
      <c r="O77" s="328"/>
      <c r="P77" s="328"/>
      <c r="Q77" s="321">
        <f>Q70+Q76</f>
        <v>0</v>
      </c>
      <c r="R77" s="328"/>
      <c r="S77" s="328">
        <f ca="1">S70+S76</f>
        <v>374608.20159800001</v>
      </c>
    </row>
    <row r="78" spans="1:23" s="332" customFormat="1" ht="15">
      <c r="A78" s="314">
        <f t="shared" ca="1" si="15"/>
        <v>51</v>
      </c>
      <c r="B78" s="350" t="s">
        <v>42</v>
      </c>
      <c r="C78" s="350"/>
      <c r="D78" s="350"/>
      <c r="E78" s="321">
        <f>+'[6]Exh. No. BGM 4 4'!$X$74</f>
        <v>-74181</v>
      </c>
      <c r="F78" s="321">
        <v>0</v>
      </c>
      <c r="G78" s="321"/>
      <c r="H78" s="334">
        <v>0</v>
      </c>
      <c r="I78" s="321">
        <f>SUM(E78:H78)</f>
        <v>-74181</v>
      </c>
      <c r="J78" s="315"/>
      <c r="K78" s="330">
        <f ca="1">+'4.15'!B22*$K$7</f>
        <v>0.25907399999999997</v>
      </c>
      <c r="L78" s="326"/>
      <c r="M78" s="324">
        <f ca="1">I78*K78</f>
        <v>-19218.368393999997</v>
      </c>
      <c r="N78" s="321">
        <f ca="1">I78+M78</f>
        <v>-93399.36839399999</v>
      </c>
      <c r="O78" s="324"/>
      <c r="P78" s="328"/>
      <c r="Q78" s="336">
        <v>0</v>
      </c>
      <c r="R78" s="328"/>
      <c r="S78" s="321">
        <f ca="1">SUM(N78:Q78)</f>
        <v>-93399.36839399999</v>
      </c>
      <c r="U78" s="342"/>
      <c r="V78" s="317"/>
      <c r="W78" s="317"/>
    </row>
    <row r="79" spans="1:23" s="332" customFormat="1" ht="15">
      <c r="A79" s="314">
        <f t="shared" ca="1" si="15"/>
        <v>52</v>
      </c>
      <c r="B79" s="350" t="s">
        <v>50</v>
      </c>
      <c r="C79" s="350"/>
      <c r="D79" s="350"/>
      <c r="E79" s="344">
        <f>E77+E78</f>
        <v>262931</v>
      </c>
      <c r="F79" s="344">
        <f>F77+F78</f>
        <v>0</v>
      </c>
      <c r="G79" s="344">
        <f>G77+G78</f>
        <v>0</v>
      </c>
      <c r="H79" s="344">
        <f>H77+H78</f>
        <v>0</v>
      </c>
      <c r="I79" s="344">
        <f>I77+I78</f>
        <v>262931</v>
      </c>
      <c r="J79" s="315"/>
      <c r="K79" s="351"/>
      <c r="L79" s="326"/>
      <c r="M79" s="328">
        <f ca="1">M77+M78</f>
        <v>18277.833204000002</v>
      </c>
      <c r="N79" s="344">
        <f ca="1">N77+N78</f>
        <v>281208.83320400002</v>
      </c>
      <c r="O79" s="328"/>
      <c r="P79" s="328"/>
      <c r="Q79" s="344">
        <f>Q77+Q78</f>
        <v>0</v>
      </c>
      <c r="R79" s="328"/>
      <c r="S79" s="344">
        <f ca="1">S77+S78</f>
        <v>281208.83320400002</v>
      </c>
      <c r="U79" s="352"/>
      <c r="V79" s="353"/>
      <c r="W79" s="317"/>
    </row>
    <row r="80" spans="1:23" s="317" customFormat="1" ht="15">
      <c r="A80" s="314">
        <f t="shared" ca="1" si="15"/>
        <v>53</v>
      </c>
      <c r="B80" s="323" t="s">
        <v>36</v>
      </c>
      <c r="C80" s="323"/>
      <c r="D80" s="323"/>
      <c r="E80" s="321">
        <f>+'[6]Exh. No. BGM 4 4'!$X$76</f>
        <v>9116</v>
      </c>
      <c r="F80" s="321">
        <v>0</v>
      </c>
      <c r="G80" s="321">
        <v>0</v>
      </c>
      <c r="H80" s="321"/>
      <c r="I80" s="321">
        <f>SUM(E80:H80)</f>
        <v>9116</v>
      </c>
      <c r="J80" s="319"/>
      <c r="K80" s="320">
        <v>0</v>
      </c>
      <c r="L80" s="326"/>
      <c r="M80" s="321">
        <f>I80*K80</f>
        <v>0</v>
      </c>
      <c r="N80" s="321">
        <f>I80+M80</f>
        <v>9116</v>
      </c>
      <c r="O80" s="321"/>
      <c r="P80" s="328"/>
      <c r="Q80" s="321"/>
      <c r="R80" s="328"/>
      <c r="S80" s="321">
        <f>SUM(N80:O80)</f>
        <v>9116</v>
      </c>
      <c r="V80" s="354"/>
    </row>
    <row r="81" spans="1:23" s="332" customFormat="1" ht="15">
      <c r="A81" s="314">
        <f t="shared" ca="1" si="15"/>
        <v>54</v>
      </c>
      <c r="B81" s="350" t="s">
        <v>37</v>
      </c>
      <c r="C81" s="350"/>
      <c r="D81" s="350"/>
      <c r="E81" s="321">
        <f>+'[9]Attrition 12.2015 to 2017'!$E84</f>
        <v>0</v>
      </c>
      <c r="F81" s="321">
        <v>0</v>
      </c>
      <c r="G81" s="321">
        <v>0</v>
      </c>
      <c r="H81" s="328"/>
      <c r="I81" s="321">
        <f>SUM(E81:H81)</f>
        <v>0</v>
      </c>
      <c r="J81" s="319"/>
      <c r="K81" s="319">
        <v>0</v>
      </c>
      <c r="L81" s="326"/>
      <c r="M81" s="328">
        <f>I81*K81</f>
        <v>0</v>
      </c>
      <c r="N81" s="321">
        <f>I81+M81</f>
        <v>0</v>
      </c>
      <c r="O81" s="328"/>
      <c r="P81" s="328"/>
      <c r="Q81" s="328"/>
      <c r="R81" s="328"/>
      <c r="S81" s="321">
        <f>SUM(N81:O81)</f>
        <v>0</v>
      </c>
      <c r="V81" s="355"/>
      <c r="W81" s="317"/>
    </row>
    <row r="82" spans="1:23" s="332" customFormat="1" ht="15">
      <c r="A82" s="314">
        <f t="shared" ca="1" si="15"/>
        <v>55</v>
      </c>
      <c r="B82" s="350" t="s">
        <v>54</v>
      </c>
      <c r="C82" s="350"/>
      <c r="D82" s="350"/>
      <c r="E82" s="321">
        <f>+'[6]Exh. No. BGM 4 4'!$X$78</f>
        <v>-249</v>
      </c>
      <c r="F82" s="321">
        <v>0</v>
      </c>
      <c r="G82" s="321">
        <v>0</v>
      </c>
      <c r="H82" s="328"/>
      <c r="I82" s="321">
        <f>SUM(E82:H82)</f>
        <v>-249</v>
      </c>
      <c r="J82" s="319"/>
      <c r="K82" s="319">
        <v>0</v>
      </c>
      <c r="L82" s="326"/>
      <c r="M82" s="328">
        <f>I82*K82</f>
        <v>0</v>
      </c>
      <c r="N82" s="321">
        <f>I82+M82</f>
        <v>-249</v>
      </c>
      <c r="O82" s="328"/>
      <c r="P82" s="328"/>
      <c r="Q82" s="328"/>
      <c r="R82" s="328"/>
      <c r="S82" s="321">
        <f>SUM(N82:O82)</f>
        <v>-249</v>
      </c>
      <c r="U82" s="355"/>
      <c r="W82" s="317"/>
    </row>
    <row r="83" spans="1:23" s="317" customFormat="1" ht="15">
      <c r="A83" s="314">
        <f t="shared" ca="1" si="15"/>
        <v>56</v>
      </c>
      <c r="B83" s="323" t="s">
        <v>45</v>
      </c>
      <c r="C83" s="323"/>
      <c r="D83" s="323"/>
      <c r="E83" s="321">
        <f>+'[6]Exh. No. BGM 4 4'!$X$79</f>
        <v>14800</v>
      </c>
      <c r="F83" s="321">
        <v>0</v>
      </c>
      <c r="G83" s="321">
        <v>0</v>
      </c>
      <c r="H83" s="328"/>
      <c r="I83" s="321">
        <f>SUM(E83:H83)</f>
        <v>14800</v>
      </c>
      <c r="J83" s="319"/>
      <c r="K83" s="319">
        <v>0</v>
      </c>
      <c r="L83" s="326"/>
      <c r="M83" s="328">
        <f>I83*K83</f>
        <v>0</v>
      </c>
      <c r="N83" s="328">
        <f>I83+M83</f>
        <v>14800</v>
      </c>
      <c r="O83" s="328"/>
      <c r="P83" s="328"/>
      <c r="Q83" s="328"/>
      <c r="R83" s="328"/>
      <c r="S83" s="328">
        <f>SUM(N83:O83)</f>
        <v>14800</v>
      </c>
      <c r="T83" s="332"/>
      <c r="U83" s="355"/>
      <c r="V83" s="355"/>
    </row>
    <row r="84" spans="1:23" s="317" customFormat="1" ht="15">
      <c r="A84" s="314">
        <f t="shared" ca="1" si="15"/>
        <v>57</v>
      </c>
      <c r="B84" s="508" t="s">
        <v>313</v>
      </c>
      <c r="C84" s="508"/>
      <c r="D84" s="350"/>
      <c r="E84" s="328"/>
      <c r="F84" s="328"/>
      <c r="G84" s="328"/>
      <c r="H84" s="328"/>
      <c r="I84" s="328"/>
      <c r="J84" s="374"/>
      <c r="K84" s="374"/>
      <c r="L84" s="351"/>
      <c r="M84" s="328"/>
      <c r="N84" s="328"/>
      <c r="O84" s="328"/>
      <c r="P84" s="328"/>
      <c r="Q84" s="328"/>
      <c r="R84" s="328"/>
      <c r="S84" s="451">
        <f ca="1">+MIN('[6]Exh. No. BGM-4 1'!$R$46-SUM(S79:S83),0)</f>
        <v>-5059.2216193916975</v>
      </c>
      <c r="T84" s="332"/>
      <c r="U84" s="355"/>
      <c r="V84" s="355"/>
    </row>
    <row r="85" spans="1:23" s="355" customFormat="1" thickBot="1">
      <c r="A85" s="314">
        <f t="shared" ca="1" si="15"/>
        <v>58</v>
      </c>
      <c r="B85" s="356" t="s">
        <v>38</v>
      </c>
      <c r="C85" s="356"/>
      <c r="D85" s="356"/>
      <c r="E85" s="375">
        <f>SUM(E79:E83)</f>
        <v>286598</v>
      </c>
      <c r="F85" s="375">
        <f>SUM(F79:F83)</f>
        <v>0</v>
      </c>
      <c r="G85" s="375">
        <f>SUM(G79:G83)</f>
        <v>0</v>
      </c>
      <c r="H85" s="375">
        <f>SUM(H79:H83)</f>
        <v>0</v>
      </c>
      <c r="I85" s="375">
        <f>SUM(I79:I83)</f>
        <v>286598</v>
      </c>
      <c r="J85" s="356"/>
      <c r="K85" s="356"/>
      <c r="L85" s="326"/>
      <c r="M85" s="375">
        <f ca="1">SUM(M79:M83)</f>
        <v>18277.833204000002</v>
      </c>
      <c r="N85" s="375">
        <f ca="1">SUM(N79:N83)</f>
        <v>304875.83320400002</v>
      </c>
      <c r="O85" s="375"/>
      <c r="P85" s="328"/>
      <c r="Q85" s="375">
        <f>SUM(Q79:Q83)</f>
        <v>0</v>
      </c>
      <c r="R85" s="328"/>
      <c r="S85" s="375">
        <f ca="1">SUM(S79:S84)</f>
        <v>299816.61158460833</v>
      </c>
      <c r="T85" s="332"/>
      <c r="V85" s="329"/>
    </row>
    <row r="86" spans="1:23" s="355" customFormat="1" thickTop="1">
      <c r="A86" s="357"/>
      <c r="D86" s="358"/>
      <c r="E86" s="359"/>
      <c r="F86" s="360"/>
      <c r="G86" s="359"/>
      <c r="H86" s="359"/>
      <c r="I86" s="359"/>
      <c r="M86" s="359"/>
      <c r="N86" s="359"/>
      <c r="O86" s="359"/>
      <c r="P86" s="308"/>
      <c r="Q86" s="359"/>
      <c r="R86" s="308"/>
      <c r="S86" s="359"/>
      <c r="T86" s="332"/>
      <c r="V86" s="340"/>
      <c r="W86" s="361"/>
    </row>
    <row r="87" spans="1:23" s="355" customFormat="1" ht="15">
      <c r="A87" s="362"/>
      <c r="B87" s="322"/>
      <c r="C87" s="322"/>
      <c r="D87" s="322"/>
      <c r="E87" s="335"/>
      <c r="F87" s="360"/>
      <c r="G87" s="359"/>
      <c r="H87" s="359"/>
      <c r="M87" s="359"/>
      <c r="N87" s="359"/>
      <c r="O87" s="359"/>
      <c r="P87" s="359"/>
      <c r="Q87" s="359"/>
      <c r="R87" s="308"/>
      <c r="S87" s="335"/>
      <c r="T87" s="332"/>
      <c r="V87" s="332"/>
      <c r="W87" s="361"/>
    </row>
    <row r="88" spans="1:23" s="355" customFormat="1" ht="15">
      <c r="A88" s="314">
        <f t="shared" ref="A88" ca="1" si="16">+MAX(OFFSET(A$1,0,0,ROW(A88)-ROW(A$1)))+1</f>
        <v>59</v>
      </c>
      <c r="B88" s="322" t="s">
        <v>128</v>
      </c>
      <c r="C88" s="322"/>
      <c r="D88" s="322"/>
      <c r="E88" s="335">
        <f>E63/E85</f>
        <v>7.9548521552837079E-2</v>
      </c>
      <c r="F88" s="360"/>
      <c r="G88" s="359"/>
      <c r="H88" s="359"/>
      <c r="M88" s="359"/>
      <c r="N88" s="359"/>
      <c r="O88" s="359"/>
      <c r="P88" s="359"/>
      <c r="Q88" s="359">
        <f>((Q85*'2) ROR'!F15)-'3.02) Attrition 2016 to 2019'!Q63)/'2) ROR'!N24</f>
        <v>0</v>
      </c>
      <c r="R88" s="308"/>
      <c r="S88" s="335">
        <f ca="1">S63/S85</f>
        <v>7.4106854490930019E-2</v>
      </c>
      <c r="T88" s="332"/>
      <c r="V88" s="332"/>
      <c r="W88" s="361"/>
    </row>
    <row r="89" spans="1:23" s="315" customFormat="1" ht="15">
      <c r="A89" s="341"/>
      <c r="D89" s="363"/>
      <c r="E89" s="364"/>
      <c r="I89" s="364"/>
      <c r="M89" s="364"/>
      <c r="N89" s="364"/>
      <c r="O89" s="364"/>
      <c r="P89" s="364"/>
      <c r="Q89" s="364"/>
      <c r="R89" s="364"/>
      <c r="T89" s="332"/>
      <c r="U89" s="355"/>
      <c r="V89" s="332"/>
      <c r="W89" s="308"/>
    </row>
    <row r="90" spans="1:23" s="317" customFormat="1" ht="15">
      <c r="A90" s="314">
        <f t="shared" ref="A90:A98" ca="1" si="17">+MAX(OFFSET(A$1,0,0,ROW(A90)-ROW(A$1)))+1</f>
        <v>60</v>
      </c>
      <c r="B90" s="407" t="s">
        <v>327</v>
      </c>
      <c r="C90" s="399"/>
      <c r="D90" s="399"/>
      <c r="E90" s="408"/>
      <c r="F90" s="399"/>
      <c r="G90" s="399"/>
      <c r="H90" s="399"/>
      <c r="I90" s="399"/>
      <c r="J90" s="399"/>
      <c r="K90" s="399"/>
      <c r="L90" s="399"/>
      <c r="M90" s="399"/>
      <c r="N90" s="399"/>
      <c r="O90" s="399"/>
      <c r="P90" s="399"/>
      <c r="Q90" s="399"/>
      <c r="R90" s="399"/>
      <c r="S90" s="409"/>
      <c r="U90" s="365"/>
      <c r="V90" s="332"/>
      <c r="W90" s="332"/>
    </row>
    <row r="91" spans="1:23" s="317" customFormat="1" ht="15">
      <c r="A91" s="314">
        <f t="shared" ca="1" si="17"/>
        <v>61</v>
      </c>
      <c r="B91" s="400" t="s">
        <v>88</v>
      </c>
      <c r="C91" s="308"/>
      <c r="D91" s="308"/>
      <c r="E91" s="374"/>
      <c r="F91" s="366"/>
      <c r="G91" s="366"/>
      <c r="H91" s="366"/>
      <c r="I91" s="366"/>
      <c r="J91" s="366"/>
      <c r="K91" s="366"/>
      <c r="L91" s="366"/>
      <c r="M91" s="366"/>
      <c r="N91" s="366"/>
      <c r="O91" s="366"/>
      <c r="P91" s="366"/>
      <c r="Q91" s="366"/>
      <c r="R91" s="366"/>
      <c r="S91" s="402">
        <f>'2) ROR'!F15</f>
        <v>7.0800000000000002E-2</v>
      </c>
      <c r="V91" s="332"/>
      <c r="W91" s="332"/>
    </row>
    <row r="92" spans="1:23" s="317" customFormat="1" ht="15">
      <c r="A92" s="314">
        <f t="shared" ca="1" si="17"/>
        <v>62</v>
      </c>
      <c r="B92" s="400" t="s">
        <v>89</v>
      </c>
      <c r="C92" s="308"/>
      <c r="D92" s="308"/>
      <c r="E92" s="360"/>
      <c r="F92" s="366"/>
      <c r="G92" s="366"/>
      <c r="H92" s="366"/>
      <c r="I92" s="366"/>
      <c r="J92" s="366"/>
      <c r="K92" s="366"/>
      <c r="L92" s="366"/>
      <c r="M92" s="366"/>
      <c r="N92" s="366"/>
      <c r="O92" s="366"/>
      <c r="P92" s="366"/>
      <c r="Q92" s="366"/>
      <c r="R92" s="366"/>
      <c r="S92" s="454">
        <f ca="1">S85*S91</f>
        <v>21227.016100190271</v>
      </c>
      <c r="U92" s="352"/>
      <c r="V92" s="333"/>
      <c r="W92" s="335"/>
    </row>
    <row r="93" spans="1:23" s="317" customFormat="1" ht="15">
      <c r="A93" s="314">
        <f t="shared" ca="1" si="17"/>
        <v>63</v>
      </c>
      <c r="B93" s="400" t="s">
        <v>90</v>
      </c>
      <c r="C93" s="308"/>
      <c r="D93" s="308"/>
      <c r="E93" s="328"/>
      <c r="F93" s="366"/>
      <c r="G93" s="366"/>
      <c r="H93" s="366"/>
      <c r="I93" s="366"/>
      <c r="J93" s="366"/>
      <c r="K93" s="366"/>
      <c r="L93" s="366"/>
      <c r="M93" s="366"/>
      <c r="N93" s="366"/>
      <c r="O93" s="366"/>
      <c r="P93" s="366"/>
      <c r="Q93" s="366"/>
      <c r="R93" s="366"/>
      <c r="S93" s="403">
        <f ca="1">S63</f>
        <v>22218.466008664254</v>
      </c>
      <c r="V93" s="332"/>
      <c r="W93" s="332"/>
    </row>
    <row r="94" spans="1:23" s="317" customFormat="1" ht="15">
      <c r="A94" s="314">
        <f t="shared" ca="1" si="17"/>
        <v>64</v>
      </c>
      <c r="B94" s="400" t="s">
        <v>91</v>
      </c>
      <c r="C94" s="308"/>
      <c r="D94" s="308"/>
      <c r="E94" s="360"/>
      <c r="F94" s="366"/>
      <c r="G94" s="366"/>
      <c r="H94" s="366"/>
      <c r="I94" s="366"/>
      <c r="J94" s="366"/>
      <c r="K94" s="366"/>
      <c r="L94" s="366"/>
      <c r="M94" s="366"/>
      <c r="N94" s="366"/>
      <c r="O94" s="366"/>
      <c r="P94" s="366"/>
      <c r="Q94" s="366"/>
      <c r="R94" s="366"/>
      <c r="S94" s="403">
        <f ca="1">S92-S93</f>
        <v>-991.44990847398367</v>
      </c>
      <c r="V94" s="335"/>
      <c r="W94" s="332"/>
    </row>
    <row r="95" spans="1:23" s="317" customFormat="1" ht="15">
      <c r="A95" s="314">
        <f t="shared" ca="1" si="17"/>
        <v>65</v>
      </c>
      <c r="B95" s="400" t="s">
        <v>92</v>
      </c>
      <c r="C95" s="308"/>
      <c r="D95" s="308"/>
      <c r="E95" s="308"/>
      <c r="F95" s="366"/>
      <c r="G95" s="366"/>
      <c r="H95" s="366"/>
      <c r="I95" s="366"/>
      <c r="J95" s="366"/>
      <c r="K95" s="366"/>
      <c r="L95" s="366"/>
      <c r="M95" s="366"/>
      <c r="N95" s="366"/>
      <c r="O95" s="366"/>
      <c r="P95" s="366"/>
      <c r="Q95" s="366"/>
      <c r="R95" s="366"/>
      <c r="S95" s="401">
        <f>'2) ROR'!N24</f>
        <v>0.620645</v>
      </c>
      <c r="U95" s="342"/>
      <c r="V95" s="332"/>
      <c r="W95" s="332"/>
    </row>
    <row r="96" spans="1:23" s="317" customFormat="1" ht="15">
      <c r="A96" s="314">
        <f t="shared" ca="1" si="17"/>
        <v>66</v>
      </c>
      <c r="B96" s="400" t="s">
        <v>93</v>
      </c>
      <c r="C96" s="308"/>
      <c r="D96" s="308"/>
      <c r="E96" s="360"/>
      <c r="F96" s="366"/>
      <c r="G96" s="366"/>
      <c r="H96" s="366"/>
      <c r="I96" s="366"/>
      <c r="J96" s="366"/>
      <c r="K96" s="366"/>
      <c r="L96" s="366"/>
      <c r="M96" s="366"/>
      <c r="N96" s="366"/>
      <c r="O96" s="366"/>
      <c r="P96" s="366"/>
      <c r="Q96" s="366"/>
      <c r="R96" s="366"/>
      <c r="S96" s="403">
        <f ca="1">S94/S95</f>
        <v>-1597.450891369436</v>
      </c>
      <c r="V96" s="332"/>
      <c r="W96" s="332"/>
    </row>
    <row r="97" spans="1:24" s="317" customFormat="1" ht="15">
      <c r="A97" s="314">
        <f t="shared" ca="1" si="17"/>
        <v>67</v>
      </c>
      <c r="B97" s="400" t="s">
        <v>94</v>
      </c>
      <c r="C97" s="308"/>
      <c r="D97" s="308"/>
      <c r="E97" s="380"/>
      <c r="F97" s="367"/>
      <c r="G97" s="367"/>
      <c r="H97" s="367"/>
      <c r="I97" s="367"/>
      <c r="J97" s="367"/>
      <c r="K97" s="367"/>
      <c r="L97" s="367"/>
      <c r="M97" s="367"/>
      <c r="N97" s="367"/>
      <c r="O97" s="367"/>
      <c r="P97" s="367"/>
      <c r="Q97" s="367"/>
      <c r="R97" s="367"/>
      <c r="S97" s="410">
        <f>(S10+S11)/(I10+I11-H10)</f>
        <v>1.0120051502145924</v>
      </c>
      <c r="U97" s="368"/>
      <c r="V97" s="332"/>
      <c r="W97" s="332"/>
      <c r="X97" s="332"/>
    </row>
    <row r="98" spans="1:24" s="317" customFormat="1" ht="15">
      <c r="A98" s="314">
        <f t="shared" ca="1" si="17"/>
        <v>68</v>
      </c>
      <c r="B98" s="404" t="s">
        <v>328</v>
      </c>
      <c r="C98" s="405"/>
      <c r="D98" s="405"/>
      <c r="E98" s="406"/>
      <c r="F98" s="369"/>
      <c r="G98" s="369"/>
      <c r="H98" s="369"/>
      <c r="I98" s="369"/>
      <c r="J98" s="369"/>
      <c r="K98" s="369"/>
      <c r="L98" s="369"/>
      <c r="M98" s="369"/>
      <c r="N98" s="369"/>
      <c r="O98" s="369"/>
      <c r="P98" s="369"/>
      <c r="Q98" s="369"/>
      <c r="R98" s="369"/>
      <c r="S98" s="434">
        <f ca="1">S96/S97</f>
        <v>-1578.5007527191949</v>
      </c>
      <c r="U98" s="332"/>
      <c r="V98" s="332"/>
      <c r="W98" s="332"/>
      <c r="X98" s="332"/>
    </row>
    <row r="99" spans="1:24" s="317" customFormat="1" ht="15">
      <c r="A99" s="362"/>
      <c r="E99" s="392"/>
      <c r="F99" s="315"/>
      <c r="U99" s="333"/>
      <c r="V99" s="333"/>
      <c r="W99" s="335"/>
      <c r="X99" s="332"/>
    </row>
    <row r="100" spans="1:24" ht="27"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298"/>
      <c r="V100" s="298"/>
      <c r="W100" s="298"/>
      <c r="X100" s="298"/>
    </row>
    <row r="101" spans="1:24">
      <c r="U101" s="298"/>
      <c r="V101" s="299"/>
      <c r="W101" s="298"/>
      <c r="X101" s="298"/>
    </row>
    <row r="102" spans="1:24">
      <c r="I102" s="302"/>
      <c r="J102" s="302"/>
      <c r="K102" s="302"/>
      <c r="L102" s="302"/>
      <c r="M102" s="302"/>
      <c r="N102" s="302"/>
      <c r="U102" s="298"/>
      <c r="V102" s="298"/>
      <c r="W102" s="298"/>
      <c r="X102" s="298"/>
    </row>
    <row r="103" spans="1:24">
      <c r="I103" s="302"/>
      <c r="J103" s="302"/>
      <c r="K103" s="302"/>
      <c r="L103" s="302"/>
      <c r="M103" s="302"/>
      <c r="N103" s="302"/>
      <c r="U103" s="298"/>
      <c r="V103" s="298"/>
      <c r="W103" s="298"/>
      <c r="X103" s="298"/>
    </row>
    <row r="104" spans="1:24">
      <c r="I104" s="302"/>
      <c r="J104" s="302"/>
      <c r="K104" s="302"/>
      <c r="L104" s="302"/>
      <c r="M104" s="302"/>
      <c r="N104" s="302"/>
    </row>
    <row r="105" spans="1:24">
      <c r="I105" s="302"/>
      <c r="J105" s="302"/>
      <c r="K105" s="302"/>
      <c r="L105" s="302"/>
      <c r="M105" s="302"/>
      <c r="N105" s="302"/>
    </row>
    <row r="106" spans="1:24">
      <c r="I106" s="302"/>
      <c r="J106" s="302"/>
      <c r="K106" s="302"/>
      <c r="L106" s="302"/>
      <c r="M106" s="302"/>
      <c r="N106" s="302"/>
    </row>
    <row r="107" spans="1:24">
      <c r="I107" s="302"/>
      <c r="J107" s="302"/>
      <c r="K107" s="302"/>
      <c r="L107" s="302"/>
      <c r="M107" s="302"/>
      <c r="N107" s="302"/>
    </row>
    <row r="108" spans="1:24">
      <c r="I108" s="302"/>
      <c r="J108" s="302"/>
      <c r="K108" s="302"/>
      <c r="L108" s="302"/>
      <c r="M108" s="302"/>
      <c r="N108" s="302"/>
    </row>
    <row r="109" spans="1:24">
      <c r="I109" s="302"/>
      <c r="J109" s="302"/>
      <c r="K109" s="302"/>
      <c r="L109" s="302"/>
      <c r="M109" s="302"/>
      <c r="N109" s="302"/>
    </row>
    <row r="193" spans="7:7">
      <c r="G193" s="301"/>
    </row>
    <row r="194" spans="7:7">
      <c r="G194" s="301"/>
    </row>
    <row r="195" spans="7:7">
      <c r="G195" s="301"/>
    </row>
    <row r="196" spans="7:7">
      <c r="G196" s="301"/>
    </row>
    <row r="197" spans="7:7">
      <c r="G197" s="301"/>
    </row>
    <row r="198" spans="7:7">
      <c r="G198" s="301"/>
    </row>
    <row r="199" spans="7:7">
      <c r="G199" s="301"/>
    </row>
    <row r="200" spans="7:7">
      <c r="G200" s="301"/>
    </row>
    <row r="201" spans="7:7">
      <c r="G201" s="301"/>
    </row>
    <row r="202" spans="7:7">
      <c r="G202" s="301"/>
    </row>
    <row r="203" spans="7:7">
      <c r="G203" s="301"/>
    </row>
    <row r="204" spans="7:7">
      <c r="G204" s="301"/>
    </row>
    <row r="205" spans="7:7">
      <c r="G205" s="301"/>
    </row>
    <row r="206" spans="7:7">
      <c r="G206" s="301"/>
    </row>
    <row r="207" spans="7:7">
      <c r="G207" s="301"/>
    </row>
  </sheetData>
  <mergeCells count="22">
    <mergeCell ref="K3:K5"/>
    <mergeCell ref="E4:E7"/>
    <mergeCell ref="F4:F7"/>
    <mergeCell ref="G4:G7"/>
    <mergeCell ref="H4:H7"/>
    <mergeCell ref="I4:I7"/>
    <mergeCell ref="E52:E55"/>
    <mergeCell ref="F52:F55"/>
    <mergeCell ref="G52:G55"/>
    <mergeCell ref="H52:H55"/>
    <mergeCell ref="I52:I55"/>
    <mergeCell ref="S52:S55"/>
    <mergeCell ref="M4:M7"/>
    <mergeCell ref="N4:N7"/>
    <mergeCell ref="O4:O7"/>
    <mergeCell ref="Q4:Q7"/>
    <mergeCell ref="S4:S7"/>
    <mergeCell ref="K52:K55"/>
    <mergeCell ref="M52:M55"/>
    <mergeCell ref="N52:N55"/>
    <mergeCell ref="O52:O55"/>
    <mergeCell ref="Q52:Q55"/>
  </mergeCells>
  <printOptions horizontalCentered="1" verticalCentered="1"/>
  <pageMargins left="0.7" right="0.7" top="0.25" bottom="0.25" header="0" footer="0"/>
  <pageSetup scale="70" orientation="landscape" r:id="rId1"/>
  <headerFooter scaleWithDoc="0"/>
  <rowBreaks count="1" manualBreakCount="1">
    <brk id="48"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207"/>
  <sheetViews>
    <sheetView showGridLines="0" zoomScaleNormal="100" zoomScaleSheetLayoutView="70" workbookViewId="0"/>
  </sheetViews>
  <sheetFormatPr defaultColWidth="10.7109375" defaultRowHeight="15.75"/>
  <cols>
    <col min="1" max="1" width="5" style="300" customWidth="1"/>
    <col min="2" max="2" width="1.7109375" style="297" customWidth="1"/>
    <col min="3" max="3" width="35" style="297" customWidth="1"/>
    <col min="4" max="4" width="1.28515625" style="297" customWidth="1"/>
    <col min="5" max="5" width="12.85546875" style="301" customWidth="1"/>
    <col min="6" max="6" width="12.85546875" style="296" customWidth="1"/>
    <col min="7" max="7" width="12.85546875" style="297" customWidth="1"/>
    <col min="8" max="8" width="12.85546875" style="297" hidden="1" customWidth="1"/>
    <col min="9" max="9" width="12.85546875" style="297" customWidth="1"/>
    <col min="10" max="10" width="1.28515625" style="297" customWidth="1"/>
    <col min="11" max="11" width="12.85546875" style="297" customWidth="1"/>
    <col min="12" max="12" width="1.28515625" style="297" customWidth="1"/>
    <col min="13" max="15" width="12.85546875" style="297" customWidth="1"/>
    <col min="16" max="16" width="1.28515625" style="297" customWidth="1"/>
    <col min="17" max="17" width="12.85546875" style="297" hidden="1" customWidth="1"/>
    <col min="18" max="18" width="1.140625" style="297" hidden="1" customWidth="1"/>
    <col min="19" max="19" width="12.85546875" style="297" customWidth="1"/>
    <col min="20" max="16384" width="10.7109375" style="297"/>
  </cols>
  <sheetData>
    <row r="1" spans="1:19" s="411" customFormat="1" ht="18.75">
      <c r="A1" s="433" t="s">
        <v>378</v>
      </c>
      <c r="B1" s="433"/>
      <c r="C1" s="433"/>
      <c r="D1" s="433"/>
      <c r="E1" s="433"/>
      <c r="F1" s="433"/>
      <c r="G1" s="433"/>
      <c r="H1" s="433"/>
      <c r="I1" s="433"/>
      <c r="J1" s="433"/>
      <c r="K1" s="433"/>
      <c r="L1" s="433"/>
      <c r="M1" s="433"/>
      <c r="N1" s="433"/>
      <c r="O1" s="433"/>
      <c r="P1" s="433"/>
      <c r="Q1" s="433"/>
      <c r="R1" s="433"/>
      <c r="S1" s="433"/>
    </row>
    <row r="2" spans="1:19" s="308" customFormat="1" ht="17.25" customHeight="1">
      <c r="A2" s="370"/>
      <c r="B2" s="370"/>
      <c r="C2" s="370"/>
      <c r="D2" s="370"/>
      <c r="E2" s="380"/>
    </row>
    <row r="3" spans="1:19" s="387" customFormat="1" ht="17.25" customHeight="1">
      <c r="A3" s="381"/>
      <c r="B3" s="382"/>
      <c r="C3" s="383" t="s">
        <v>151</v>
      </c>
      <c r="D3" s="381"/>
      <c r="E3" s="384" t="s">
        <v>317</v>
      </c>
      <c r="F3" s="385"/>
      <c r="G3" s="385"/>
      <c r="H3" s="385"/>
      <c r="I3" s="386"/>
      <c r="K3" s="518" t="s">
        <v>321</v>
      </c>
      <c r="M3" s="388" t="s">
        <v>126</v>
      </c>
      <c r="N3" s="389"/>
      <c r="O3" s="390"/>
      <c r="P3" s="308"/>
      <c r="Q3" s="391" t="s">
        <v>320</v>
      </c>
      <c r="R3" s="308"/>
      <c r="S3" s="453" t="s">
        <v>258</v>
      </c>
    </row>
    <row r="4" spans="1:19" s="304" customFormat="1" ht="15" customHeight="1">
      <c r="A4" s="303"/>
      <c r="E4" s="526" t="s">
        <v>337</v>
      </c>
      <c r="F4" s="515" t="s">
        <v>264</v>
      </c>
      <c r="G4" s="515" t="s">
        <v>228</v>
      </c>
      <c r="H4" s="515" t="s">
        <v>263</v>
      </c>
      <c r="I4" s="517" t="s">
        <v>265</v>
      </c>
      <c r="K4" s="519"/>
      <c r="L4" s="305"/>
      <c r="M4" s="514" t="s">
        <v>318</v>
      </c>
      <c r="N4" s="514" t="s">
        <v>319</v>
      </c>
      <c r="O4" s="514" t="s">
        <v>220</v>
      </c>
      <c r="P4" s="308"/>
      <c r="Q4" s="521" t="s">
        <v>266</v>
      </c>
      <c r="R4" s="308"/>
      <c r="S4" s="521" t="s">
        <v>381</v>
      </c>
    </row>
    <row r="5" spans="1:19" s="309" customFormat="1" ht="15">
      <c r="A5" s="306"/>
      <c r="B5" s="307"/>
      <c r="C5" s="307"/>
      <c r="D5" s="308"/>
      <c r="E5" s="527"/>
      <c r="F5" s="528"/>
      <c r="G5" s="516"/>
      <c r="H5" s="516"/>
      <c r="I5" s="514"/>
      <c r="J5" s="307"/>
      <c r="K5" s="520"/>
      <c r="L5" s="305"/>
      <c r="M5" s="514"/>
      <c r="N5" s="514"/>
      <c r="O5" s="514"/>
      <c r="P5" s="308"/>
      <c r="Q5" s="524"/>
      <c r="R5" s="308"/>
      <c r="S5" s="522"/>
    </row>
    <row r="6" spans="1:19" s="309" customFormat="1" ht="15" customHeight="1">
      <c r="A6" s="310" t="s">
        <v>0</v>
      </c>
      <c r="B6" s="307"/>
      <c r="C6" s="307"/>
      <c r="D6" s="308"/>
      <c r="E6" s="527"/>
      <c r="F6" s="528"/>
      <c r="G6" s="516"/>
      <c r="H6" s="516"/>
      <c r="I6" s="514"/>
      <c r="J6" s="307"/>
      <c r="K6" s="501" t="s">
        <v>351</v>
      </c>
      <c r="L6" s="305"/>
      <c r="M6" s="514"/>
      <c r="N6" s="514"/>
      <c r="O6" s="514"/>
      <c r="P6" s="308"/>
      <c r="Q6" s="524"/>
      <c r="R6" s="308"/>
      <c r="S6" s="522"/>
    </row>
    <row r="7" spans="1:19" s="309" customFormat="1" ht="16.5" customHeight="1">
      <c r="A7" s="310" t="s">
        <v>350</v>
      </c>
      <c r="B7" s="311"/>
      <c r="C7" s="312" t="s">
        <v>3</v>
      </c>
      <c r="D7" s="311"/>
      <c r="E7" s="527"/>
      <c r="F7" s="528"/>
      <c r="G7" s="516"/>
      <c r="H7" s="516"/>
      <c r="I7" s="514"/>
      <c r="J7" s="307"/>
      <c r="K7" s="507">
        <v>4.33</v>
      </c>
      <c r="L7" s="305"/>
      <c r="M7" s="514"/>
      <c r="N7" s="514"/>
      <c r="O7" s="514"/>
      <c r="P7" s="308"/>
      <c r="Q7" s="525"/>
      <c r="R7" s="308"/>
      <c r="S7" s="523"/>
    </row>
    <row r="8" spans="1:19" s="309" customFormat="1" ht="15">
      <c r="A8" s="306"/>
      <c r="B8" s="307"/>
      <c r="C8" s="307"/>
      <c r="D8" s="307"/>
      <c r="E8" s="313" t="s">
        <v>174</v>
      </c>
      <c r="F8" s="313" t="s">
        <v>175</v>
      </c>
      <c r="G8" s="313" t="s">
        <v>176</v>
      </c>
      <c r="H8" s="313" t="s">
        <v>177</v>
      </c>
      <c r="I8" s="313" t="s">
        <v>178</v>
      </c>
      <c r="J8" s="307"/>
      <c r="K8" s="313" t="s">
        <v>179</v>
      </c>
      <c r="L8" s="313"/>
      <c r="M8" s="313" t="s">
        <v>180</v>
      </c>
      <c r="N8" s="313" t="s">
        <v>181</v>
      </c>
      <c r="O8" s="313" t="s">
        <v>182</v>
      </c>
      <c r="P8" s="308"/>
      <c r="Q8" s="313" t="s">
        <v>183</v>
      </c>
      <c r="R8" s="308"/>
      <c r="S8" s="313" t="s">
        <v>184</v>
      </c>
    </row>
    <row r="9" spans="1:19" s="317" customFormat="1" ht="15">
      <c r="A9" s="314">
        <f t="shared" ref="A9:A46" ca="1" si="0">+MAX(OFFSET(A$1,0,0,ROW(A9)-ROW(A$1)))+1</f>
        <v>1</v>
      </c>
      <c r="B9" s="315" t="s">
        <v>6</v>
      </c>
      <c r="C9" s="315"/>
      <c r="D9" s="315"/>
      <c r="E9" s="316"/>
      <c r="F9" s="315"/>
      <c r="G9" s="315"/>
      <c r="H9" s="315"/>
      <c r="I9" s="315"/>
      <c r="J9" s="315"/>
      <c r="K9" s="315"/>
      <c r="L9" s="315"/>
      <c r="M9" s="315"/>
      <c r="N9" s="315"/>
      <c r="O9" s="315"/>
      <c r="P9" s="308"/>
      <c r="Q9" s="315"/>
      <c r="R9" s="308"/>
      <c r="S9" s="315"/>
    </row>
    <row r="10" spans="1:19" s="322" customFormat="1" ht="15">
      <c r="A10" s="314">
        <f t="shared" ca="1" si="0"/>
        <v>2</v>
      </c>
      <c r="B10" s="318" t="s">
        <v>7</v>
      </c>
      <c r="C10" s="318"/>
      <c r="D10" s="318"/>
      <c r="E10" s="378">
        <f>+'[6]Exh. No. BGM 4 4'!X15</f>
        <v>150970</v>
      </c>
      <c r="F10" s="378">
        <v>0</v>
      </c>
      <c r="G10" s="378">
        <f>+'[6]Exh. No. BGM 4 4'!$AF$15</f>
        <v>-66671</v>
      </c>
      <c r="H10" s="378"/>
      <c r="I10" s="378">
        <f>SUM(E10:H10)</f>
        <v>84299</v>
      </c>
      <c r="J10" s="319"/>
      <c r="K10" s="330">
        <f>-'[8]Cost Trends'!$T$206/2.33*K7</f>
        <v>1.5610300429184548E-2</v>
      </c>
      <c r="L10" s="320"/>
      <c r="M10" s="378"/>
      <c r="N10" s="378">
        <f>I10+M10</f>
        <v>84299</v>
      </c>
      <c r="O10" s="378">
        <f>(N10)*K10</f>
        <v>1315.9327158798283</v>
      </c>
      <c r="P10" s="378"/>
      <c r="Q10" s="378"/>
      <c r="R10" s="378"/>
      <c r="S10" s="378">
        <f>SUM(N10:Q10)</f>
        <v>85614.932715879826</v>
      </c>
    </row>
    <row r="11" spans="1:19" s="317" customFormat="1" ht="15">
      <c r="A11" s="314">
        <f t="shared" ca="1" si="0"/>
        <v>3</v>
      </c>
      <c r="B11" s="323" t="s">
        <v>8</v>
      </c>
      <c r="C11" s="315"/>
      <c r="D11" s="323"/>
      <c r="E11" s="321">
        <f>+'[6]Exh. No. BGM 4 4'!X16</f>
        <v>4477</v>
      </c>
      <c r="F11" s="321">
        <v>0</v>
      </c>
      <c r="G11" s="321">
        <f>+'[6]Exh. No. BGM 4 4'!$AF$16</f>
        <v>56</v>
      </c>
      <c r="H11" s="321"/>
      <c r="I11" s="321">
        <f>SUM(E11:H11)</f>
        <v>4533</v>
      </c>
      <c r="J11" s="319"/>
      <c r="K11" s="330">
        <f>-'[8]Cost Trends'!$T$206/2.33*K7</f>
        <v>1.5610300429184548E-2</v>
      </c>
      <c r="L11" s="347"/>
      <c r="M11" s="321"/>
      <c r="N11" s="321">
        <f>I11+M11</f>
        <v>4533</v>
      </c>
      <c r="O11" s="321">
        <f>N11*K11</f>
        <v>70.761491845493552</v>
      </c>
      <c r="P11" s="328"/>
      <c r="Q11" s="321"/>
      <c r="R11" s="328"/>
      <c r="S11" s="321">
        <f>SUM(N11:Q11)</f>
        <v>4603.7614918454938</v>
      </c>
    </row>
    <row r="12" spans="1:19" s="317" customFormat="1" ht="15">
      <c r="A12" s="314">
        <f t="shared" ca="1" si="0"/>
        <v>4</v>
      </c>
      <c r="B12" s="323" t="s">
        <v>9</v>
      </c>
      <c r="C12" s="315"/>
      <c r="D12" s="323"/>
      <c r="E12" s="321">
        <f>+'[6]Exh. No. BGM 4 4'!X17</f>
        <v>1020</v>
      </c>
      <c r="F12" s="321">
        <v>0</v>
      </c>
      <c r="G12" s="321">
        <f>+'[6]Exh. No. BGM 4 4'!$AF$17</f>
        <v>-776</v>
      </c>
      <c r="H12" s="324"/>
      <c r="I12" s="321">
        <f>SUM(E12:H12)</f>
        <v>244</v>
      </c>
      <c r="J12" s="321"/>
      <c r="K12" s="325">
        <v>0</v>
      </c>
      <c r="L12" s="373"/>
      <c r="M12" s="324"/>
      <c r="N12" s="321">
        <f>I12+M12</f>
        <v>244</v>
      </c>
      <c r="O12" s="321">
        <f>N12*K12</f>
        <v>0</v>
      </c>
      <c r="P12" s="328"/>
      <c r="Q12" s="321"/>
      <c r="R12" s="328"/>
      <c r="S12" s="324">
        <f>SUM(N12:Q12)</f>
        <v>244</v>
      </c>
    </row>
    <row r="13" spans="1:19" s="317" customFormat="1" ht="15">
      <c r="A13" s="314">
        <f t="shared" ca="1" si="0"/>
        <v>5</v>
      </c>
      <c r="B13" s="315" t="s">
        <v>10</v>
      </c>
      <c r="C13" s="323"/>
      <c r="D13" s="323"/>
      <c r="E13" s="344">
        <f>SUM(E10:E12)</f>
        <v>156467</v>
      </c>
      <c r="F13" s="344">
        <f>SUM(F10:F12)</f>
        <v>0</v>
      </c>
      <c r="G13" s="344">
        <f>SUM(G10:G12)</f>
        <v>-67391</v>
      </c>
      <c r="H13" s="344">
        <f>SUM(H10:H12)</f>
        <v>0</v>
      </c>
      <c r="I13" s="344">
        <f>SUM(I10:I12)</f>
        <v>89076</v>
      </c>
      <c r="J13" s="315"/>
      <c r="K13" s="326"/>
      <c r="L13" s="351"/>
      <c r="M13" s="344">
        <f t="shared" ref="M13:S13" si="1">SUM(M10:M12)</f>
        <v>0</v>
      </c>
      <c r="N13" s="344">
        <f t="shared" si="1"/>
        <v>89076</v>
      </c>
      <c r="O13" s="344">
        <f t="shared" si="1"/>
        <v>1386.6942077253218</v>
      </c>
      <c r="P13" s="328"/>
      <c r="Q13" s="344"/>
      <c r="R13" s="328"/>
      <c r="S13" s="344">
        <f t="shared" si="1"/>
        <v>90462.694207725319</v>
      </c>
    </row>
    <row r="14" spans="1:19" s="317" customFormat="1" ht="15">
      <c r="A14" s="306"/>
      <c r="B14" s="315"/>
      <c r="C14" s="323"/>
      <c r="D14" s="323"/>
      <c r="E14" s="321"/>
      <c r="F14" s="321"/>
      <c r="G14" s="321"/>
      <c r="H14" s="321"/>
      <c r="I14" s="321"/>
      <c r="J14" s="315"/>
      <c r="K14" s="326"/>
      <c r="L14" s="351"/>
      <c r="M14" s="321"/>
      <c r="N14" s="321"/>
      <c r="O14" s="321"/>
      <c r="P14" s="328"/>
      <c r="Q14" s="321"/>
      <c r="R14" s="328"/>
      <c r="S14" s="321"/>
    </row>
    <row r="15" spans="1:19" s="317" customFormat="1" ht="15">
      <c r="A15" s="314">
        <f t="shared" ca="1" si="0"/>
        <v>6</v>
      </c>
      <c r="B15" s="315" t="s">
        <v>11</v>
      </c>
      <c r="C15" s="323"/>
      <c r="D15" s="323"/>
      <c r="E15" s="321"/>
      <c r="F15" s="321"/>
      <c r="G15" s="321"/>
      <c r="H15" s="321"/>
      <c r="I15" s="321"/>
      <c r="J15" s="315"/>
      <c r="K15" s="326"/>
      <c r="L15" s="351"/>
      <c r="M15" s="321"/>
      <c r="N15" s="321"/>
      <c r="O15" s="321"/>
      <c r="P15" s="328"/>
      <c r="Q15" s="321"/>
      <c r="R15" s="328"/>
      <c r="S15" s="321"/>
    </row>
    <row r="16" spans="1:19" s="317" customFormat="1" ht="15">
      <c r="A16" s="314">
        <f t="shared" ca="1" si="0"/>
        <v>7</v>
      </c>
      <c r="B16" s="323" t="s">
        <v>51</v>
      </c>
      <c r="C16" s="315"/>
      <c r="D16" s="323"/>
      <c r="E16" s="321"/>
      <c r="F16" s="321"/>
      <c r="G16" s="321"/>
      <c r="H16" s="321"/>
      <c r="I16" s="321"/>
      <c r="J16" s="315"/>
      <c r="K16" s="326"/>
      <c r="L16" s="351"/>
      <c r="M16" s="321"/>
      <c r="N16" s="321"/>
      <c r="O16" s="321"/>
      <c r="P16" s="328"/>
      <c r="Q16" s="321"/>
      <c r="R16" s="328"/>
      <c r="S16" s="321"/>
    </row>
    <row r="17" spans="1:24" s="317" customFormat="1" ht="15">
      <c r="A17" s="314">
        <f t="shared" ca="1" si="0"/>
        <v>8</v>
      </c>
      <c r="B17" s="315"/>
      <c r="C17" s="323" t="s">
        <v>12</v>
      </c>
      <c r="D17" s="323"/>
      <c r="E17" s="321">
        <f>+'[6]Exh. No. BGM 4 4'!X22</f>
        <v>63460</v>
      </c>
      <c r="F17" s="321">
        <v>0</v>
      </c>
      <c r="G17" s="321">
        <f>+'[6]Exh. No. BGM 4 4'!$AF$22</f>
        <v>-63460</v>
      </c>
      <c r="H17" s="321"/>
      <c r="I17" s="321">
        <f>SUM(E17:H17)</f>
        <v>0</v>
      </c>
      <c r="J17" s="315"/>
      <c r="K17" s="327"/>
      <c r="L17" s="371"/>
      <c r="M17" s="321"/>
      <c r="N17" s="321">
        <f>I17+M17</f>
        <v>0</v>
      </c>
      <c r="O17" s="328"/>
      <c r="P17" s="328"/>
      <c r="Q17" s="321"/>
      <c r="R17" s="328"/>
      <c r="S17" s="376">
        <f>SUM(N17:Q17)</f>
        <v>0</v>
      </c>
    </row>
    <row r="18" spans="1:24" s="317" customFormat="1" ht="15">
      <c r="A18" s="314">
        <f t="shared" ca="1" si="0"/>
        <v>9</v>
      </c>
      <c r="B18" s="315"/>
      <c r="C18" s="323" t="s">
        <v>13</v>
      </c>
      <c r="D18" s="323"/>
      <c r="E18" s="321">
        <f>+'[6]Exh. No. BGM 4 4'!X23</f>
        <v>994</v>
      </c>
      <c r="F18" s="321">
        <v>0</v>
      </c>
      <c r="G18" s="321">
        <v>0</v>
      </c>
      <c r="H18" s="321" t="s">
        <v>261</v>
      </c>
      <c r="I18" s="321">
        <f>SUM(E18:H18)</f>
        <v>994</v>
      </c>
      <c r="J18" s="319"/>
      <c r="K18" s="330">
        <f ca="1">+'4.01'!$B$23*$K$7</f>
        <v>6.1053000000000003E-2</v>
      </c>
      <c r="L18" s="347"/>
      <c r="M18" s="321">
        <f ca="1">I18*K18</f>
        <v>60.686682000000005</v>
      </c>
      <c r="N18" s="321">
        <f ca="1">I18+M18</f>
        <v>1054.686682</v>
      </c>
      <c r="O18" s="321"/>
      <c r="P18" s="328"/>
      <c r="Q18" s="321"/>
      <c r="R18" s="328"/>
      <c r="S18" s="376">
        <f ca="1">SUM(N18:Q18)</f>
        <v>1054.686682</v>
      </c>
    </row>
    <row r="19" spans="1:24" s="317" customFormat="1" ht="15">
      <c r="A19" s="314">
        <f t="shared" ca="1" si="0"/>
        <v>10</v>
      </c>
      <c r="B19" s="315"/>
      <c r="C19" s="323" t="s">
        <v>14</v>
      </c>
      <c r="D19" s="323"/>
      <c r="E19" s="324">
        <f>+'[6]Exh. No. BGM 4 4'!X24</f>
        <v>0</v>
      </c>
      <c r="F19" s="321">
        <v>0</v>
      </c>
      <c r="G19" s="321">
        <v>0</v>
      </c>
      <c r="H19" s="324"/>
      <c r="I19" s="321">
        <f>SUM(E19:H19)</f>
        <v>0</v>
      </c>
      <c r="J19" s="321"/>
      <c r="K19" s="331"/>
      <c r="L19" s="372"/>
      <c r="M19" s="324">
        <f>I19*K19</f>
        <v>0</v>
      </c>
      <c r="N19" s="321">
        <f>I19+M19</f>
        <v>0</v>
      </c>
      <c r="O19" s="324"/>
      <c r="P19" s="328"/>
      <c r="Q19" s="328"/>
      <c r="R19" s="328"/>
      <c r="S19" s="376">
        <f>SUM(N19:Q19)</f>
        <v>0</v>
      </c>
      <c r="U19" s="332"/>
      <c r="V19" s="332"/>
      <c r="W19" s="332"/>
      <c r="X19" s="332"/>
    </row>
    <row r="20" spans="1:24" s="317" customFormat="1" ht="15">
      <c r="A20" s="314">
        <f t="shared" ca="1" si="0"/>
        <v>11</v>
      </c>
      <c r="B20" s="323" t="s">
        <v>15</v>
      </c>
      <c r="C20" s="323"/>
      <c r="D20" s="315"/>
      <c r="E20" s="344">
        <f>SUM(E17:E19)</f>
        <v>64454</v>
      </c>
      <c r="F20" s="344">
        <f>SUM(F17:F19)</f>
        <v>0</v>
      </c>
      <c r="G20" s="344">
        <f>SUM(G17:G19)</f>
        <v>-63460</v>
      </c>
      <c r="H20" s="344">
        <f>SUM(H17:H19)</f>
        <v>0</v>
      </c>
      <c r="I20" s="344">
        <f>SUM(I17:I19)</f>
        <v>994</v>
      </c>
      <c r="J20" s="315"/>
      <c r="K20" s="326"/>
      <c r="L20" s="351"/>
      <c r="M20" s="344">
        <f t="shared" ref="M20:S20" ca="1" si="2">SUM(M17:M19)</f>
        <v>60.686682000000005</v>
      </c>
      <c r="N20" s="344">
        <f t="shared" ca="1" si="2"/>
        <v>1054.686682</v>
      </c>
      <c r="O20" s="344">
        <f t="shared" si="2"/>
        <v>0</v>
      </c>
      <c r="P20" s="328"/>
      <c r="Q20" s="344"/>
      <c r="R20" s="328"/>
      <c r="S20" s="344">
        <f t="shared" ca="1" si="2"/>
        <v>1054.686682</v>
      </c>
      <c r="U20" s="332"/>
      <c r="V20" s="332"/>
      <c r="W20" s="332"/>
      <c r="X20" s="332"/>
    </row>
    <row r="21" spans="1:24" s="317" customFormat="1" ht="15">
      <c r="A21" s="306"/>
      <c r="B21" s="323"/>
      <c r="C21" s="323"/>
      <c r="D21" s="315"/>
      <c r="E21" s="321"/>
      <c r="F21" s="321"/>
      <c r="G21" s="321"/>
      <c r="H21" s="321"/>
      <c r="I21" s="321"/>
      <c r="J21" s="315"/>
      <c r="K21" s="326"/>
      <c r="L21" s="351"/>
      <c r="M21" s="321"/>
      <c r="N21" s="321"/>
      <c r="O21" s="321"/>
      <c r="P21" s="328"/>
      <c r="Q21" s="321"/>
      <c r="R21" s="328"/>
      <c r="S21" s="321"/>
      <c r="U21" s="332"/>
      <c r="V21" s="332"/>
      <c r="W21" s="332"/>
      <c r="X21" s="332"/>
    </row>
    <row r="22" spans="1:24" s="317" customFormat="1" ht="15">
      <c r="A22" s="314">
        <f t="shared" ca="1" si="0"/>
        <v>12</v>
      </c>
      <c r="B22" s="323" t="s">
        <v>16</v>
      </c>
      <c r="C22" s="315"/>
      <c r="D22" s="323"/>
      <c r="E22" s="321"/>
      <c r="F22" s="321"/>
      <c r="G22" s="321"/>
      <c r="H22" s="321"/>
      <c r="I22" s="321"/>
      <c r="J22" s="315"/>
      <c r="K22" s="326"/>
      <c r="L22" s="351"/>
      <c r="M22" s="321"/>
      <c r="N22" s="321"/>
      <c r="O22" s="321"/>
      <c r="P22" s="328"/>
      <c r="Q22" s="321"/>
      <c r="R22" s="328"/>
      <c r="S22" s="321"/>
      <c r="U22" s="332"/>
      <c r="V22" s="332"/>
      <c r="W22" s="332"/>
      <c r="X22" s="332"/>
    </row>
    <row r="23" spans="1:24" s="317" customFormat="1" ht="15">
      <c r="A23" s="314">
        <f t="shared" ca="1" si="0"/>
        <v>13</v>
      </c>
      <c r="B23" s="315"/>
      <c r="C23" s="323" t="s">
        <v>17</v>
      </c>
      <c r="D23" s="323"/>
      <c r="E23" s="321">
        <f>+'[6]Exh. No. BGM 4 4'!X28</f>
        <v>974</v>
      </c>
      <c r="F23" s="321">
        <v>0</v>
      </c>
      <c r="G23" s="321">
        <v>0</v>
      </c>
      <c r="H23" s="321"/>
      <c r="I23" s="321">
        <f>SUM(E23:H23)</f>
        <v>974</v>
      </c>
      <c r="J23" s="319"/>
      <c r="K23" s="330">
        <f ca="1">+'4.02'!B22*$K$7*'2) ROR'!$D$47</f>
        <v>0</v>
      </c>
      <c r="L23" s="347"/>
      <c r="M23" s="321">
        <f ca="1">I23*K23</f>
        <v>0</v>
      </c>
      <c r="N23" s="321">
        <f ca="1">I23+M23</f>
        <v>974</v>
      </c>
      <c r="O23" s="321"/>
      <c r="P23" s="328"/>
      <c r="Q23" s="321"/>
      <c r="R23" s="328"/>
      <c r="S23" s="376">
        <f ca="1">SUM(N23:Q23)</f>
        <v>974</v>
      </c>
      <c r="U23" s="333"/>
      <c r="V23" s="332"/>
      <c r="W23" s="332"/>
      <c r="X23" s="332"/>
    </row>
    <row r="24" spans="1:24" s="317" customFormat="1" ht="15">
      <c r="A24" s="314">
        <f t="shared" ca="1" si="0"/>
        <v>14</v>
      </c>
      <c r="B24" s="315"/>
      <c r="C24" s="323" t="s">
        <v>47</v>
      </c>
      <c r="D24" s="323"/>
      <c r="E24" s="321">
        <f>+'[6]Exh. No. BGM 4 4'!X29</f>
        <v>492</v>
      </c>
      <c r="F24" s="321">
        <v>0</v>
      </c>
      <c r="G24" s="321">
        <v>0</v>
      </c>
      <c r="H24" s="334">
        <v>0</v>
      </c>
      <c r="I24" s="321">
        <f>SUM(E24:H24)</f>
        <v>492</v>
      </c>
      <c r="J24" s="319"/>
      <c r="K24" s="330">
        <f ca="1">+'4.03'!$B$22*$K$7*'2) ROR'!$D$47</f>
        <v>0</v>
      </c>
      <c r="L24" s="347"/>
      <c r="M24" s="321">
        <f ca="1">I24*K24</f>
        <v>0</v>
      </c>
      <c r="N24" s="321">
        <f ca="1">I24+M24</f>
        <v>492</v>
      </c>
      <c r="O24" s="321"/>
      <c r="P24" s="328"/>
      <c r="Q24" s="321"/>
      <c r="R24" s="328"/>
      <c r="S24" s="376">
        <f ca="1">SUM(N24:Q24)</f>
        <v>492</v>
      </c>
      <c r="U24" s="333"/>
      <c r="V24" s="332"/>
      <c r="W24" s="332"/>
      <c r="X24" s="332"/>
    </row>
    <row r="25" spans="1:24" s="317" customFormat="1" ht="15">
      <c r="A25" s="314">
        <f t="shared" ca="1" si="0"/>
        <v>15</v>
      </c>
      <c r="B25" s="315"/>
      <c r="C25" s="323" t="s">
        <v>4</v>
      </c>
      <c r="D25" s="323"/>
      <c r="E25" s="324">
        <f>+'[6]Exh. No. BGM 4 4'!X30</f>
        <v>210</v>
      </c>
      <c r="F25" s="321">
        <v>0</v>
      </c>
      <c r="G25" s="321">
        <v>0</v>
      </c>
      <c r="H25" s="324"/>
      <c r="I25" s="321">
        <f>SUM(E25:H25)</f>
        <v>210</v>
      </c>
      <c r="J25" s="319"/>
      <c r="K25" s="330">
        <f ca="1">+'4.04'!B22*$K$7</f>
        <v>0.115178</v>
      </c>
      <c r="L25" s="347"/>
      <c r="M25" s="324">
        <f ca="1">I25*K25</f>
        <v>24.187380000000001</v>
      </c>
      <c r="N25" s="321">
        <f ca="1">I25+M25</f>
        <v>234.18737999999999</v>
      </c>
      <c r="O25" s="324"/>
      <c r="P25" s="328"/>
      <c r="Q25" s="328"/>
      <c r="R25" s="328"/>
      <c r="S25" s="377">
        <f ca="1">SUM(N25:Q25)</f>
        <v>234.18737999999999</v>
      </c>
      <c r="U25" s="333"/>
      <c r="V25" s="332"/>
      <c r="W25" s="332"/>
      <c r="X25" s="332"/>
    </row>
    <row r="26" spans="1:24" s="317" customFormat="1" ht="15">
      <c r="A26" s="314">
        <f t="shared" ca="1" si="0"/>
        <v>16</v>
      </c>
      <c r="B26" s="323" t="s">
        <v>18</v>
      </c>
      <c r="C26" s="323"/>
      <c r="D26" s="315"/>
      <c r="E26" s="344">
        <f>SUM(E23:E25)</f>
        <v>1676</v>
      </c>
      <c r="F26" s="344">
        <f>SUM(F23:F25)</f>
        <v>0</v>
      </c>
      <c r="G26" s="344">
        <f>SUM(G23:G25)</f>
        <v>0</v>
      </c>
      <c r="H26" s="344">
        <f>SUM(H23:H25)</f>
        <v>0</v>
      </c>
      <c r="I26" s="344">
        <f>SUM(I23:I25)</f>
        <v>1676</v>
      </c>
      <c r="J26" s="315"/>
      <c r="K26" s="326"/>
      <c r="L26" s="351"/>
      <c r="M26" s="344">
        <f t="shared" ref="M26:S26" ca="1" si="3">SUM(M23:M25)</f>
        <v>24.187380000000001</v>
      </c>
      <c r="N26" s="344">
        <f t="shared" ca="1" si="3"/>
        <v>1700.1873800000001</v>
      </c>
      <c r="O26" s="344">
        <f t="shared" si="3"/>
        <v>0</v>
      </c>
      <c r="P26" s="328"/>
      <c r="Q26" s="344"/>
      <c r="R26" s="328"/>
      <c r="S26" s="344">
        <f t="shared" ca="1" si="3"/>
        <v>1700.1873800000001</v>
      </c>
      <c r="U26" s="333"/>
      <c r="V26" s="332"/>
      <c r="W26" s="332"/>
      <c r="X26" s="332"/>
    </row>
    <row r="27" spans="1:24" s="317" customFormat="1" ht="15">
      <c r="A27" s="306"/>
      <c r="B27" s="323"/>
      <c r="C27" s="323"/>
      <c r="D27" s="315"/>
      <c r="E27" s="321"/>
      <c r="F27" s="321"/>
      <c r="G27" s="321"/>
      <c r="H27" s="321"/>
      <c r="I27" s="321"/>
      <c r="J27" s="315"/>
      <c r="K27" s="326"/>
      <c r="L27" s="351"/>
      <c r="M27" s="321"/>
      <c r="N27" s="321"/>
      <c r="O27" s="321"/>
      <c r="P27" s="328"/>
      <c r="Q27" s="321"/>
      <c r="R27" s="328"/>
      <c r="S27" s="321"/>
      <c r="U27" s="332"/>
      <c r="V27" s="335"/>
      <c r="W27" s="332"/>
      <c r="X27" s="332"/>
    </row>
    <row r="28" spans="1:24" s="317" customFormat="1" ht="15">
      <c r="A28" s="314">
        <f t="shared" ca="1" si="0"/>
        <v>17</v>
      </c>
      <c r="B28" s="323" t="s">
        <v>19</v>
      </c>
      <c r="C28" s="315"/>
      <c r="D28" s="323"/>
      <c r="E28" s="321"/>
      <c r="F28" s="321"/>
      <c r="G28" s="321"/>
      <c r="H28" s="321"/>
      <c r="I28" s="321"/>
      <c r="J28" s="315"/>
      <c r="K28" s="326"/>
      <c r="L28" s="351"/>
      <c r="M28" s="321"/>
      <c r="N28" s="321"/>
      <c r="O28" s="321"/>
      <c r="P28" s="328"/>
      <c r="Q28" s="321"/>
      <c r="R28" s="328"/>
      <c r="S28" s="321"/>
      <c r="U28" s="332"/>
      <c r="V28" s="332"/>
      <c r="W28" s="332"/>
      <c r="X28" s="332"/>
    </row>
    <row r="29" spans="1:24" s="317" customFormat="1" ht="15">
      <c r="A29" s="314">
        <f t="shared" ca="1" si="0"/>
        <v>18</v>
      </c>
      <c r="B29" s="315"/>
      <c r="C29" s="323" t="s">
        <v>17</v>
      </c>
      <c r="D29" s="333"/>
      <c r="E29" s="321">
        <f>+'[6]Exh. No. BGM 4 4'!X34</f>
        <v>12050</v>
      </c>
      <c r="F29" s="321">
        <v>0</v>
      </c>
      <c r="G29" s="321">
        <v>0</v>
      </c>
      <c r="H29" s="321"/>
      <c r="I29" s="321">
        <f>SUM(E29:H29)</f>
        <v>12050</v>
      </c>
      <c r="J29" s="319"/>
      <c r="K29" s="330">
        <f ca="1">+'4.05'!B22*$K$7*'2) ROR'!$D$47</f>
        <v>0</v>
      </c>
      <c r="L29" s="347"/>
      <c r="M29" s="321">
        <f ca="1">I29*K29</f>
        <v>0</v>
      </c>
      <c r="N29" s="321">
        <f ca="1">I29+M29</f>
        <v>12050</v>
      </c>
      <c r="O29" s="321"/>
      <c r="P29" s="328"/>
      <c r="Q29" s="321"/>
      <c r="R29" s="328"/>
      <c r="S29" s="376">
        <f ca="1">SUM(N29:Q29)</f>
        <v>12050</v>
      </c>
      <c r="U29" s="332"/>
      <c r="V29" s="332"/>
      <c r="W29" s="332"/>
      <c r="X29" s="332"/>
    </row>
    <row r="30" spans="1:24" s="317" customFormat="1" ht="15">
      <c r="A30" s="314">
        <f t="shared" ca="1" si="0"/>
        <v>19</v>
      </c>
      <c r="B30" s="315"/>
      <c r="C30" s="323" t="s">
        <v>47</v>
      </c>
      <c r="D30" s="323"/>
      <c r="E30" s="321">
        <f>+'[6]Exh. No. BGM 4 4'!X35</f>
        <v>9853</v>
      </c>
      <c r="F30" s="321">
        <v>0</v>
      </c>
      <c r="G30" s="321">
        <v>0</v>
      </c>
      <c r="H30" s="334">
        <v>0</v>
      </c>
      <c r="I30" s="321">
        <f>SUM(E30:H30)</f>
        <v>9853</v>
      </c>
      <c r="J30" s="319"/>
      <c r="K30" s="330">
        <f ca="1">+'4.06'!B22*$K$7*'2) ROR'!$D$47</f>
        <v>0</v>
      </c>
      <c r="L30" s="347"/>
      <c r="M30" s="321">
        <f ca="1">I30*K30</f>
        <v>0</v>
      </c>
      <c r="N30" s="321">
        <f ca="1">I30+M30</f>
        <v>9853</v>
      </c>
      <c r="O30" s="321"/>
      <c r="P30" s="328"/>
      <c r="Q30" s="336">
        <v>0</v>
      </c>
      <c r="R30" s="328"/>
      <c r="S30" s="376">
        <f ca="1">SUM(N30:Q30)</f>
        <v>9853</v>
      </c>
      <c r="U30" s="337"/>
      <c r="V30" s="332"/>
      <c r="W30" s="332"/>
      <c r="X30" s="332"/>
    </row>
    <row r="31" spans="1:24" s="317" customFormat="1" ht="15">
      <c r="A31" s="314">
        <f t="shared" ca="1" si="0"/>
        <v>20</v>
      </c>
      <c r="B31" s="315"/>
      <c r="C31" s="323" t="s">
        <v>4</v>
      </c>
      <c r="D31" s="323"/>
      <c r="E31" s="321">
        <f>+'[6]Exh. No. BGM 4 4'!X36</f>
        <v>8383</v>
      </c>
      <c r="F31" s="321">
        <v>0</v>
      </c>
      <c r="G31" s="321">
        <f>+'[6]Exh. No. BGM 4 4'!$AF$36</f>
        <v>-2554</v>
      </c>
      <c r="H31" s="321"/>
      <c r="I31" s="321">
        <f>SUM(E31:H31)</f>
        <v>5829</v>
      </c>
      <c r="J31" s="319"/>
      <c r="K31" s="330">
        <f ca="1">+'4.07'!B23*$K$7</f>
        <v>0.129467</v>
      </c>
      <c r="L31" s="347"/>
      <c r="M31" s="324">
        <f ca="1">I31*K31</f>
        <v>754.66314299999999</v>
      </c>
      <c r="N31" s="321">
        <f ca="1">I31+M31</f>
        <v>6583.6631429999998</v>
      </c>
      <c r="O31" s="321">
        <f>ROUND((O$10+O$11)*'2) ROR'!$N$16,0)</f>
        <v>53</v>
      </c>
      <c r="P31" s="328"/>
      <c r="Q31" s="321"/>
      <c r="R31" s="328"/>
      <c r="S31" s="377">
        <f ca="1">SUM(N31:Q31)</f>
        <v>6636.6631429999998</v>
      </c>
      <c r="U31" s="332"/>
      <c r="V31" s="332"/>
      <c r="W31" s="332"/>
      <c r="X31" s="332"/>
    </row>
    <row r="32" spans="1:24" s="317" customFormat="1" ht="15">
      <c r="A32" s="314">
        <f t="shared" ca="1" si="0"/>
        <v>21</v>
      </c>
      <c r="B32" s="323" t="s">
        <v>20</v>
      </c>
      <c r="C32" s="338"/>
      <c r="D32" s="315"/>
      <c r="E32" s="344">
        <f>SUM(E29:E31)</f>
        <v>30286</v>
      </c>
      <c r="F32" s="344">
        <f>SUM(F29:F31)</f>
        <v>0</v>
      </c>
      <c r="G32" s="344">
        <f>SUM(G29:G31)</f>
        <v>-2554</v>
      </c>
      <c r="H32" s="344">
        <f>SUM(H29:H31)</f>
        <v>0</v>
      </c>
      <c r="I32" s="344">
        <f>SUM(I29:I31)</f>
        <v>27732</v>
      </c>
      <c r="J32" s="315"/>
      <c r="K32" s="326"/>
      <c r="L32" s="351"/>
      <c r="M32" s="344">
        <f t="shared" ref="M32:Q32" ca="1" si="4">SUM(M29:M31)</f>
        <v>754.66314299999999</v>
      </c>
      <c r="N32" s="344">
        <f t="shared" ca="1" si="4"/>
        <v>28486.663142999998</v>
      </c>
      <c r="O32" s="344">
        <f t="shared" si="4"/>
        <v>53</v>
      </c>
      <c r="P32" s="328"/>
      <c r="Q32" s="344">
        <f t="shared" si="4"/>
        <v>0</v>
      </c>
      <c r="R32" s="328"/>
      <c r="S32" s="344">
        <f ca="1">SUM(S29:S31)</f>
        <v>28539.663142999998</v>
      </c>
      <c r="U32" s="333"/>
      <c r="V32" s="339"/>
      <c r="W32" s="335"/>
      <c r="X32" s="340"/>
    </row>
    <row r="33" spans="1:27" s="317" customFormat="1" ht="15">
      <c r="A33" s="341"/>
      <c r="B33" s="315"/>
      <c r="C33" s="323"/>
      <c r="D33" s="323"/>
      <c r="E33" s="321"/>
      <c r="F33" s="321"/>
      <c r="G33" s="321"/>
      <c r="H33" s="321"/>
      <c r="I33" s="321"/>
      <c r="J33" s="315"/>
      <c r="K33" s="326"/>
      <c r="L33" s="351"/>
      <c r="M33" s="321"/>
      <c r="N33" s="321"/>
      <c r="O33" s="321"/>
      <c r="P33" s="328"/>
      <c r="Q33" s="321"/>
      <c r="R33" s="328"/>
      <c r="S33" s="321"/>
      <c r="U33" s="332"/>
      <c r="V33" s="332"/>
      <c r="W33" s="332"/>
      <c r="X33" s="332"/>
    </row>
    <row r="34" spans="1:27" s="317" customFormat="1" ht="15">
      <c r="A34" s="314">
        <f t="shared" ca="1" si="0"/>
        <v>22</v>
      </c>
      <c r="B34" s="315" t="s">
        <v>21</v>
      </c>
      <c r="C34" s="323"/>
      <c r="D34" s="323"/>
      <c r="E34" s="321">
        <f>+'[6]Exh. No. BGM 4 4'!X39</f>
        <v>6812</v>
      </c>
      <c r="F34" s="321">
        <v>0</v>
      </c>
      <c r="G34" s="321">
        <f>+'[6]Exh. No. BGM 4 4'!$AF$39</f>
        <v>-322</v>
      </c>
      <c r="H34" s="321"/>
      <c r="I34" s="321">
        <f>SUM(E34:H34)</f>
        <v>6490</v>
      </c>
      <c r="J34" s="319"/>
      <c r="K34" s="330">
        <f ca="1">+'4.08'!B23*$K$7</f>
        <v>0.12557000000000001</v>
      </c>
      <c r="L34" s="347"/>
      <c r="M34" s="321">
        <f ca="1">I34*K34</f>
        <v>814.94930000000011</v>
      </c>
      <c r="N34" s="321">
        <f ca="1">I34+M34</f>
        <v>7304.9493000000002</v>
      </c>
      <c r="O34" s="321">
        <f>ROUND((O$10+O$11)*'2) ROR'!$N$12,0)</f>
        <v>7</v>
      </c>
      <c r="P34" s="328"/>
      <c r="Q34" s="321"/>
      <c r="R34" s="328"/>
      <c r="S34" s="376">
        <f ca="1">SUM(N34:Q34)</f>
        <v>7311.9493000000002</v>
      </c>
      <c r="U34" s="332"/>
      <c r="V34" s="335"/>
      <c r="W34" s="332"/>
      <c r="X34" s="332"/>
    </row>
    <row r="35" spans="1:27" s="317" customFormat="1" ht="15">
      <c r="A35" s="314">
        <f t="shared" ca="1" si="0"/>
        <v>23</v>
      </c>
      <c r="B35" s="315" t="s">
        <v>22</v>
      </c>
      <c r="C35" s="323"/>
      <c r="D35" s="323"/>
      <c r="E35" s="321">
        <f>+'[6]Exh. No. BGM 4 4'!X40</f>
        <v>963</v>
      </c>
      <c r="F35" s="321">
        <v>0</v>
      </c>
      <c r="G35" s="321">
        <v>0</v>
      </c>
      <c r="H35" s="321"/>
      <c r="I35" s="321">
        <f>SUM(E35:H35)</f>
        <v>963</v>
      </c>
      <c r="J35" s="319"/>
      <c r="K35" s="330">
        <f ca="1">+'4.09'!B23*$K$7</f>
        <v>1.2989999999999998E-3</v>
      </c>
      <c r="L35" s="347"/>
      <c r="M35" s="321">
        <f ca="1">I35*K35</f>
        <v>1.2509369999999997</v>
      </c>
      <c r="N35" s="321">
        <f ca="1">I35+M35</f>
        <v>964.25093700000002</v>
      </c>
      <c r="O35" s="321"/>
      <c r="P35" s="328"/>
      <c r="Q35" s="321"/>
      <c r="R35" s="328"/>
      <c r="S35" s="376">
        <f ca="1">SUM(N35:Q35)</f>
        <v>964.25093700000002</v>
      </c>
      <c r="U35" s="342"/>
    </row>
    <row r="36" spans="1:27" s="317" customFormat="1" ht="15">
      <c r="A36" s="314">
        <f t="shared" ca="1" si="0"/>
        <v>24</v>
      </c>
      <c r="B36" s="315" t="s">
        <v>23</v>
      </c>
      <c r="C36" s="323"/>
      <c r="D36" s="323"/>
      <c r="E36" s="321">
        <f>+'[6]Exh. No. BGM 4 4'!X41</f>
        <v>0</v>
      </c>
      <c r="F36" s="321">
        <v>0</v>
      </c>
      <c r="G36" s="321">
        <v>0</v>
      </c>
      <c r="H36" s="321"/>
      <c r="I36" s="321">
        <f>SUM(E36:H36)</f>
        <v>0</v>
      </c>
      <c r="J36" s="319"/>
      <c r="K36" s="326"/>
      <c r="L36" s="347"/>
      <c r="M36" s="321">
        <f>I36*K36</f>
        <v>0</v>
      </c>
      <c r="N36" s="321">
        <f>I36+M36</f>
        <v>0</v>
      </c>
      <c r="O36" s="321"/>
      <c r="P36" s="328"/>
      <c r="Q36" s="321"/>
      <c r="R36" s="328"/>
      <c r="S36" s="376">
        <f>SUM(N36:Q36)</f>
        <v>0</v>
      </c>
      <c r="U36" s="337"/>
      <c r="V36" s="332"/>
      <c r="W36" s="332"/>
    </row>
    <row r="37" spans="1:27" s="317" customFormat="1" ht="15">
      <c r="A37" s="341"/>
      <c r="B37" s="315"/>
      <c r="C37" s="323"/>
      <c r="D37" s="323"/>
      <c r="E37" s="321"/>
      <c r="F37" s="321"/>
      <c r="G37" s="321"/>
      <c r="H37" s="321"/>
      <c r="I37" s="321"/>
      <c r="J37" s="315"/>
      <c r="K37" s="326"/>
      <c r="L37" s="351"/>
      <c r="M37" s="321"/>
      <c r="N37" s="321"/>
      <c r="O37" s="321"/>
      <c r="P37" s="328"/>
      <c r="Q37" s="321"/>
      <c r="R37" s="328"/>
      <c r="S37" s="321"/>
      <c r="U37" s="332"/>
      <c r="V37" s="332"/>
      <c r="W37" s="332"/>
    </row>
    <row r="38" spans="1:27" s="317" customFormat="1" ht="15">
      <c r="A38" s="314">
        <f t="shared" ca="1" si="0"/>
        <v>25</v>
      </c>
      <c r="B38" s="315" t="s">
        <v>24</v>
      </c>
      <c r="C38" s="323"/>
      <c r="D38" s="323"/>
      <c r="E38" s="321"/>
      <c r="F38" s="321"/>
      <c r="G38" s="321"/>
      <c r="H38" s="321"/>
      <c r="I38" s="321"/>
      <c r="J38" s="315"/>
      <c r="K38" s="326"/>
      <c r="L38" s="351"/>
      <c r="M38" s="321"/>
      <c r="N38" s="321"/>
      <c r="O38" s="321"/>
      <c r="P38" s="328"/>
      <c r="Q38" s="321"/>
      <c r="R38" s="328"/>
      <c r="S38" s="321"/>
      <c r="U38" s="333"/>
      <c r="V38" s="339"/>
      <c r="W38" s="335"/>
      <c r="AA38" s="317" t="s">
        <v>222</v>
      </c>
    </row>
    <row r="39" spans="1:27" s="317" customFormat="1" ht="15">
      <c r="A39" s="314">
        <f t="shared" ca="1" si="0"/>
        <v>26</v>
      </c>
      <c r="B39" s="315"/>
      <c r="C39" s="323" t="s">
        <v>17</v>
      </c>
      <c r="D39" s="323"/>
      <c r="E39" s="321">
        <f>+'[6]Exh. No. BGM 4 4'!X44</f>
        <v>13350</v>
      </c>
      <c r="F39" s="506">
        <v>0</v>
      </c>
      <c r="G39" s="321">
        <f>+'[6]Exh. No. BGM 4 4'!$AF$44</f>
        <v>-133</v>
      </c>
      <c r="H39" s="334">
        <v>0</v>
      </c>
      <c r="I39" s="321">
        <f>SUM(E39:H39)</f>
        <v>13217</v>
      </c>
      <c r="J39" s="319"/>
      <c r="K39" s="330">
        <f ca="1">+'4.10'!B23*$K$7*'2) ROR'!$D$47</f>
        <v>0</v>
      </c>
      <c r="L39" s="347"/>
      <c r="M39" s="321">
        <f ca="1">I39*K39</f>
        <v>0</v>
      </c>
      <c r="N39" s="321">
        <f ca="1">I39+M39</f>
        <v>13217</v>
      </c>
      <c r="O39" s="321">
        <f>ROUND((O$10+O$11)*'2) ROR'!$N$14,0)</f>
        <v>3</v>
      </c>
      <c r="P39" s="328"/>
      <c r="Q39" s="321"/>
      <c r="R39" s="328"/>
      <c r="S39" s="376">
        <f ca="1">SUM(N39:Q39)</f>
        <v>13220</v>
      </c>
      <c r="U39" s="332"/>
      <c r="V39" s="332"/>
      <c r="W39" s="332"/>
    </row>
    <row r="40" spans="1:27" s="317" customFormat="1" ht="15">
      <c r="A40" s="314">
        <f t="shared" ca="1" si="0"/>
        <v>27</v>
      </c>
      <c r="B40" s="315"/>
      <c r="C40" s="323" t="s">
        <v>47</v>
      </c>
      <c r="D40" s="323"/>
      <c r="E40" s="321">
        <f>+'[6]Exh. No. BGM 4 4'!X45</f>
        <v>6260</v>
      </c>
      <c r="F40" s="321">
        <v>0</v>
      </c>
      <c r="G40" s="321">
        <v>0</v>
      </c>
      <c r="H40" s="321"/>
      <c r="I40" s="321">
        <f>SUM(E40:H40)</f>
        <v>6260</v>
      </c>
      <c r="J40" s="319"/>
      <c r="K40" s="330">
        <f ca="1">+'4.11'!B23*$K$7</f>
        <v>0.19831400000000002</v>
      </c>
      <c r="L40" s="347"/>
      <c r="M40" s="321">
        <f ca="1">I40*K40</f>
        <v>1241.4456400000001</v>
      </c>
      <c r="N40" s="321">
        <f ca="1">I40+M40</f>
        <v>7501.4456399999999</v>
      </c>
      <c r="O40" s="321"/>
      <c r="P40" s="328"/>
      <c r="Q40" s="336">
        <v>0</v>
      </c>
      <c r="R40" s="328"/>
      <c r="S40" s="376">
        <f ca="1">SUM(N40:Q40)</f>
        <v>7501.4456399999999</v>
      </c>
      <c r="U40" s="332"/>
      <c r="V40" s="335"/>
      <c r="W40" s="332"/>
    </row>
    <row r="41" spans="1:27" s="317" customFormat="1" ht="15">
      <c r="A41" s="314">
        <f t="shared" ca="1" si="0"/>
        <v>28</v>
      </c>
      <c r="B41" s="315"/>
      <c r="C41" s="343" t="s">
        <v>52</v>
      </c>
      <c r="D41" s="323"/>
      <c r="E41" s="321">
        <f>+'[6]Exh. No. BGM 4 4'!X46</f>
        <v>1079</v>
      </c>
      <c r="F41" s="378">
        <f>+'[6]Exh. No. BGM 4 4'!$AG$46</f>
        <v>-1079</v>
      </c>
      <c r="G41" s="321">
        <v>0</v>
      </c>
      <c r="H41" s="321"/>
      <c r="I41" s="321">
        <f>SUM(E41:H41)</f>
        <v>0</v>
      </c>
      <c r="J41" s="321"/>
      <c r="K41" s="347"/>
      <c r="L41" s="347"/>
      <c r="M41" s="321">
        <f>I41*K41</f>
        <v>0</v>
      </c>
      <c r="N41" s="321">
        <f>I41+M41</f>
        <v>0</v>
      </c>
      <c r="O41" s="321"/>
      <c r="P41" s="328"/>
      <c r="Q41" s="321"/>
      <c r="R41" s="328"/>
      <c r="S41" s="376">
        <f>SUM(N41:Q41)</f>
        <v>0</v>
      </c>
      <c r="U41" s="332"/>
      <c r="V41" s="332"/>
      <c r="W41" s="332"/>
    </row>
    <row r="42" spans="1:27" s="317" customFormat="1" ht="15">
      <c r="A42" s="314">
        <f t="shared" ca="1" si="0"/>
        <v>29</v>
      </c>
      <c r="B42" s="315"/>
      <c r="C42" s="323" t="s">
        <v>4</v>
      </c>
      <c r="D42" s="323"/>
      <c r="E42" s="321">
        <f>+'[6]Exh. No. BGM 4 4'!X47</f>
        <v>0</v>
      </c>
      <c r="F42" s="321">
        <v>0</v>
      </c>
      <c r="G42" s="321">
        <v>0</v>
      </c>
      <c r="H42" s="324"/>
      <c r="I42" s="321">
        <f>SUM(E42:H42)</f>
        <v>0</v>
      </c>
      <c r="J42" s="374"/>
      <c r="K42" s="347"/>
      <c r="L42" s="347"/>
      <c r="M42" s="324">
        <f>I42*K42</f>
        <v>0</v>
      </c>
      <c r="N42" s="321">
        <f>I42+M42</f>
        <v>0</v>
      </c>
      <c r="O42" s="324"/>
      <c r="P42" s="328"/>
      <c r="Q42" s="328"/>
      <c r="R42" s="328"/>
      <c r="S42" s="376">
        <f>SUM(N42:Q42)</f>
        <v>0</v>
      </c>
    </row>
    <row r="43" spans="1:27" s="317" customFormat="1" ht="15">
      <c r="A43" s="314">
        <f t="shared" ca="1" si="0"/>
        <v>30</v>
      </c>
      <c r="B43" s="323" t="s">
        <v>25</v>
      </c>
      <c r="C43" s="323"/>
      <c r="D43" s="315"/>
      <c r="E43" s="344">
        <f t="shared" ref="E43:J43" si="5">SUM(E39:E42)</f>
        <v>20689</v>
      </c>
      <c r="F43" s="344">
        <f t="shared" si="5"/>
        <v>-1079</v>
      </c>
      <c r="G43" s="344">
        <f t="shared" si="5"/>
        <v>-133</v>
      </c>
      <c r="H43" s="344">
        <f t="shared" si="5"/>
        <v>0</v>
      </c>
      <c r="I43" s="344">
        <f t="shared" si="5"/>
        <v>19477</v>
      </c>
      <c r="J43" s="360">
        <f t="shared" si="5"/>
        <v>0</v>
      </c>
      <c r="K43" s="351"/>
      <c r="L43" s="351"/>
      <c r="M43" s="344">
        <f t="shared" ref="M43:N43" ca="1" si="6">SUM(M39:M42)</f>
        <v>1241.4456400000001</v>
      </c>
      <c r="N43" s="344">
        <f t="shared" ca="1" si="6"/>
        <v>20718.445639999998</v>
      </c>
      <c r="O43" s="344">
        <f>SUM(O39:O42)</f>
        <v>3</v>
      </c>
      <c r="P43" s="328"/>
      <c r="Q43" s="344">
        <f>Q40</f>
        <v>0</v>
      </c>
      <c r="R43" s="328"/>
      <c r="S43" s="344">
        <f ca="1">SUM(S39:S42)</f>
        <v>20721.445639999998</v>
      </c>
    </row>
    <row r="44" spans="1:27" s="317" customFormat="1" ht="15">
      <c r="A44" s="314">
        <f t="shared" ca="1" si="0"/>
        <v>31</v>
      </c>
      <c r="B44" s="315" t="s">
        <v>26</v>
      </c>
      <c r="C44" s="323"/>
      <c r="D44" s="323"/>
      <c r="E44" s="344">
        <f t="shared" ref="E44:J44" si="7">E20+E26+E32+E34+E35+E36+E43</f>
        <v>124880</v>
      </c>
      <c r="F44" s="344">
        <f t="shared" si="7"/>
        <v>-1079</v>
      </c>
      <c r="G44" s="344">
        <f t="shared" si="7"/>
        <v>-66469</v>
      </c>
      <c r="H44" s="344">
        <f t="shared" si="7"/>
        <v>0</v>
      </c>
      <c r="I44" s="344">
        <f t="shared" si="7"/>
        <v>57332</v>
      </c>
      <c r="J44" s="360">
        <f t="shared" si="7"/>
        <v>0</v>
      </c>
      <c r="K44" s="326"/>
      <c r="L44" s="351"/>
      <c r="M44" s="344">
        <f t="shared" ref="M44:N44" ca="1" si="8">M20+M26+M32+M34+M35+M36+M43</f>
        <v>2897.1830820000005</v>
      </c>
      <c r="N44" s="344">
        <f t="shared" ca="1" si="8"/>
        <v>60229.183081999989</v>
      </c>
      <c r="O44" s="344">
        <f>O20+O26+O32+O34+O35+O36+O43</f>
        <v>63</v>
      </c>
      <c r="P44" s="328"/>
      <c r="Q44" s="344">
        <f>Q20+Q26+Q32+Q34+Q35+Q36+Q43</f>
        <v>0</v>
      </c>
      <c r="R44" s="328"/>
      <c r="S44" s="344">
        <f ca="1">S20+S26+S32+S34+S35+S36+S43</f>
        <v>60292.183081999989</v>
      </c>
    </row>
    <row r="45" spans="1:27" s="317" customFormat="1" ht="15">
      <c r="A45" s="341"/>
      <c r="B45" s="315"/>
      <c r="C45" s="323"/>
      <c r="D45" s="323"/>
      <c r="E45" s="344"/>
      <c r="F45" s="344"/>
      <c r="G45" s="344"/>
      <c r="H45" s="344"/>
      <c r="I45" s="344"/>
      <c r="J45" s="328"/>
      <c r="K45" s="315"/>
      <c r="L45" s="315"/>
      <c r="M45" s="344"/>
      <c r="N45" s="344"/>
      <c r="O45" s="344"/>
      <c r="P45" s="328"/>
      <c r="Q45" s="344"/>
      <c r="R45" s="328"/>
      <c r="S45" s="344"/>
    </row>
    <row r="46" spans="1:27" s="317" customFormat="1" ht="15">
      <c r="A46" s="314">
        <f t="shared" ca="1" si="0"/>
        <v>32</v>
      </c>
      <c r="B46" s="315" t="s">
        <v>27</v>
      </c>
      <c r="C46" s="323"/>
      <c r="D46" s="323"/>
      <c r="E46" s="321">
        <f t="shared" ref="E46:J46" si="9">E13-E44</f>
        <v>31587</v>
      </c>
      <c r="F46" s="321">
        <f t="shared" si="9"/>
        <v>1079</v>
      </c>
      <c r="G46" s="321">
        <f t="shared" si="9"/>
        <v>-922</v>
      </c>
      <c r="H46" s="321">
        <f t="shared" si="9"/>
        <v>0</v>
      </c>
      <c r="I46" s="321">
        <f t="shared" si="9"/>
        <v>31744</v>
      </c>
      <c r="J46" s="360">
        <f t="shared" si="9"/>
        <v>0</v>
      </c>
      <c r="K46" s="315"/>
      <c r="L46" s="315"/>
      <c r="M46" s="321">
        <f t="shared" ref="M46:S46" ca="1" si="10">M13-M44</f>
        <v>-2897.1830820000005</v>
      </c>
      <c r="N46" s="321">
        <f t="shared" ca="1" si="10"/>
        <v>28846.816918000011</v>
      </c>
      <c r="O46" s="321">
        <f t="shared" si="10"/>
        <v>1323.6942077253218</v>
      </c>
      <c r="P46" s="328"/>
      <c r="Q46" s="321">
        <f>-Q44</f>
        <v>0</v>
      </c>
      <c r="R46" s="328"/>
      <c r="S46" s="321">
        <f t="shared" ca="1" si="10"/>
        <v>30170.51112572533</v>
      </c>
    </row>
    <row r="47" spans="1:27" s="317" customFormat="1" ht="15">
      <c r="A47" s="341"/>
      <c r="B47" s="450"/>
      <c r="C47" s="323"/>
      <c r="D47" s="323"/>
      <c r="E47" s="323"/>
      <c r="F47" s="323"/>
      <c r="G47" s="323"/>
      <c r="H47" s="323"/>
      <c r="I47" s="323"/>
      <c r="J47" s="323"/>
      <c r="K47" s="323"/>
      <c r="L47" s="323"/>
      <c r="M47" s="323"/>
      <c r="N47" s="323"/>
      <c r="O47" s="323"/>
      <c r="P47" s="308"/>
      <c r="Q47" s="323"/>
      <c r="R47" s="308"/>
      <c r="S47" s="323"/>
    </row>
    <row r="48" spans="1:27" s="317" customFormat="1" ht="15">
      <c r="A48" s="341"/>
      <c r="B48" s="315"/>
      <c r="C48" s="323"/>
      <c r="D48" s="323"/>
      <c r="E48" s="323"/>
      <c r="F48" s="323"/>
      <c r="G48" s="323"/>
      <c r="H48" s="323"/>
      <c r="I48" s="323"/>
      <c r="J48" s="323"/>
      <c r="K48" s="323"/>
      <c r="L48" s="323"/>
      <c r="M48" s="323"/>
      <c r="N48" s="323"/>
      <c r="O48" s="323"/>
      <c r="P48" s="308"/>
      <c r="Q48" s="323"/>
      <c r="R48" s="308"/>
      <c r="S48" s="323"/>
    </row>
    <row r="49" spans="1:20" s="411" customFormat="1" ht="18.75">
      <c r="A49" s="433" t="s">
        <v>378</v>
      </c>
      <c r="B49" s="433"/>
      <c r="C49" s="433"/>
      <c r="D49" s="433"/>
      <c r="E49" s="433"/>
      <c r="F49" s="433"/>
      <c r="G49" s="433"/>
      <c r="H49" s="433"/>
      <c r="I49" s="433"/>
      <c r="J49" s="433"/>
      <c r="K49" s="433"/>
      <c r="L49" s="433"/>
      <c r="M49" s="433"/>
      <c r="N49" s="433"/>
      <c r="O49" s="433"/>
      <c r="P49" s="433"/>
      <c r="Q49" s="433"/>
      <c r="R49" s="433"/>
      <c r="S49" s="433"/>
    </row>
    <row r="50" spans="1:20" s="308" customFormat="1" ht="17.25" customHeight="1">
      <c r="A50" s="370"/>
      <c r="B50" s="370"/>
      <c r="C50" s="370"/>
      <c r="D50" s="370"/>
      <c r="E50" s="380"/>
    </row>
    <row r="51" spans="1:20" s="387" customFormat="1" ht="17.25" customHeight="1">
      <c r="A51" s="381"/>
      <c r="B51" s="382"/>
      <c r="C51" s="383" t="s">
        <v>151</v>
      </c>
      <c r="D51" s="381"/>
      <c r="E51" s="384" t="s">
        <v>317</v>
      </c>
      <c r="F51" s="385"/>
      <c r="G51" s="385"/>
      <c r="H51" s="385"/>
      <c r="I51" s="386"/>
      <c r="M51" s="388" t="s">
        <v>126</v>
      </c>
      <c r="N51" s="389"/>
      <c r="O51" s="390"/>
      <c r="P51" s="308"/>
      <c r="Q51" s="391" t="s">
        <v>320</v>
      </c>
      <c r="R51" s="308"/>
      <c r="S51" s="453" t="s">
        <v>258</v>
      </c>
    </row>
    <row r="52" spans="1:20" s="304" customFormat="1" ht="15">
      <c r="A52" s="303"/>
      <c r="E52" s="526" t="str">
        <f>+E4</f>
        <v>Restated Results AMA (See BGM-4)</v>
      </c>
      <c r="F52" s="515" t="s">
        <v>264</v>
      </c>
      <c r="G52" s="515" t="s">
        <v>228</v>
      </c>
      <c r="H52" s="515" t="s">
        <v>263</v>
      </c>
      <c r="I52" s="517" t="s">
        <v>265</v>
      </c>
      <c r="K52" s="529" t="s">
        <v>321</v>
      </c>
      <c r="L52" s="305"/>
      <c r="M52" s="514" t="s">
        <v>318</v>
      </c>
      <c r="N52" s="514" t="s">
        <v>319</v>
      </c>
      <c r="O52" s="514" t="s">
        <v>220</v>
      </c>
      <c r="P52" s="308"/>
      <c r="Q52" s="521" t="s">
        <v>266</v>
      </c>
      <c r="R52" s="308"/>
      <c r="S52" s="521" t="s">
        <v>381</v>
      </c>
    </row>
    <row r="53" spans="1:20" s="309" customFormat="1" ht="15">
      <c r="A53" s="306"/>
      <c r="B53" s="307"/>
      <c r="C53" s="307"/>
      <c r="D53" s="308"/>
      <c r="E53" s="527"/>
      <c r="F53" s="528"/>
      <c r="G53" s="516"/>
      <c r="H53" s="516"/>
      <c r="I53" s="514"/>
      <c r="J53" s="307"/>
      <c r="K53" s="529"/>
      <c r="L53" s="305"/>
      <c r="M53" s="514"/>
      <c r="N53" s="514"/>
      <c r="O53" s="514"/>
      <c r="P53" s="308"/>
      <c r="Q53" s="524"/>
      <c r="R53" s="308"/>
      <c r="S53" s="522"/>
    </row>
    <row r="54" spans="1:20" s="309" customFormat="1" ht="15">
      <c r="A54" s="306"/>
      <c r="B54" s="307"/>
      <c r="C54" s="307"/>
      <c r="D54" s="308"/>
      <c r="E54" s="527"/>
      <c r="F54" s="528"/>
      <c r="G54" s="516"/>
      <c r="H54" s="516"/>
      <c r="I54" s="514"/>
      <c r="J54" s="307"/>
      <c r="K54" s="529"/>
      <c r="L54" s="315"/>
      <c r="M54" s="514"/>
      <c r="N54" s="514"/>
      <c r="O54" s="514"/>
      <c r="P54" s="308"/>
      <c r="Q54" s="524"/>
      <c r="R54" s="308"/>
      <c r="S54" s="522"/>
    </row>
    <row r="55" spans="1:20" s="309" customFormat="1" ht="30">
      <c r="A55" s="310" t="s">
        <v>316</v>
      </c>
      <c r="B55" s="311"/>
      <c r="C55" s="312" t="s">
        <v>3</v>
      </c>
      <c r="D55" s="311"/>
      <c r="E55" s="527"/>
      <c r="F55" s="528"/>
      <c r="G55" s="516"/>
      <c r="H55" s="516"/>
      <c r="I55" s="514"/>
      <c r="J55" s="315"/>
      <c r="K55" s="529"/>
      <c r="L55" s="315"/>
      <c r="M55" s="514"/>
      <c r="N55" s="514"/>
      <c r="O55" s="514"/>
      <c r="P55" s="308"/>
      <c r="Q55" s="525"/>
      <c r="R55" s="308"/>
      <c r="S55" s="523"/>
    </row>
    <row r="56" spans="1:20" s="309" customFormat="1" ht="15">
      <c r="A56" s="306"/>
      <c r="B56" s="307"/>
      <c r="C56" s="307"/>
      <c r="D56" s="307"/>
      <c r="E56" s="345" t="str">
        <f>E8</f>
        <v>[A]</v>
      </c>
      <c r="F56" s="345" t="str">
        <f>F8</f>
        <v>[B]</v>
      </c>
      <c r="G56" s="345" t="str">
        <f>G8</f>
        <v>[C]</v>
      </c>
      <c r="H56" s="345" t="str">
        <f>H8</f>
        <v>[D]</v>
      </c>
      <c r="I56" s="345" t="str">
        <f>I8</f>
        <v>[E]</v>
      </c>
      <c r="J56" s="315"/>
      <c r="K56" s="345" t="str">
        <f>K8</f>
        <v>[F]</v>
      </c>
      <c r="L56" s="315"/>
      <c r="M56" s="345" t="str">
        <f>M8</f>
        <v>[G]</v>
      </c>
      <c r="N56" s="345" t="str">
        <f>N8</f>
        <v>[H]</v>
      </c>
      <c r="O56" s="345" t="str">
        <f>O8</f>
        <v>[I]</v>
      </c>
      <c r="P56" s="308"/>
      <c r="Q56" s="345" t="str">
        <f>Q8</f>
        <v>[J]</v>
      </c>
      <c r="R56" s="308"/>
      <c r="S56" s="345" t="str">
        <f>S8</f>
        <v>[K]</v>
      </c>
    </row>
    <row r="57" spans="1:20" s="317" customFormat="1" ht="15">
      <c r="A57" s="314">
        <f t="shared" ref="A57:A61" ca="1" si="11">+MAX(OFFSET(A$1,0,0,ROW(A57)-ROW(A$1)))+1</f>
        <v>33</v>
      </c>
      <c r="B57" s="315" t="s">
        <v>28</v>
      </c>
      <c r="C57" s="323"/>
      <c r="D57" s="323"/>
      <c r="E57" s="321"/>
      <c r="F57" s="321"/>
      <c r="G57" s="321"/>
      <c r="H57" s="321"/>
      <c r="I57" s="321"/>
      <c r="J57" s="315"/>
      <c r="K57" s="315"/>
      <c r="L57" s="315"/>
      <c r="M57" s="321"/>
      <c r="N57" s="321"/>
      <c r="O57" s="321"/>
      <c r="P57" s="308"/>
      <c r="Q57" s="321"/>
      <c r="R57" s="308"/>
      <c r="S57" s="321"/>
      <c r="T57" s="309"/>
    </row>
    <row r="58" spans="1:20" s="317" customFormat="1" ht="15">
      <c r="A58" s="314">
        <f t="shared" ca="1" si="11"/>
        <v>34</v>
      </c>
      <c r="B58" s="323" t="s">
        <v>29</v>
      </c>
      <c r="C58" s="315"/>
      <c r="D58" s="323"/>
      <c r="E58" s="378">
        <f>+'[6]Exh. No. BGM 4 4'!X54</f>
        <v>-1128.6000000000004</v>
      </c>
      <c r="F58" s="378">
        <f>+'[6]Exh. No. BGM 4 4'!$AG$54</f>
        <v>377.65</v>
      </c>
      <c r="G58" s="378">
        <f>+'[6]Exh. No. BGM 4 4'!$AF$54</f>
        <v>-322.7</v>
      </c>
      <c r="H58" s="379">
        <v>0</v>
      </c>
      <c r="I58" s="378">
        <f>SUM(E58:H58)</f>
        <v>-1073.6500000000003</v>
      </c>
      <c r="J58" s="315"/>
      <c r="K58" s="315"/>
      <c r="L58" s="315"/>
      <c r="M58" s="378">
        <f ca="1">0.35*M46</f>
        <v>-1014.0140787000001</v>
      </c>
      <c r="N58" s="378">
        <f ca="1">I58+M58</f>
        <v>-2087.6640787000006</v>
      </c>
      <c r="O58" s="378">
        <f>0.35*O46</f>
        <v>463.29297270386257</v>
      </c>
      <c r="P58" s="328"/>
      <c r="Q58" s="379">
        <v>0</v>
      </c>
      <c r="R58" s="328"/>
      <c r="S58" s="378">
        <f ca="1">SUM(N58:Q58)</f>
        <v>-1624.3711059961379</v>
      </c>
      <c r="T58" s="309"/>
    </row>
    <row r="59" spans="1:20" s="317" customFormat="1" ht="15">
      <c r="A59" s="314">
        <f t="shared" ca="1" si="11"/>
        <v>35</v>
      </c>
      <c r="B59" s="323" t="s">
        <v>46</v>
      </c>
      <c r="C59" s="315"/>
      <c r="D59" s="323"/>
      <c r="E59" s="321">
        <f>+'[6]Exh. No. BGM 4 4'!X55</f>
        <v>11.15282</v>
      </c>
      <c r="F59" s="321">
        <v>0</v>
      </c>
      <c r="G59" s="321">
        <f>G85*'2) ROR'!$F$38*-0.35</f>
        <v>0</v>
      </c>
      <c r="H59" s="334">
        <v>0</v>
      </c>
      <c r="I59" s="321">
        <f>SUM(E59:H59)</f>
        <v>11.15282</v>
      </c>
      <c r="J59" s="315"/>
      <c r="K59" s="315"/>
      <c r="L59" s="315"/>
      <c r="M59" s="321">
        <f ca="1">('2) ROR'!F11*-0.35*M85)+('2) ROR'!F11-'2) ROR'!F38)*I85*-0.35</f>
        <v>-155.72415239752002</v>
      </c>
      <c r="N59" s="321">
        <f ca="1">I59+M59</f>
        <v>-144.57133239752002</v>
      </c>
      <c r="O59" s="321"/>
      <c r="P59" s="328"/>
      <c r="Q59" s="328">
        <f>Q85*'2) ROR'!$F$11*-0.35</f>
        <v>0</v>
      </c>
      <c r="R59" s="328"/>
      <c r="S59" s="328">
        <f ca="1">SUM(N59:Q59)</f>
        <v>-144.57133239752002</v>
      </c>
      <c r="T59" s="309"/>
    </row>
    <row r="60" spans="1:20" s="317" customFormat="1" ht="15">
      <c r="A60" s="314">
        <f t="shared" ca="1" si="11"/>
        <v>36</v>
      </c>
      <c r="B60" s="323" t="s">
        <v>30</v>
      </c>
      <c r="C60" s="315"/>
      <c r="D60" s="323"/>
      <c r="E60" s="321">
        <f>+'[6]Exh. No. BGM 4 4'!X56</f>
        <v>9923</v>
      </c>
      <c r="F60" s="321">
        <v>0</v>
      </c>
      <c r="G60" s="321">
        <v>0</v>
      </c>
      <c r="H60" s="321"/>
      <c r="I60" s="321">
        <f>SUM(E60:H60)</f>
        <v>9923</v>
      </c>
      <c r="J60" s="315"/>
      <c r="K60" s="315"/>
      <c r="L60" s="315"/>
      <c r="M60" s="321"/>
      <c r="N60" s="321">
        <f>I60+M60</f>
        <v>9923</v>
      </c>
      <c r="O60" s="321"/>
      <c r="P60" s="328"/>
      <c r="Q60" s="328"/>
      <c r="R60" s="328"/>
      <c r="S60" s="328">
        <f>SUM(N60:Q60)</f>
        <v>9923</v>
      </c>
      <c r="T60" s="309"/>
    </row>
    <row r="61" spans="1:20" s="317" customFormat="1" ht="15">
      <c r="A61" s="314">
        <f t="shared" ca="1" si="11"/>
        <v>37</v>
      </c>
      <c r="B61" s="323" t="s">
        <v>31</v>
      </c>
      <c r="C61" s="315"/>
      <c r="D61" s="323"/>
      <c r="E61" s="321">
        <f>+'[6]Exh. No. BGM 4 4'!X57</f>
        <v>-17</v>
      </c>
      <c r="F61" s="321">
        <v>0</v>
      </c>
      <c r="G61" s="321">
        <v>0</v>
      </c>
      <c r="H61" s="324"/>
      <c r="I61" s="321">
        <f>SUM(E61:H61)</f>
        <v>-17</v>
      </c>
      <c r="J61" s="315"/>
      <c r="K61" s="315"/>
      <c r="L61" s="315"/>
      <c r="M61" s="324"/>
      <c r="N61" s="321">
        <f>I61+M61</f>
        <v>-17</v>
      </c>
      <c r="O61" s="324"/>
      <c r="P61" s="328"/>
      <c r="Q61" s="324"/>
      <c r="R61" s="328"/>
      <c r="S61" s="321">
        <f>SUM(N61:Q61)</f>
        <v>-17</v>
      </c>
      <c r="T61" s="309"/>
    </row>
    <row r="62" spans="1:20" s="317" customFormat="1" ht="15">
      <c r="A62" s="341"/>
      <c r="B62" s="315"/>
      <c r="C62" s="315"/>
      <c r="D62" s="315"/>
      <c r="E62" s="344"/>
      <c r="F62" s="344"/>
      <c r="G62" s="344"/>
      <c r="H62" s="321"/>
      <c r="I62" s="344"/>
      <c r="J62" s="315"/>
      <c r="K62" s="315"/>
      <c r="L62" s="315"/>
      <c r="M62" s="321"/>
      <c r="N62" s="344"/>
      <c r="O62" s="321"/>
      <c r="P62" s="328"/>
      <c r="Q62" s="321"/>
      <c r="R62" s="328"/>
      <c r="S62" s="344"/>
      <c r="T62" s="309"/>
    </row>
    <row r="63" spans="1:20" s="322" customFormat="1" thickBot="1">
      <c r="A63" s="314">
        <f t="shared" ref="A63" ca="1" si="12">+MAX(OFFSET(A$1,0,0,ROW(A63)-ROW(A$1)))+1</f>
        <v>38</v>
      </c>
      <c r="B63" s="318" t="s">
        <v>32</v>
      </c>
      <c r="C63" s="318"/>
      <c r="D63" s="318"/>
      <c r="E63" s="375">
        <f>E46-E58-E59-E60-E61</f>
        <v>22798.447179999999</v>
      </c>
      <c r="F63" s="375">
        <f>F46-F58-F59-F60-F61</f>
        <v>701.35</v>
      </c>
      <c r="G63" s="375">
        <f>G46-G58-G59-G60-G61</f>
        <v>-599.29999999999995</v>
      </c>
      <c r="H63" s="375">
        <f>H46-H58-H59-H60-H61</f>
        <v>0</v>
      </c>
      <c r="I63" s="375">
        <f>I46-I58-I59-I60-I61</f>
        <v>22900.497179999998</v>
      </c>
      <c r="J63" s="318"/>
      <c r="K63" s="346"/>
      <c r="L63" s="346"/>
      <c r="M63" s="375">
        <f ca="1">M46-M58-M59-M60-M61</f>
        <v>-1727.4448509024805</v>
      </c>
      <c r="N63" s="375">
        <f ca="1">N46-N58-N59-N60-N61</f>
        <v>21173.052329097532</v>
      </c>
      <c r="O63" s="375">
        <f>O46-O58-O59-O60-O61</f>
        <v>860.40123502145923</v>
      </c>
      <c r="P63" s="328"/>
      <c r="Q63" s="375">
        <f>Q46-Q58-Q59-Q60-Q61</f>
        <v>0</v>
      </c>
      <c r="R63" s="328"/>
      <c r="S63" s="375">
        <f ca="1">S46-S58-S59-S60-S61</f>
        <v>22033.45356411899</v>
      </c>
      <c r="T63" s="309"/>
    </row>
    <row r="64" spans="1:20" s="317" customFormat="1" thickTop="1">
      <c r="A64" s="341"/>
      <c r="B64" s="315"/>
      <c r="C64" s="315"/>
      <c r="D64" s="315"/>
      <c r="E64" s="321"/>
      <c r="F64" s="321"/>
      <c r="G64" s="321"/>
      <c r="H64" s="321"/>
      <c r="I64" s="321"/>
      <c r="J64" s="315"/>
      <c r="K64" s="326"/>
      <c r="L64" s="326"/>
      <c r="M64" s="321"/>
      <c r="N64" s="321"/>
      <c r="O64" s="321"/>
      <c r="P64" s="328"/>
      <c r="Q64" s="321"/>
      <c r="R64" s="328"/>
      <c r="S64" s="321"/>
      <c r="T64" s="309"/>
    </row>
    <row r="65" spans="1:23" s="317" customFormat="1" ht="15">
      <c r="A65" s="314">
        <f t="shared" ref="A65:A70" ca="1" si="13">+MAX(OFFSET(A$1,0,0,ROW(A65)-ROW(A$1)))+1</f>
        <v>39</v>
      </c>
      <c r="B65" s="315" t="s">
        <v>40</v>
      </c>
      <c r="C65" s="315"/>
      <c r="D65" s="315"/>
      <c r="E65" s="321"/>
      <c r="F65" s="321"/>
      <c r="G65" s="321"/>
      <c r="H65" s="321"/>
      <c r="I65" s="321"/>
      <c r="J65" s="315"/>
      <c r="K65" s="326"/>
      <c r="L65" s="326"/>
      <c r="M65" s="321"/>
      <c r="N65" s="321"/>
      <c r="O65" s="321"/>
      <c r="P65" s="328"/>
      <c r="Q65" s="321"/>
      <c r="R65" s="328"/>
      <c r="S65" s="321"/>
      <c r="T65" s="309"/>
    </row>
    <row r="66" spans="1:23" s="317" customFormat="1" ht="15">
      <c r="A66" s="314">
        <f t="shared" ca="1" si="13"/>
        <v>40</v>
      </c>
      <c r="B66" s="315" t="s">
        <v>41</v>
      </c>
      <c r="C66" s="315"/>
      <c r="D66" s="315"/>
      <c r="E66" s="321"/>
      <c r="F66" s="321"/>
      <c r="G66" s="321"/>
      <c r="H66" s="321"/>
      <c r="I66" s="321"/>
      <c r="J66" s="315"/>
      <c r="K66" s="326"/>
      <c r="L66" s="326"/>
      <c r="M66" s="321"/>
      <c r="N66" s="321"/>
      <c r="O66" s="321"/>
      <c r="P66" s="328"/>
      <c r="Q66" s="321"/>
      <c r="R66" s="328"/>
      <c r="S66" s="321"/>
      <c r="T66" s="309"/>
    </row>
    <row r="67" spans="1:23" s="317" customFormat="1" ht="15">
      <c r="A67" s="314">
        <f t="shared" ca="1" si="13"/>
        <v>41</v>
      </c>
      <c r="B67" s="323"/>
      <c r="C67" s="323" t="s">
        <v>16</v>
      </c>
      <c r="D67" s="323"/>
      <c r="E67" s="321">
        <f>+'[6]Exh. No. BGM 4 4'!$X63</f>
        <v>26868</v>
      </c>
      <c r="F67" s="321">
        <v>0</v>
      </c>
      <c r="G67" s="321">
        <v>0</v>
      </c>
      <c r="H67" s="334">
        <v>0</v>
      </c>
      <c r="I67" s="321">
        <f>SUM(E67:H67)</f>
        <v>26868</v>
      </c>
      <c r="J67" s="315"/>
      <c r="K67" s="330">
        <f ca="1">+'4.12'!B23*$K$7</f>
        <v>5.0227999999999995E-2</v>
      </c>
      <c r="L67" s="326"/>
      <c r="M67" s="321">
        <f ca="1">I67*K67</f>
        <v>1349.5259039999999</v>
      </c>
      <c r="N67" s="321">
        <f ca="1">I67+M67</f>
        <v>28217.525903999998</v>
      </c>
      <c r="O67" s="321"/>
      <c r="P67" s="328"/>
      <c r="Q67" s="321"/>
      <c r="R67" s="328"/>
      <c r="S67" s="328">
        <f ca="1">SUM(N67:Q67)</f>
        <v>28217.525903999998</v>
      </c>
      <c r="T67" s="309"/>
    </row>
    <row r="68" spans="1:23" s="317" customFormat="1" ht="15">
      <c r="A68" s="314">
        <f t="shared" ca="1" si="13"/>
        <v>42</v>
      </c>
      <c r="B68" s="323"/>
      <c r="C68" s="323" t="s">
        <v>33</v>
      </c>
      <c r="D68" s="323"/>
      <c r="E68" s="321">
        <f>+'[6]Exh. No. BGM 4 4'!$X64</f>
        <v>390508</v>
      </c>
      <c r="F68" s="321">
        <v>0</v>
      </c>
      <c r="G68" s="321"/>
      <c r="H68" s="334">
        <v>0</v>
      </c>
      <c r="I68" s="321">
        <f>SUM(E68:H68)</f>
        <v>390508</v>
      </c>
      <c r="J68" s="315"/>
      <c r="K68" s="330">
        <f ca="1">+'4.13'!B23*$K$7</f>
        <v>0.13336400000000001</v>
      </c>
      <c r="L68" s="326"/>
      <c r="M68" s="321">
        <f ca="1">I68*K68</f>
        <v>52079.708912000002</v>
      </c>
      <c r="N68" s="321">
        <f ca="1">I68+M68</f>
        <v>442587.708912</v>
      </c>
      <c r="O68" s="321"/>
      <c r="P68" s="328"/>
      <c r="Q68" s="336">
        <v>0</v>
      </c>
      <c r="R68" s="328"/>
      <c r="S68" s="328">
        <f ca="1">SUM(N68:Q68)</f>
        <v>442587.708912</v>
      </c>
      <c r="T68" s="309"/>
    </row>
    <row r="69" spans="1:23" s="317" customFormat="1" ht="15">
      <c r="A69" s="314">
        <f t="shared" ca="1" si="13"/>
        <v>43</v>
      </c>
      <c r="B69" s="323"/>
      <c r="C69" s="323" t="s">
        <v>34</v>
      </c>
      <c r="D69" s="323"/>
      <c r="E69" s="321">
        <f>+'[6]Exh. No. BGM 4 4'!$X65</f>
        <v>82624</v>
      </c>
      <c r="F69" s="321">
        <v>0</v>
      </c>
      <c r="G69" s="321">
        <v>0</v>
      </c>
      <c r="H69" s="334">
        <v>0</v>
      </c>
      <c r="I69" s="321">
        <f>SUM(E69:H69)</f>
        <v>82624</v>
      </c>
      <c r="J69" s="315"/>
      <c r="K69" s="330">
        <f ca="1">+'4.14'!B23*$K$7</f>
        <v>0.22083</v>
      </c>
      <c r="L69" s="326"/>
      <c r="M69" s="324">
        <f ca="1">I69*K69</f>
        <v>18245.857919999999</v>
      </c>
      <c r="N69" s="321">
        <f ca="1">I69+M69</f>
        <v>100869.85791999999</v>
      </c>
      <c r="O69" s="324"/>
      <c r="P69" s="328"/>
      <c r="Q69" s="336">
        <v>0</v>
      </c>
      <c r="R69" s="328"/>
      <c r="S69" s="324">
        <f ca="1">SUM(N69:Q69)</f>
        <v>100869.85791999999</v>
      </c>
    </row>
    <row r="70" spans="1:23" s="317" customFormat="1" ht="15">
      <c r="A70" s="314">
        <f t="shared" ca="1" si="13"/>
        <v>44</v>
      </c>
      <c r="B70" s="323" t="s">
        <v>35</v>
      </c>
      <c r="C70" s="323"/>
      <c r="D70" s="315"/>
      <c r="E70" s="344">
        <f t="shared" ref="E70:I70" si="14">SUM(E67:E69)</f>
        <v>500000</v>
      </c>
      <c r="F70" s="344">
        <f t="shared" si="14"/>
        <v>0</v>
      </c>
      <c r="G70" s="344">
        <f t="shared" si="14"/>
        <v>0</v>
      </c>
      <c r="H70" s="344">
        <f t="shared" si="14"/>
        <v>0</v>
      </c>
      <c r="I70" s="344">
        <f t="shared" si="14"/>
        <v>500000</v>
      </c>
      <c r="J70" s="315"/>
      <c r="K70" s="326"/>
      <c r="L70" s="326"/>
      <c r="M70" s="321">
        <f ca="1">SUM(M67:M69)</f>
        <v>71675.092736000006</v>
      </c>
      <c r="N70" s="344">
        <f ca="1">SUM(N67:N69)</f>
        <v>571675.09273599996</v>
      </c>
      <c r="O70" s="321"/>
      <c r="P70" s="328"/>
      <c r="Q70" s="321">
        <f>SUM(Q67:Q69)</f>
        <v>0</v>
      </c>
      <c r="R70" s="328"/>
      <c r="S70" s="344">
        <f ca="1">SUM(S67:S69)</f>
        <v>571675.09273599996</v>
      </c>
    </row>
    <row r="71" spans="1:23" s="317" customFormat="1" ht="15">
      <c r="A71" s="341"/>
      <c r="B71" s="323"/>
      <c r="C71" s="323"/>
      <c r="D71" s="315"/>
      <c r="E71" s="321"/>
      <c r="F71" s="321"/>
      <c r="G71" s="321"/>
      <c r="H71" s="321"/>
      <c r="I71" s="321"/>
      <c r="J71" s="315"/>
      <c r="K71" s="326"/>
      <c r="L71" s="326"/>
      <c r="M71" s="321"/>
      <c r="N71" s="321"/>
      <c r="O71" s="321"/>
      <c r="P71" s="328"/>
      <c r="Q71" s="321"/>
      <c r="R71" s="328"/>
      <c r="S71" s="321"/>
    </row>
    <row r="72" spans="1:23" s="317" customFormat="1" ht="15">
      <c r="A72" s="314">
        <f t="shared" ref="A72:A85" ca="1" si="15">+MAX(OFFSET(A$1,0,0,ROW(A72)-ROW(A$1)))+1</f>
        <v>45</v>
      </c>
      <c r="B72" s="323" t="s">
        <v>257</v>
      </c>
      <c r="C72" s="323"/>
      <c r="D72" s="323"/>
      <c r="E72" s="321"/>
      <c r="F72" s="321"/>
      <c r="G72" s="321"/>
      <c r="H72" s="321"/>
      <c r="I72" s="321"/>
      <c r="J72" s="315"/>
      <c r="K72" s="326"/>
      <c r="L72" s="326"/>
      <c r="M72" s="321"/>
      <c r="N72" s="321"/>
      <c r="O72" s="321"/>
      <c r="P72" s="328"/>
      <c r="Q72" s="321"/>
      <c r="R72" s="328"/>
      <c r="S72" s="321"/>
    </row>
    <row r="73" spans="1:23" s="317" customFormat="1" ht="15">
      <c r="A73" s="314">
        <f t="shared" ca="1" si="15"/>
        <v>46</v>
      </c>
      <c r="B73" s="323"/>
      <c r="C73" s="323" t="s">
        <v>16</v>
      </c>
      <c r="D73" s="323"/>
      <c r="E73" s="321">
        <f>+'[6]Exh. No. BGM 4 4'!X69</f>
        <v>-10317</v>
      </c>
      <c r="F73" s="321">
        <v>0</v>
      </c>
      <c r="G73" s="321">
        <v>0</v>
      </c>
      <c r="H73" s="334">
        <v>0</v>
      </c>
      <c r="I73" s="321">
        <f>SUM(E73:H73)</f>
        <v>-10317</v>
      </c>
      <c r="J73" s="315"/>
      <c r="K73" s="347">
        <f ca="1">+K67</f>
        <v>5.0227999999999995E-2</v>
      </c>
      <c r="L73" s="326"/>
      <c r="M73" s="321">
        <f ca="1">I73*K73</f>
        <v>-518.20227599999998</v>
      </c>
      <c r="N73" s="321">
        <f ca="1">I73+M73</f>
        <v>-10835.202276</v>
      </c>
      <c r="O73" s="321"/>
      <c r="P73" s="328"/>
      <c r="Q73" s="321"/>
      <c r="R73" s="328"/>
      <c r="S73" s="328">
        <f ca="1">SUM(N73:Q73)</f>
        <v>-10835.202276</v>
      </c>
    </row>
    <row r="74" spans="1:23" s="317" customFormat="1" ht="15">
      <c r="A74" s="314">
        <f t="shared" ca="1" si="15"/>
        <v>47</v>
      </c>
      <c r="B74" s="323"/>
      <c r="C74" s="323" t="s">
        <v>33</v>
      </c>
      <c r="D74" s="323"/>
      <c r="E74" s="321">
        <f>+'[6]Exh. No. BGM 4 4'!X70</f>
        <v>-129098</v>
      </c>
      <c r="F74" s="321">
        <v>0</v>
      </c>
      <c r="G74" s="321"/>
      <c r="H74" s="334">
        <v>0</v>
      </c>
      <c r="I74" s="321">
        <f>SUM(E74:H74)</f>
        <v>-129098</v>
      </c>
      <c r="J74" s="315"/>
      <c r="K74" s="320">
        <f ca="1">+K68</f>
        <v>0.13336400000000001</v>
      </c>
      <c r="L74" s="326"/>
      <c r="M74" s="321">
        <f ca="1">I74*K74</f>
        <v>-17217.025672</v>
      </c>
      <c r="N74" s="321">
        <f ca="1">I74+M74</f>
        <v>-146315.02567199999</v>
      </c>
      <c r="O74" s="321"/>
      <c r="P74" s="328"/>
      <c r="Q74" s="336">
        <v>0</v>
      </c>
      <c r="R74" s="328"/>
      <c r="S74" s="328">
        <f ca="1">SUM(N74:Q74)</f>
        <v>-146315.02567199999</v>
      </c>
    </row>
    <row r="75" spans="1:23" s="317" customFormat="1" ht="15">
      <c r="A75" s="314">
        <f t="shared" ca="1" si="15"/>
        <v>48</v>
      </c>
      <c r="B75" s="323"/>
      <c r="C75" s="323" t="s">
        <v>34</v>
      </c>
      <c r="D75" s="323"/>
      <c r="E75" s="321">
        <f>+'[6]Exh. No. BGM 4 4'!X71</f>
        <v>-23473</v>
      </c>
      <c r="F75" s="321">
        <v>0</v>
      </c>
      <c r="G75" s="321">
        <v>0</v>
      </c>
      <c r="H75" s="334">
        <v>0</v>
      </c>
      <c r="I75" s="321">
        <f>SUM(E75:H75)</f>
        <v>-23473</v>
      </c>
      <c r="J75" s="315"/>
      <c r="K75" s="320">
        <f ca="1">+K69</f>
        <v>0.22083</v>
      </c>
      <c r="L75" s="326"/>
      <c r="M75" s="321">
        <f ca="1">I75*K75</f>
        <v>-5183.54259</v>
      </c>
      <c r="N75" s="321">
        <f ca="1">I75+M75</f>
        <v>-28656.542590000001</v>
      </c>
      <c r="O75" s="321"/>
      <c r="P75" s="328"/>
      <c r="Q75" s="336">
        <v>0</v>
      </c>
      <c r="R75" s="328"/>
      <c r="S75" s="328">
        <f ca="1">SUM(N75:Q75)</f>
        <v>-28656.542590000001</v>
      </c>
    </row>
    <row r="76" spans="1:23" s="317" customFormat="1" ht="15">
      <c r="A76" s="314">
        <f t="shared" ca="1" si="15"/>
        <v>49</v>
      </c>
      <c r="B76" s="323" t="s">
        <v>256</v>
      </c>
      <c r="C76" s="323"/>
      <c r="D76" s="315"/>
      <c r="E76" s="349">
        <f>SUM(E73:E75)</f>
        <v>-162888</v>
      </c>
      <c r="F76" s="349">
        <f>SUM(F73:F75)</f>
        <v>0</v>
      </c>
      <c r="G76" s="349">
        <f>SUM(G73:G75)</f>
        <v>0</v>
      </c>
      <c r="H76" s="349">
        <f>SUM(H73:H75)</f>
        <v>0</v>
      </c>
      <c r="I76" s="349">
        <f>SUM(I73:I75)</f>
        <v>-162888</v>
      </c>
      <c r="J76" s="315"/>
      <c r="K76" s="348"/>
      <c r="L76" s="326"/>
      <c r="M76" s="349">
        <f ca="1">SUM(M73:M75)</f>
        <v>-22918.770538000001</v>
      </c>
      <c r="N76" s="349">
        <f ca="1">SUM(N73:N75)</f>
        <v>-185806.77053799998</v>
      </c>
      <c r="O76" s="349"/>
      <c r="P76" s="328"/>
      <c r="Q76" s="349">
        <f>SUM(Q73:Q75)</f>
        <v>0</v>
      </c>
      <c r="R76" s="328"/>
      <c r="S76" s="349">
        <f ca="1">SUM(S73:S75)</f>
        <v>-185806.77053799998</v>
      </c>
    </row>
    <row r="77" spans="1:23" s="317" customFormat="1" ht="15">
      <c r="A77" s="314">
        <f t="shared" ca="1" si="15"/>
        <v>50</v>
      </c>
      <c r="B77" s="323" t="s">
        <v>44</v>
      </c>
      <c r="C77" s="323"/>
      <c r="D77" s="323"/>
      <c r="E77" s="321">
        <f>E70+E76</f>
        <v>337112</v>
      </c>
      <c r="F77" s="321">
        <f>F70+F76</f>
        <v>0</v>
      </c>
      <c r="G77" s="321">
        <f>G70+G76</f>
        <v>0</v>
      </c>
      <c r="H77" s="321">
        <f>H70+H76</f>
        <v>0</v>
      </c>
      <c r="I77" s="321">
        <f>I70+I76</f>
        <v>337112</v>
      </c>
      <c r="J77" s="315"/>
      <c r="K77" s="326"/>
      <c r="L77" s="326"/>
      <c r="M77" s="321">
        <f ca="1">M70+M76</f>
        <v>48756.322198000009</v>
      </c>
      <c r="N77" s="321">
        <f ca="1">N70+N76</f>
        <v>385868.32219799998</v>
      </c>
      <c r="O77" s="328"/>
      <c r="P77" s="328"/>
      <c r="Q77" s="321">
        <f>Q70+Q76</f>
        <v>0</v>
      </c>
      <c r="R77" s="328"/>
      <c r="S77" s="328">
        <f ca="1">S70+S76</f>
        <v>385868.32219799998</v>
      </c>
    </row>
    <row r="78" spans="1:23" s="332" customFormat="1" ht="15">
      <c r="A78" s="314">
        <f t="shared" ca="1" si="15"/>
        <v>51</v>
      </c>
      <c r="B78" s="350" t="s">
        <v>42</v>
      </c>
      <c r="C78" s="350"/>
      <c r="D78" s="350"/>
      <c r="E78" s="321">
        <f>+'[6]Exh. No. BGM 4 4'!$X$74</f>
        <v>-74181</v>
      </c>
      <c r="F78" s="321">
        <v>0</v>
      </c>
      <c r="G78" s="321"/>
      <c r="H78" s="334">
        <v>0</v>
      </c>
      <c r="I78" s="321">
        <f>SUM(E78:H78)</f>
        <v>-74181</v>
      </c>
      <c r="J78" s="315"/>
      <c r="K78" s="330">
        <f ca="1">+'4.15'!B22*$K$7</f>
        <v>0.33687400000000001</v>
      </c>
      <c r="L78" s="326"/>
      <c r="M78" s="324">
        <f ca="1">I78*K78</f>
        <v>-24989.650194000002</v>
      </c>
      <c r="N78" s="321">
        <f ca="1">I78+M78</f>
        <v>-99170.650194000002</v>
      </c>
      <c r="O78" s="324"/>
      <c r="P78" s="328"/>
      <c r="Q78" s="336">
        <v>0</v>
      </c>
      <c r="R78" s="328"/>
      <c r="S78" s="321">
        <f ca="1">SUM(N78:Q78)</f>
        <v>-99170.650194000002</v>
      </c>
      <c r="U78" s="342"/>
      <c r="V78" s="317"/>
      <c r="W78" s="317"/>
    </row>
    <row r="79" spans="1:23" s="332" customFormat="1" ht="15">
      <c r="A79" s="314">
        <f t="shared" ca="1" si="15"/>
        <v>52</v>
      </c>
      <c r="B79" s="350" t="s">
        <v>50</v>
      </c>
      <c r="C79" s="350"/>
      <c r="D79" s="350"/>
      <c r="E79" s="344">
        <f>E77+E78</f>
        <v>262931</v>
      </c>
      <c r="F79" s="344">
        <f>F77+F78</f>
        <v>0</v>
      </c>
      <c r="G79" s="344">
        <f>G77+G78</f>
        <v>0</v>
      </c>
      <c r="H79" s="344">
        <f>H77+H78</f>
        <v>0</v>
      </c>
      <c r="I79" s="344">
        <f>I77+I78</f>
        <v>262931</v>
      </c>
      <c r="J79" s="315"/>
      <c r="K79" s="351"/>
      <c r="L79" s="326"/>
      <c r="M79" s="328">
        <f ca="1">M77+M78</f>
        <v>23766.672004000007</v>
      </c>
      <c r="N79" s="344">
        <f ca="1">N77+N78</f>
        <v>286697.67200399999</v>
      </c>
      <c r="O79" s="328"/>
      <c r="P79" s="328"/>
      <c r="Q79" s="344">
        <f>Q77+Q78</f>
        <v>0</v>
      </c>
      <c r="R79" s="328"/>
      <c r="S79" s="344">
        <f ca="1">S77+S78</f>
        <v>286697.67200399999</v>
      </c>
      <c r="U79" s="352"/>
      <c r="V79" s="353"/>
      <c r="W79" s="317"/>
    </row>
    <row r="80" spans="1:23" s="317" customFormat="1" ht="15">
      <c r="A80" s="314">
        <f t="shared" ca="1" si="15"/>
        <v>53</v>
      </c>
      <c r="B80" s="323" t="s">
        <v>36</v>
      </c>
      <c r="C80" s="323"/>
      <c r="D80" s="323"/>
      <c r="E80" s="321">
        <f>+'[6]Exh. No. BGM 4 4'!$X$76</f>
        <v>9116</v>
      </c>
      <c r="F80" s="321">
        <v>0</v>
      </c>
      <c r="G80" s="321">
        <v>0</v>
      </c>
      <c r="H80" s="321"/>
      <c r="I80" s="321">
        <f>SUM(E80:H80)</f>
        <v>9116</v>
      </c>
      <c r="J80" s="319"/>
      <c r="K80" s="320">
        <v>0</v>
      </c>
      <c r="L80" s="326"/>
      <c r="M80" s="321">
        <f>I80*K80</f>
        <v>0</v>
      </c>
      <c r="N80" s="321">
        <f>I80+M80</f>
        <v>9116</v>
      </c>
      <c r="O80" s="321"/>
      <c r="P80" s="328"/>
      <c r="Q80" s="321"/>
      <c r="R80" s="328"/>
      <c r="S80" s="321">
        <f>SUM(N80:O80)</f>
        <v>9116</v>
      </c>
      <c r="V80" s="354"/>
    </row>
    <row r="81" spans="1:23" s="332" customFormat="1" ht="15">
      <c r="A81" s="314">
        <f t="shared" ca="1" si="15"/>
        <v>54</v>
      </c>
      <c r="B81" s="350" t="s">
        <v>37</v>
      </c>
      <c r="C81" s="350"/>
      <c r="D81" s="350"/>
      <c r="E81" s="321">
        <f>+'[9]Attrition 12.2015 to 2017'!$E84</f>
        <v>0</v>
      </c>
      <c r="F81" s="321">
        <v>0</v>
      </c>
      <c r="G81" s="321">
        <v>0</v>
      </c>
      <c r="H81" s="328"/>
      <c r="I81" s="321">
        <f>SUM(E81:H81)</f>
        <v>0</v>
      </c>
      <c r="J81" s="319"/>
      <c r="K81" s="319">
        <v>0</v>
      </c>
      <c r="L81" s="326"/>
      <c r="M81" s="328">
        <f>I81*K81</f>
        <v>0</v>
      </c>
      <c r="N81" s="321">
        <f>I81+M81</f>
        <v>0</v>
      </c>
      <c r="O81" s="328"/>
      <c r="P81" s="328"/>
      <c r="Q81" s="328"/>
      <c r="R81" s="328"/>
      <c r="S81" s="321">
        <f>SUM(N81:O81)</f>
        <v>0</v>
      </c>
      <c r="V81" s="355"/>
      <c r="W81" s="317"/>
    </row>
    <row r="82" spans="1:23" s="332" customFormat="1" ht="15">
      <c r="A82" s="314">
        <f t="shared" ca="1" si="15"/>
        <v>55</v>
      </c>
      <c r="B82" s="350" t="s">
        <v>54</v>
      </c>
      <c r="C82" s="350"/>
      <c r="D82" s="350"/>
      <c r="E82" s="321">
        <f>+'[6]Exh. No. BGM 4 4'!$X$78</f>
        <v>-249</v>
      </c>
      <c r="F82" s="321">
        <v>0</v>
      </c>
      <c r="G82" s="321">
        <v>0</v>
      </c>
      <c r="H82" s="328"/>
      <c r="I82" s="321">
        <f>SUM(E82:H82)</f>
        <v>-249</v>
      </c>
      <c r="J82" s="319"/>
      <c r="K82" s="319">
        <v>0</v>
      </c>
      <c r="L82" s="326"/>
      <c r="M82" s="328">
        <f>I82*K82</f>
        <v>0</v>
      </c>
      <c r="N82" s="321">
        <f>I82+M82</f>
        <v>-249</v>
      </c>
      <c r="O82" s="328"/>
      <c r="P82" s="328"/>
      <c r="Q82" s="328"/>
      <c r="R82" s="328"/>
      <c r="S82" s="321">
        <f>SUM(N82:O82)</f>
        <v>-249</v>
      </c>
      <c r="U82" s="355"/>
      <c r="W82" s="317"/>
    </row>
    <row r="83" spans="1:23" s="317" customFormat="1" ht="15">
      <c r="A83" s="314">
        <f t="shared" ca="1" si="15"/>
        <v>56</v>
      </c>
      <c r="B83" s="323" t="s">
        <v>45</v>
      </c>
      <c r="C83" s="323"/>
      <c r="D83" s="323"/>
      <c r="E83" s="321">
        <f>+'[6]Exh. No. BGM 4 4'!$X$79</f>
        <v>14800</v>
      </c>
      <c r="F83" s="321">
        <v>0</v>
      </c>
      <c r="G83" s="321">
        <v>0</v>
      </c>
      <c r="H83" s="328"/>
      <c r="I83" s="321">
        <f>SUM(E83:H83)</f>
        <v>14800</v>
      </c>
      <c r="J83" s="319"/>
      <c r="K83" s="319">
        <v>0</v>
      </c>
      <c r="L83" s="326"/>
      <c r="M83" s="328">
        <f>I83*K83</f>
        <v>0</v>
      </c>
      <c r="N83" s="328">
        <f>I83+M83</f>
        <v>14800</v>
      </c>
      <c r="O83" s="328"/>
      <c r="P83" s="328"/>
      <c r="Q83" s="328"/>
      <c r="R83" s="328"/>
      <c r="S83" s="328">
        <f>SUM(N83:O83)</f>
        <v>14800</v>
      </c>
      <c r="T83" s="332"/>
      <c r="U83" s="355"/>
      <c r="V83" s="355"/>
    </row>
    <row r="84" spans="1:23" s="317" customFormat="1" ht="15">
      <c r="A84" s="314">
        <f t="shared" ca="1" si="15"/>
        <v>57</v>
      </c>
      <c r="B84" s="508" t="s">
        <v>313</v>
      </c>
      <c r="C84" s="508"/>
      <c r="D84" s="350"/>
      <c r="E84" s="328"/>
      <c r="F84" s="328"/>
      <c r="G84" s="328"/>
      <c r="H84" s="328"/>
      <c r="I84" s="328"/>
      <c r="J84" s="374"/>
      <c r="K84" s="374"/>
      <c r="L84" s="351"/>
      <c r="M84" s="328"/>
      <c r="N84" s="328"/>
      <c r="O84" s="328"/>
      <c r="P84" s="328"/>
      <c r="Q84" s="328"/>
      <c r="R84" s="328"/>
      <c r="S84" s="451">
        <f ca="1">+MIN('[6]Exh. No. BGM-4 1'!$R$46-SUM(S79:S83),0)</f>
        <v>-10548.060419391666</v>
      </c>
      <c r="T84" s="332"/>
      <c r="U84" s="355"/>
      <c r="V84" s="355"/>
    </row>
    <row r="85" spans="1:23" s="355" customFormat="1" thickBot="1">
      <c r="A85" s="314">
        <f t="shared" ca="1" si="15"/>
        <v>58</v>
      </c>
      <c r="B85" s="356" t="s">
        <v>38</v>
      </c>
      <c r="C85" s="356"/>
      <c r="D85" s="356"/>
      <c r="E85" s="375">
        <f>SUM(E79:E83)</f>
        <v>286598</v>
      </c>
      <c r="F85" s="375">
        <f>SUM(F79:F83)</f>
        <v>0</v>
      </c>
      <c r="G85" s="375">
        <f>SUM(G79:G83)</f>
        <v>0</v>
      </c>
      <c r="H85" s="375">
        <f>SUM(H79:H83)</f>
        <v>0</v>
      </c>
      <c r="I85" s="375">
        <f>SUM(I79:I83)</f>
        <v>286598</v>
      </c>
      <c r="J85" s="356"/>
      <c r="K85" s="356"/>
      <c r="L85" s="326"/>
      <c r="M85" s="375">
        <f ca="1">SUM(M79:M83)</f>
        <v>23766.672004000007</v>
      </c>
      <c r="N85" s="375">
        <f ca="1">SUM(N79:N83)</f>
        <v>310364.67200399999</v>
      </c>
      <c r="O85" s="375"/>
      <c r="P85" s="328"/>
      <c r="Q85" s="375">
        <f>SUM(Q79:Q83)</f>
        <v>0</v>
      </c>
      <c r="R85" s="328"/>
      <c r="S85" s="375">
        <f ca="1">SUM(S79:S84)</f>
        <v>299816.61158460833</v>
      </c>
      <c r="T85" s="332"/>
      <c r="V85" s="329"/>
    </row>
    <row r="86" spans="1:23" s="355" customFormat="1" thickTop="1">
      <c r="A86" s="357"/>
      <c r="D86" s="358"/>
      <c r="E86" s="359"/>
      <c r="F86" s="360"/>
      <c r="G86" s="359"/>
      <c r="H86" s="359"/>
      <c r="I86" s="359"/>
      <c r="M86" s="359"/>
      <c r="N86" s="359"/>
      <c r="O86" s="359"/>
      <c r="P86" s="308"/>
      <c r="Q86" s="359"/>
      <c r="R86" s="308"/>
      <c r="S86" s="359"/>
      <c r="T86" s="332"/>
      <c r="V86" s="340"/>
      <c r="W86" s="361"/>
    </row>
    <row r="87" spans="1:23" s="355" customFormat="1" ht="15">
      <c r="A87" s="362"/>
      <c r="B87" s="322"/>
      <c r="C87" s="322"/>
      <c r="D87" s="322"/>
      <c r="E87" s="335"/>
      <c r="F87" s="360"/>
      <c r="G87" s="359"/>
      <c r="H87" s="359"/>
      <c r="M87" s="359"/>
      <c r="N87" s="359"/>
      <c r="O87" s="359"/>
      <c r="P87" s="359"/>
      <c r="Q87" s="359"/>
      <c r="R87" s="308"/>
      <c r="S87" s="335"/>
      <c r="T87" s="332"/>
      <c r="V87" s="332"/>
      <c r="W87" s="361"/>
    </row>
    <row r="88" spans="1:23" s="355" customFormat="1" ht="15">
      <c r="A88" s="314">
        <f t="shared" ref="A88" ca="1" si="16">+MAX(OFFSET(A$1,0,0,ROW(A88)-ROW(A$1)))+1</f>
        <v>59</v>
      </c>
      <c r="B88" s="322" t="s">
        <v>128</v>
      </c>
      <c r="C88" s="322"/>
      <c r="D88" s="322"/>
      <c r="E88" s="335">
        <f>E63/E85</f>
        <v>7.9548521552837079E-2</v>
      </c>
      <c r="F88" s="360"/>
      <c r="G88" s="359"/>
      <c r="H88" s="359"/>
      <c r="M88" s="359"/>
      <c r="N88" s="359"/>
      <c r="O88" s="359"/>
      <c r="P88" s="359"/>
      <c r="Q88" s="359">
        <f>((Q85*'2) ROR'!F15)-'3.03) Attrition 2016 to 2020'!Q63)/'2) ROR'!N24</f>
        <v>0</v>
      </c>
      <c r="R88" s="308"/>
      <c r="S88" s="335">
        <f ca="1">S63/S85</f>
        <v>7.3489769121418885E-2</v>
      </c>
      <c r="T88" s="332"/>
      <c r="V88" s="332"/>
      <c r="W88" s="361"/>
    </row>
    <row r="89" spans="1:23" s="315" customFormat="1" ht="15">
      <c r="A89" s="341"/>
      <c r="D89" s="363"/>
      <c r="E89" s="364"/>
      <c r="I89" s="364"/>
      <c r="M89" s="364"/>
      <c r="N89" s="364"/>
      <c r="O89" s="364"/>
      <c r="P89" s="364"/>
      <c r="Q89" s="364"/>
      <c r="R89" s="364"/>
      <c r="T89" s="332"/>
      <c r="U89" s="355"/>
      <c r="V89" s="332"/>
      <c r="W89" s="308"/>
    </row>
    <row r="90" spans="1:23" s="317" customFormat="1" ht="15">
      <c r="A90" s="314">
        <f t="shared" ref="A90:A98" ca="1" si="17">+MAX(OFFSET(A$1,0,0,ROW(A90)-ROW(A$1)))+1</f>
        <v>60</v>
      </c>
      <c r="B90" s="407" t="s">
        <v>327</v>
      </c>
      <c r="C90" s="399"/>
      <c r="D90" s="399"/>
      <c r="E90" s="408"/>
      <c r="F90" s="399"/>
      <c r="G90" s="399"/>
      <c r="H90" s="399"/>
      <c r="I90" s="399"/>
      <c r="J90" s="399"/>
      <c r="K90" s="399"/>
      <c r="L90" s="399"/>
      <c r="M90" s="399"/>
      <c r="N90" s="399"/>
      <c r="O90" s="399"/>
      <c r="P90" s="399"/>
      <c r="Q90" s="399"/>
      <c r="R90" s="399"/>
      <c r="S90" s="409"/>
      <c r="U90" s="365"/>
      <c r="V90" s="332"/>
      <c r="W90" s="332"/>
    </row>
    <row r="91" spans="1:23" s="317" customFormat="1" ht="15">
      <c r="A91" s="314">
        <f t="shared" ca="1" si="17"/>
        <v>61</v>
      </c>
      <c r="B91" s="400" t="s">
        <v>88</v>
      </c>
      <c r="C91" s="308"/>
      <c r="D91" s="308"/>
      <c r="E91" s="374"/>
      <c r="F91" s="366"/>
      <c r="G91" s="366"/>
      <c r="H91" s="366"/>
      <c r="I91" s="366"/>
      <c r="J91" s="366"/>
      <c r="K91" s="366"/>
      <c r="L91" s="366"/>
      <c r="M91" s="366"/>
      <c r="N91" s="366"/>
      <c r="O91" s="366"/>
      <c r="P91" s="366"/>
      <c r="Q91" s="366"/>
      <c r="R91" s="366"/>
      <c r="S91" s="402">
        <f>'2) ROR'!F15</f>
        <v>7.0800000000000002E-2</v>
      </c>
      <c r="V91" s="332"/>
      <c r="W91" s="332"/>
    </row>
    <row r="92" spans="1:23" s="317" customFormat="1" ht="15">
      <c r="A92" s="314">
        <f t="shared" ca="1" si="17"/>
        <v>62</v>
      </c>
      <c r="B92" s="400" t="s">
        <v>89</v>
      </c>
      <c r="C92" s="308"/>
      <c r="D92" s="308"/>
      <c r="E92" s="360"/>
      <c r="F92" s="366"/>
      <c r="G92" s="366"/>
      <c r="H92" s="366"/>
      <c r="I92" s="366"/>
      <c r="J92" s="366"/>
      <c r="K92" s="366"/>
      <c r="L92" s="366"/>
      <c r="M92" s="366"/>
      <c r="N92" s="366"/>
      <c r="O92" s="366"/>
      <c r="P92" s="366"/>
      <c r="Q92" s="366"/>
      <c r="R92" s="366"/>
      <c r="S92" s="454">
        <f ca="1">S85*S91</f>
        <v>21227.016100190271</v>
      </c>
      <c r="U92" s="352"/>
      <c r="V92" s="333"/>
      <c r="W92" s="335"/>
    </row>
    <row r="93" spans="1:23" s="317" customFormat="1" ht="15">
      <c r="A93" s="314">
        <f t="shared" ca="1" si="17"/>
        <v>63</v>
      </c>
      <c r="B93" s="400" t="s">
        <v>90</v>
      </c>
      <c r="C93" s="308"/>
      <c r="D93" s="308"/>
      <c r="E93" s="328"/>
      <c r="F93" s="366"/>
      <c r="G93" s="366"/>
      <c r="H93" s="366"/>
      <c r="I93" s="366"/>
      <c r="J93" s="366"/>
      <c r="K93" s="366"/>
      <c r="L93" s="366"/>
      <c r="M93" s="366"/>
      <c r="N93" s="366"/>
      <c r="O93" s="366"/>
      <c r="P93" s="366"/>
      <c r="Q93" s="366"/>
      <c r="R93" s="366"/>
      <c r="S93" s="403">
        <f ca="1">S63</f>
        <v>22033.45356411899</v>
      </c>
      <c r="V93" s="332"/>
      <c r="W93" s="332"/>
    </row>
    <row r="94" spans="1:23" s="317" customFormat="1" ht="15">
      <c r="A94" s="314">
        <f t="shared" ca="1" si="17"/>
        <v>64</v>
      </c>
      <c r="B94" s="400" t="s">
        <v>91</v>
      </c>
      <c r="C94" s="308"/>
      <c r="D94" s="308"/>
      <c r="E94" s="360"/>
      <c r="F94" s="366"/>
      <c r="G94" s="366"/>
      <c r="H94" s="366"/>
      <c r="I94" s="366"/>
      <c r="J94" s="366"/>
      <c r="K94" s="366"/>
      <c r="L94" s="366"/>
      <c r="M94" s="366"/>
      <c r="N94" s="366"/>
      <c r="O94" s="366"/>
      <c r="P94" s="366"/>
      <c r="Q94" s="366"/>
      <c r="R94" s="366"/>
      <c r="S94" s="403">
        <f ca="1">S92-S93</f>
        <v>-806.43746392871981</v>
      </c>
      <c r="V94" s="335"/>
      <c r="W94" s="332"/>
    </row>
    <row r="95" spans="1:23" s="317" customFormat="1" ht="15">
      <c r="A95" s="314">
        <f t="shared" ca="1" si="17"/>
        <v>65</v>
      </c>
      <c r="B95" s="400" t="s">
        <v>92</v>
      </c>
      <c r="C95" s="308"/>
      <c r="D95" s="308"/>
      <c r="E95" s="308"/>
      <c r="F95" s="366"/>
      <c r="G95" s="366"/>
      <c r="H95" s="366"/>
      <c r="I95" s="366"/>
      <c r="J95" s="366"/>
      <c r="K95" s="366"/>
      <c r="L95" s="366"/>
      <c r="M95" s="366"/>
      <c r="N95" s="366"/>
      <c r="O95" s="366"/>
      <c r="P95" s="366"/>
      <c r="Q95" s="366"/>
      <c r="R95" s="366"/>
      <c r="S95" s="401">
        <f>'2) ROR'!N24</f>
        <v>0.620645</v>
      </c>
      <c r="U95" s="342"/>
      <c r="V95" s="332"/>
      <c r="W95" s="332"/>
    </row>
    <row r="96" spans="1:23" s="317" customFormat="1" ht="15">
      <c r="A96" s="314">
        <f t="shared" ca="1" si="17"/>
        <v>66</v>
      </c>
      <c r="B96" s="400" t="s">
        <v>93</v>
      </c>
      <c r="C96" s="308"/>
      <c r="D96" s="308"/>
      <c r="E96" s="360"/>
      <c r="F96" s="366"/>
      <c r="G96" s="366"/>
      <c r="H96" s="366"/>
      <c r="I96" s="366"/>
      <c r="J96" s="366"/>
      <c r="K96" s="366"/>
      <c r="L96" s="366"/>
      <c r="M96" s="366"/>
      <c r="N96" s="366"/>
      <c r="O96" s="366"/>
      <c r="P96" s="366"/>
      <c r="Q96" s="366"/>
      <c r="R96" s="366"/>
      <c r="S96" s="403">
        <f ca="1">S94/S95</f>
        <v>-1299.3538398419705</v>
      </c>
      <c r="V96" s="332"/>
      <c r="W96" s="332"/>
    </row>
    <row r="97" spans="1:24" s="317" customFormat="1" ht="15">
      <c r="A97" s="314">
        <f t="shared" ca="1" si="17"/>
        <v>67</v>
      </c>
      <c r="B97" s="400" t="s">
        <v>94</v>
      </c>
      <c r="C97" s="308"/>
      <c r="D97" s="308"/>
      <c r="E97" s="380"/>
      <c r="F97" s="367"/>
      <c r="G97" s="367"/>
      <c r="H97" s="367"/>
      <c r="I97" s="367"/>
      <c r="J97" s="367"/>
      <c r="K97" s="367"/>
      <c r="L97" s="367"/>
      <c r="M97" s="367"/>
      <c r="N97" s="367"/>
      <c r="O97" s="367"/>
      <c r="P97" s="367"/>
      <c r="Q97" s="367"/>
      <c r="R97" s="367"/>
      <c r="S97" s="410">
        <f>(S10+S11)/(I10+I11-H10)</f>
        <v>1.0156103004291845</v>
      </c>
      <c r="U97" s="368"/>
      <c r="V97" s="332"/>
      <c r="W97" s="332"/>
      <c r="X97" s="332"/>
    </row>
    <row r="98" spans="1:24" s="317" customFormat="1" ht="15">
      <c r="A98" s="314">
        <f t="shared" ca="1" si="17"/>
        <v>68</v>
      </c>
      <c r="B98" s="404" t="s">
        <v>328</v>
      </c>
      <c r="C98" s="405"/>
      <c r="D98" s="405"/>
      <c r="E98" s="406"/>
      <c r="F98" s="369"/>
      <c r="G98" s="369"/>
      <c r="H98" s="369"/>
      <c r="I98" s="369"/>
      <c r="J98" s="369"/>
      <c r="K98" s="369"/>
      <c r="L98" s="369"/>
      <c r="M98" s="369"/>
      <c r="N98" s="369"/>
      <c r="O98" s="369"/>
      <c r="P98" s="369"/>
      <c r="Q98" s="369"/>
      <c r="R98" s="369"/>
      <c r="S98" s="434">
        <f ca="1">S96/S97</f>
        <v>-1279.3822978093856</v>
      </c>
      <c r="U98" s="332"/>
      <c r="V98" s="332"/>
      <c r="W98" s="332"/>
      <c r="X98" s="332"/>
    </row>
    <row r="99" spans="1:24" s="317" customFormat="1" ht="15">
      <c r="A99" s="362"/>
      <c r="E99" s="392"/>
      <c r="F99" s="315"/>
      <c r="U99" s="333"/>
      <c r="V99" s="333"/>
      <c r="W99" s="335"/>
      <c r="X99" s="332"/>
    </row>
    <row r="100" spans="1:24" ht="27"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298"/>
      <c r="V100" s="298"/>
      <c r="W100" s="298"/>
      <c r="X100" s="298"/>
    </row>
    <row r="101" spans="1:24">
      <c r="U101" s="298"/>
      <c r="V101" s="299"/>
      <c r="W101" s="298"/>
      <c r="X101" s="298"/>
    </row>
    <row r="102" spans="1:24">
      <c r="I102" s="302"/>
      <c r="J102" s="302"/>
      <c r="K102" s="302"/>
      <c r="L102" s="302"/>
      <c r="M102" s="302"/>
      <c r="N102" s="302"/>
      <c r="U102" s="298"/>
      <c r="V102" s="298"/>
      <c r="W102" s="298"/>
      <c r="X102" s="298"/>
    </row>
    <row r="103" spans="1:24">
      <c r="I103" s="302"/>
      <c r="J103" s="302"/>
      <c r="K103" s="302"/>
      <c r="L103" s="302"/>
      <c r="M103" s="302"/>
      <c r="N103" s="302"/>
      <c r="U103" s="298"/>
      <c r="V103" s="298"/>
      <c r="W103" s="298"/>
      <c r="X103" s="298"/>
    </row>
    <row r="104" spans="1:24">
      <c r="I104" s="302"/>
      <c r="J104" s="302"/>
      <c r="K104" s="302"/>
      <c r="L104" s="302"/>
      <c r="M104" s="302"/>
      <c r="N104" s="302"/>
    </row>
    <row r="105" spans="1:24">
      <c r="I105" s="302"/>
      <c r="J105" s="302"/>
      <c r="K105" s="302"/>
      <c r="L105" s="302"/>
      <c r="M105" s="302"/>
      <c r="N105" s="302"/>
    </row>
    <row r="106" spans="1:24">
      <c r="I106" s="302"/>
      <c r="J106" s="302"/>
      <c r="K106" s="302"/>
      <c r="L106" s="302"/>
      <c r="M106" s="302"/>
      <c r="N106" s="302"/>
    </row>
    <row r="107" spans="1:24">
      <c r="I107" s="302"/>
      <c r="J107" s="302"/>
      <c r="K107" s="302"/>
      <c r="L107" s="302"/>
      <c r="M107" s="302"/>
      <c r="N107" s="302"/>
    </row>
    <row r="108" spans="1:24">
      <c r="I108" s="302"/>
      <c r="J108" s="302"/>
      <c r="K108" s="302"/>
      <c r="L108" s="302"/>
      <c r="M108" s="302"/>
      <c r="N108" s="302"/>
    </row>
    <row r="109" spans="1:24">
      <c r="I109" s="302"/>
      <c r="J109" s="302"/>
      <c r="K109" s="302"/>
      <c r="L109" s="302"/>
      <c r="M109" s="302"/>
      <c r="N109" s="302"/>
    </row>
    <row r="193" spans="7:7">
      <c r="G193" s="301"/>
    </row>
    <row r="194" spans="7:7">
      <c r="G194" s="301"/>
    </row>
    <row r="195" spans="7:7">
      <c r="G195" s="301"/>
    </row>
    <row r="196" spans="7:7">
      <c r="G196" s="301"/>
    </row>
    <row r="197" spans="7:7">
      <c r="G197" s="301"/>
    </row>
    <row r="198" spans="7:7">
      <c r="G198" s="301"/>
    </row>
    <row r="199" spans="7:7">
      <c r="G199" s="301"/>
    </row>
    <row r="200" spans="7:7">
      <c r="G200" s="301"/>
    </row>
    <row r="201" spans="7:7">
      <c r="G201" s="301"/>
    </row>
    <row r="202" spans="7:7">
      <c r="G202" s="301"/>
    </row>
    <row r="203" spans="7:7">
      <c r="G203" s="301"/>
    </row>
    <row r="204" spans="7:7">
      <c r="G204" s="301"/>
    </row>
    <row r="205" spans="7:7">
      <c r="G205" s="301"/>
    </row>
    <row r="206" spans="7:7">
      <c r="G206" s="301"/>
    </row>
    <row r="207" spans="7:7">
      <c r="G207" s="301"/>
    </row>
  </sheetData>
  <mergeCells count="22">
    <mergeCell ref="K3:K5"/>
    <mergeCell ref="E4:E7"/>
    <mergeCell ref="F4:F7"/>
    <mergeCell ref="G4:G7"/>
    <mergeCell ref="H4:H7"/>
    <mergeCell ref="I4:I7"/>
    <mergeCell ref="E52:E55"/>
    <mergeCell ref="F52:F55"/>
    <mergeCell ref="G52:G55"/>
    <mergeCell ref="H52:H55"/>
    <mergeCell ref="I52:I55"/>
    <mergeCell ref="S52:S55"/>
    <mergeCell ref="M4:M7"/>
    <mergeCell ref="N4:N7"/>
    <mergeCell ref="O4:O7"/>
    <mergeCell ref="Q4:Q7"/>
    <mergeCell ref="S4:S7"/>
    <mergeCell ref="K52:K55"/>
    <mergeCell ref="M52:M55"/>
    <mergeCell ref="N52:N55"/>
    <mergeCell ref="O52:O55"/>
    <mergeCell ref="Q52:Q55"/>
  </mergeCells>
  <printOptions horizontalCentered="1" verticalCentered="1"/>
  <pageMargins left="0.7" right="0.7" top="0.25" bottom="0.25" header="0" footer="0"/>
  <pageSetup scale="70" orientation="landscape" r:id="rId1"/>
  <headerFooter scaleWithDoc="0"/>
  <rowBreaks count="1" manualBreakCount="1">
    <brk id="48"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13</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c r="A11" s="265" t="s">
        <v>13</v>
      </c>
      <c r="B11" s="239">
        <f>+'Cost Trends'!F20</f>
        <v>-1915</v>
      </c>
      <c r="C11" s="239">
        <f>+'Cost Trends'!G20</f>
        <v>988</v>
      </c>
      <c r="D11" s="239">
        <f>+'Cost Trends'!H20</f>
        <v>1177</v>
      </c>
      <c r="E11" s="239">
        <f>+'Cost Trends'!I20</f>
        <v>1186</v>
      </c>
      <c r="F11" s="239">
        <f>+'Cost Trends'!J20</f>
        <v>369</v>
      </c>
      <c r="G11" s="239">
        <f>+'Cost Trends'!K20</f>
        <v>651</v>
      </c>
      <c r="H11" s="239">
        <f>+'Cost Trends'!L20</f>
        <v>653</v>
      </c>
      <c r="I11" s="239">
        <f>+'Cost Trends'!M20</f>
        <v>792</v>
      </c>
      <c r="J11" s="239">
        <f>+'Cost Trends'!N20</f>
        <v>-9103</v>
      </c>
      <c r="K11" s="239">
        <f>+'Cost Trends'!O20</f>
        <v>803</v>
      </c>
      <c r="L11" s="239">
        <f>+'Cost Trends'!P20</f>
        <v>800</v>
      </c>
      <c r="M11" s="239">
        <f>+'Cost Trends'!Q20</f>
        <v>14</v>
      </c>
      <c r="N11" s="239">
        <f>+'Cost Trends'!R20</f>
        <v>130</v>
      </c>
      <c r="O11" s="239">
        <f>+'Cost Trends'!S20</f>
        <v>891</v>
      </c>
      <c r="P11" s="239">
        <f>+'Cost Trends'!T20</f>
        <v>779</v>
      </c>
      <c r="Q11" s="239">
        <f>+'Cost Trends'!U20</f>
        <v>840</v>
      </c>
      <c r="R11" s="239">
        <f>+'Cost Trends'!V20</f>
        <v>994</v>
      </c>
    </row>
    <row r="12" spans="1:21">
      <c r="A12" s="265" t="s">
        <v>271</v>
      </c>
      <c r="B12" s="239">
        <f>+'Riders and Gas Cost Revenue'!H19</f>
        <v>2078</v>
      </c>
      <c r="C12" s="239">
        <f>+'Riders and Gas Cost Revenue'!J19</f>
        <v>-756</v>
      </c>
      <c r="D12" s="239">
        <f>+'Riders and Gas Cost Revenue'!L19</f>
        <v>-916</v>
      </c>
      <c r="E12" s="239">
        <f>+'Riders and Gas Cost Revenue'!N19</f>
        <v>-901</v>
      </c>
      <c r="F12" s="239">
        <v>0</v>
      </c>
      <c r="G12" s="239">
        <v>0</v>
      </c>
      <c r="H12" s="239">
        <v>0</v>
      </c>
      <c r="I12" s="239">
        <v>0</v>
      </c>
      <c r="J12" s="239">
        <f>+'Riders and Gas Cost Revenue'!Z19</f>
        <v>9886</v>
      </c>
      <c r="K12" s="239">
        <v>0</v>
      </c>
      <c r="L12" s="239">
        <v>0</v>
      </c>
      <c r="M12" s="239">
        <f>+'Riders and Gas Cost Revenue'!AI19</f>
        <v>967</v>
      </c>
      <c r="N12" s="239">
        <f>+'Riders and Gas Cost Revenue'!AL19</f>
        <v>798</v>
      </c>
      <c r="O12" s="239"/>
      <c r="P12" s="239"/>
      <c r="Q12" s="239"/>
      <c r="R12" s="239"/>
    </row>
    <row r="13" spans="1:21" ht="8.25" customHeight="1">
      <c r="B13" s="264"/>
      <c r="C13" s="264"/>
      <c r="D13" s="264"/>
      <c r="E13" s="264"/>
      <c r="F13" s="264"/>
      <c r="G13" s="264"/>
      <c r="H13" s="264"/>
      <c r="I13" s="264"/>
      <c r="J13" s="264"/>
      <c r="K13" s="264"/>
      <c r="L13" s="264"/>
      <c r="M13" s="264"/>
      <c r="N13" s="264"/>
      <c r="O13" s="264"/>
      <c r="P13" s="264"/>
      <c r="Q13" s="264"/>
      <c r="R13" s="264"/>
    </row>
    <row r="14" spans="1:21" ht="8.25" customHeight="1">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ht="26.25" customHeight="1">
      <c r="A15" s="266" t="str">
        <f>+"Total "&amp;B4</f>
        <v>Total Purchased Gas Expense</v>
      </c>
      <c r="B15" s="267">
        <f t="shared" ref="B15:P15" si="1">+SUM(B10:B14)</f>
        <v>163</v>
      </c>
      <c r="C15" s="267">
        <f t="shared" si="1"/>
        <v>232</v>
      </c>
      <c r="D15" s="267">
        <f t="shared" si="1"/>
        <v>261</v>
      </c>
      <c r="E15" s="267">
        <f t="shared" si="1"/>
        <v>285</v>
      </c>
      <c r="F15" s="267">
        <f t="shared" si="1"/>
        <v>369</v>
      </c>
      <c r="G15" s="267">
        <f t="shared" si="1"/>
        <v>651</v>
      </c>
      <c r="H15" s="267">
        <f t="shared" si="1"/>
        <v>653</v>
      </c>
      <c r="I15" s="267">
        <f t="shared" si="1"/>
        <v>792</v>
      </c>
      <c r="J15" s="267">
        <f t="shared" si="1"/>
        <v>783</v>
      </c>
      <c r="K15" s="267">
        <f t="shared" si="1"/>
        <v>803</v>
      </c>
      <c r="L15" s="267">
        <f t="shared" si="1"/>
        <v>800</v>
      </c>
      <c r="M15" s="267">
        <f t="shared" si="1"/>
        <v>981</v>
      </c>
      <c r="N15" s="267">
        <f t="shared" si="1"/>
        <v>928</v>
      </c>
      <c r="O15" s="267">
        <f t="shared" si="1"/>
        <v>891</v>
      </c>
      <c r="P15" s="267">
        <f t="shared" si="1"/>
        <v>779</v>
      </c>
      <c r="Q15" s="267">
        <f t="shared" ref="Q15:R15" si="2">+SUM(Q10:Q14)</f>
        <v>840</v>
      </c>
      <c r="R15" s="267">
        <f t="shared" si="2"/>
        <v>994</v>
      </c>
    </row>
    <row r="16" spans="1:21">
      <c r="P16" s="268"/>
      <c r="R16" s="268"/>
    </row>
    <row r="17" spans="1:20">
      <c r="P17" s="268"/>
      <c r="R17" s="268"/>
    </row>
    <row r="18" spans="1:20">
      <c r="A18" s="269" t="s">
        <v>272</v>
      </c>
      <c r="B18" s="270"/>
      <c r="C18" s="271"/>
      <c r="D18" s="269" t="s">
        <v>326</v>
      </c>
      <c r="E18" s="269"/>
      <c r="F18" s="270"/>
      <c r="G18" s="270"/>
      <c r="H18" s="270"/>
      <c r="I18" s="270"/>
      <c r="J18" s="270"/>
      <c r="K18" s="270"/>
      <c r="L18" s="270"/>
      <c r="M18" s="270"/>
      <c r="N18" s="270"/>
      <c r="O18" s="270"/>
      <c r="P18" s="272"/>
      <c r="Q18" s="270"/>
      <c r="R18" s="272"/>
    </row>
    <row r="19" spans="1:20" ht="19.5" customHeight="1">
      <c r="A19" s="256"/>
      <c r="B19" s="273"/>
      <c r="C19" s="273"/>
      <c r="D19" s="273"/>
      <c r="E19" s="273"/>
      <c r="F19" s="273"/>
      <c r="G19" s="273"/>
      <c r="H19" s="273"/>
      <c r="I19" s="273"/>
    </row>
    <row r="20" spans="1:20" ht="19.5" customHeight="1">
      <c r="A20" s="255" t="s">
        <v>324</v>
      </c>
      <c r="B20" s="274">
        <f ca="1">+LINEST(
OFFSET($B$77,0,0,1,SUM($B$71:$R$71)),
OFFSET($B$76,0,0,1,SUM($B$71:$R$71)),
,
1)</f>
        <v>14.042424242424243</v>
      </c>
      <c r="C20" s="273"/>
      <c r="D20" s="273"/>
      <c r="E20" s="273"/>
      <c r="F20" s="273"/>
      <c r="G20" s="273"/>
      <c r="H20" s="273"/>
      <c r="I20" s="273"/>
    </row>
    <row r="21" spans="1:20" ht="19.5" customHeight="1">
      <c r="A21" s="256" t="s">
        <v>325</v>
      </c>
      <c r="B21" s="273">
        <f ca="1">RSQ(
OFFSET($B$77,0,0,1,SUM($B$71:$R$71)),
OFFSET($B$76,0,0,1,SUM($B$71:$R$71))
)</f>
        <v>0.2601367909961716</v>
      </c>
      <c r="C21" s="274"/>
      <c r="D21" s="274"/>
      <c r="E21" s="274"/>
      <c r="F21" s="274"/>
      <c r="G21" s="274"/>
      <c r="H21" s="274"/>
      <c r="I21" s="274"/>
    </row>
    <row r="22" spans="1:20" ht="19.5" customHeight="1">
      <c r="A22" s="255" t="s">
        <v>273</v>
      </c>
      <c r="B22" s="275">
        <f ca="1">+B20/R15</f>
        <v>1.4127187366623987E-2</v>
      </c>
      <c r="C22" s="273"/>
      <c r="D22" s="273"/>
      <c r="E22" s="273"/>
      <c r="F22" s="273"/>
      <c r="G22" s="273"/>
      <c r="H22" s="273"/>
      <c r="I22" s="273"/>
    </row>
    <row r="23" spans="1:20" ht="19.5" customHeight="1">
      <c r="A23" s="268" t="str">
        <f>+'2) ROR'!$D$46&amp;"-year Growth Rate"</f>
        <v>1-year Growth Rate</v>
      </c>
      <c r="B23" s="293">
        <f ca="1">ROUND(B22*'2) ROR'!$D$46,4)</f>
        <v>1.41E-2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c r="C71" s="282"/>
      <c r="D71" s="282"/>
      <c r="E71" s="282"/>
      <c r="F71" s="282"/>
      <c r="G71" s="282"/>
      <c r="H71" s="282"/>
      <c r="I71" s="282">
        <v>1</v>
      </c>
      <c r="J71" s="282">
        <v>1</v>
      </c>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0</v>
      </c>
      <c r="C74" s="284">
        <f>+SUM($B71:C$71)</f>
        <v>0</v>
      </c>
      <c r="D74" s="284">
        <f>+SUM($B71:D$71)</f>
        <v>0</v>
      </c>
      <c r="E74" s="284">
        <f>+SUM($B71:E$71)</f>
        <v>0</v>
      </c>
      <c r="F74" s="284">
        <f>+SUM($B71:F$71)</f>
        <v>0</v>
      </c>
      <c r="G74" s="284">
        <f>+SUM($B71:G$71)</f>
        <v>0</v>
      </c>
      <c r="H74" s="284">
        <f>+SUM($B71:H$71)</f>
        <v>0</v>
      </c>
      <c r="I74" s="284">
        <f>+SUM($B71:I$71)</f>
        <v>1</v>
      </c>
      <c r="J74" s="284">
        <f>+SUM($B71:J$71)</f>
        <v>2</v>
      </c>
      <c r="K74" s="284">
        <f>+SUM($B71:K$71)</f>
        <v>3</v>
      </c>
      <c r="L74" s="284">
        <f>+SUM($B71:L$71)</f>
        <v>4</v>
      </c>
      <c r="M74" s="284">
        <f>+SUM($B71:M$71)</f>
        <v>5</v>
      </c>
      <c r="N74" s="284">
        <f>+SUM($B71:N$71)</f>
        <v>6</v>
      </c>
      <c r="O74" s="284">
        <f>+SUM($B71:O$71)</f>
        <v>7</v>
      </c>
      <c r="P74" s="284">
        <f>+SUM($B71:P$71)</f>
        <v>8</v>
      </c>
      <c r="Q74" s="284">
        <f>+SUM($B71:Q$71)</f>
        <v>9</v>
      </c>
      <c r="R74" s="284">
        <f>+SUM($B71:R$71)</f>
        <v>10</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2007</v>
      </c>
      <c r="C76" s="285">
        <f t="shared" ca="1" si="9"/>
        <v>2008</v>
      </c>
      <c r="D76" s="285">
        <f t="shared" ca="1" si="9"/>
        <v>2009</v>
      </c>
      <c r="E76" s="285">
        <f t="shared" ca="1" si="9"/>
        <v>2010</v>
      </c>
      <c r="F76" s="285">
        <f t="shared" ca="1" si="9"/>
        <v>2011</v>
      </c>
      <c r="G76" s="285">
        <f t="shared" ca="1" si="9"/>
        <v>2012</v>
      </c>
      <c r="H76" s="285">
        <f t="shared" ca="1" si="9"/>
        <v>2013</v>
      </c>
      <c r="I76" s="285">
        <f t="shared" ca="1" si="9"/>
        <v>2014</v>
      </c>
      <c r="J76" s="285">
        <f t="shared" ca="1" si="9"/>
        <v>2015</v>
      </c>
      <c r="K76" s="285">
        <f t="shared" ca="1" si="9"/>
        <v>2016</v>
      </c>
      <c r="L76" s="285" t="e">
        <f t="shared" ca="1" si="9"/>
        <v>#N/A</v>
      </c>
      <c r="M76" s="285" t="e">
        <f t="shared" ca="1" si="9"/>
        <v>#N/A</v>
      </c>
      <c r="N76" s="285" t="e">
        <f t="shared" ca="1" si="9"/>
        <v>#N/A</v>
      </c>
      <c r="O76" s="285" t="e">
        <f t="shared" ca="1" si="9"/>
        <v>#N/A</v>
      </c>
      <c r="P76" s="285" t="e">
        <f t="shared" ca="1" si="9"/>
        <v>#N/A</v>
      </c>
      <c r="Q76" s="285" t="e">
        <f t="shared" ca="1" si="9"/>
        <v>#N/A</v>
      </c>
      <c r="R76" s="285" t="e">
        <f t="shared" ca="1" si="9"/>
        <v>#N/A</v>
      </c>
    </row>
    <row r="77" spans="1:21">
      <c r="A77" s="283" t="s">
        <v>280</v>
      </c>
      <c r="B77" s="283">
        <f t="shared" ref="B77:R77" ca="1" si="10">+INDEX(15:15,1,MATCH(B$76,9:9,0))</f>
        <v>792</v>
      </c>
      <c r="C77" s="283">
        <f t="shared" ca="1" si="10"/>
        <v>783</v>
      </c>
      <c r="D77" s="283">
        <f t="shared" ca="1" si="10"/>
        <v>803</v>
      </c>
      <c r="E77" s="283">
        <f t="shared" ca="1" si="10"/>
        <v>800</v>
      </c>
      <c r="F77" s="283">
        <f t="shared" ca="1" si="10"/>
        <v>981</v>
      </c>
      <c r="G77" s="283">
        <f t="shared" ca="1" si="10"/>
        <v>928</v>
      </c>
      <c r="H77" s="283">
        <f t="shared" ca="1" si="10"/>
        <v>891</v>
      </c>
      <c r="I77" s="283">
        <f t="shared" ca="1" si="10"/>
        <v>779</v>
      </c>
      <c r="J77" s="283">
        <f t="shared" ca="1" si="10"/>
        <v>840</v>
      </c>
      <c r="K77" s="283">
        <f t="shared" ca="1" si="10"/>
        <v>994</v>
      </c>
      <c r="L77" s="283" t="e">
        <f t="shared" ca="1" si="10"/>
        <v>#N/A</v>
      </c>
      <c r="M77" s="283" t="e">
        <f t="shared" ca="1" si="10"/>
        <v>#N/A</v>
      </c>
      <c r="N77" s="283" t="e">
        <f t="shared" ca="1" si="10"/>
        <v>#N/A</v>
      </c>
      <c r="O77" s="283" t="e">
        <f t="shared" ca="1" si="10"/>
        <v>#N/A</v>
      </c>
      <c r="P77" s="283" t="e">
        <f t="shared" ca="1" si="10"/>
        <v>#N/A</v>
      </c>
      <c r="Q77" s="283" t="e">
        <f t="shared" ca="1" si="10"/>
        <v>#N/A</v>
      </c>
      <c r="R77" s="283" t="e">
        <f t="shared" ca="1" si="10"/>
        <v>#N/A</v>
      </c>
    </row>
    <row r="80" spans="1:21">
      <c r="A80" s="286"/>
      <c r="B80" s="287" t="s">
        <v>281</v>
      </c>
      <c r="C80" s="288"/>
    </row>
    <row r="81" spans="1:4">
      <c r="A81" s="286" t="s">
        <v>252</v>
      </c>
      <c r="B81" s="289">
        <f t="array" aca="1" ref="B81:C85" ca="1">+LINEST(
OFFSET($B77,0,0,1,SUM($B71:$R71)),
OFFSET($B76,0,0,1,SUM($B71:$R71)),
,
1)</f>
        <v>14.042424242424243</v>
      </c>
      <c r="C81" s="289">
        <f ca="1"/>
        <v>-27387.236363636366</v>
      </c>
      <c r="D81" s="255" t="s">
        <v>282</v>
      </c>
    </row>
    <row r="82" spans="1:4">
      <c r="A82" s="286" t="s">
        <v>283</v>
      </c>
      <c r="B82" s="289">
        <f ca="1"/>
        <v>8.3728232372570002</v>
      </c>
      <c r="C82" s="289">
        <f ca="1"/>
        <v>16841.951111952869</v>
      </c>
      <c r="D82" s="255" t="s">
        <v>284</v>
      </c>
    </row>
    <row r="83" spans="1:4">
      <c r="A83" s="286" t="s">
        <v>285</v>
      </c>
      <c r="B83" s="289">
        <f ca="1"/>
        <v>0.26013679099617171</v>
      </c>
      <c r="C83" s="289">
        <f ca="1"/>
        <v>76.049943717230576</v>
      </c>
      <c r="D83" s="255" t="s">
        <v>286</v>
      </c>
    </row>
    <row r="84" spans="1:4">
      <c r="A84" s="290" t="s">
        <v>287</v>
      </c>
      <c r="B84" s="289">
        <f ca="1"/>
        <v>2.8128095878309924</v>
      </c>
      <c r="C84" s="289">
        <f ca="1"/>
        <v>8</v>
      </c>
      <c r="D84" s="255" t="s">
        <v>288</v>
      </c>
    </row>
    <row r="85" spans="1:4">
      <c r="A85" s="290" t="s">
        <v>289</v>
      </c>
      <c r="B85" s="289">
        <f ca="1"/>
        <v>16268.148484848491</v>
      </c>
      <c r="C85" s="289">
        <f ca="1"/>
        <v>46268.751515151511</v>
      </c>
      <c r="D85" s="255" t="s">
        <v>290</v>
      </c>
    </row>
    <row r="86" spans="1:4">
      <c r="A86" s="286"/>
    </row>
    <row r="87" spans="1:4">
      <c r="A87" s="286"/>
    </row>
    <row r="88" spans="1:4">
      <c r="A88" s="286" t="s">
        <v>291</v>
      </c>
      <c r="B88" s="255">
        <f ca="1">+B81/B82</f>
        <v>1.677143281842965</v>
      </c>
    </row>
    <row r="89" spans="1:4">
      <c r="A89" s="290" t="s">
        <v>292</v>
      </c>
      <c r="B89" s="291">
        <f ca="1">+TDIST(B88,C84,2)</f>
        <v>0.1320369500595725</v>
      </c>
    </row>
  </sheetData>
  <conditionalFormatting sqref="B15:H15 J15:R15">
    <cfRule type="expression" dxfId="29" priority="2">
      <formula>B$71=1</formula>
    </cfRule>
  </conditionalFormatting>
  <conditionalFormatting sqref="B15:I15">
    <cfRule type="expression" dxfId="2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293</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c r="A11" s="265" t="str">
        <f>+B4</f>
        <v>Underground Storage Operating Expense</v>
      </c>
      <c r="B11" s="239">
        <f>+'Cost Trends'!F25</f>
        <v>312</v>
      </c>
      <c r="C11" s="239">
        <f>+'Cost Trends'!G25</f>
        <v>322</v>
      </c>
      <c r="D11" s="239">
        <f>+'Cost Trends'!H25</f>
        <v>357</v>
      </c>
      <c r="E11" s="239">
        <f>+'Cost Trends'!I25</f>
        <v>342</v>
      </c>
      <c r="F11" s="239">
        <f>+'Cost Trends'!J25</f>
        <v>381</v>
      </c>
      <c r="G11" s="239">
        <f>+'Cost Trends'!K25</f>
        <v>450</v>
      </c>
      <c r="H11" s="239">
        <f>+'Cost Trends'!L25</f>
        <v>492</v>
      </c>
      <c r="I11" s="239">
        <f>+'Cost Trends'!M25</f>
        <v>451</v>
      </c>
      <c r="J11" s="239">
        <f>+'Cost Trends'!N25</f>
        <v>436</v>
      </c>
      <c r="K11" s="239">
        <f>+'Cost Trends'!O25</f>
        <v>403</v>
      </c>
      <c r="L11" s="239">
        <f>+'Cost Trends'!P25</f>
        <v>380</v>
      </c>
      <c r="M11" s="239">
        <f>+'Cost Trends'!Q25</f>
        <v>585</v>
      </c>
      <c r="N11" s="239">
        <f>+'Cost Trends'!R25</f>
        <v>712</v>
      </c>
      <c r="O11" s="239">
        <f>+'Cost Trends'!S25</f>
        <v>820</v>
      </c>
      <c r="P11" s="239">
        <f>+'Cost Trends'!T25</f>
        <v>893</v>
      </c>
      <c r="Q11" s="239">
        <f>+'Cost Trends'!U25</f>
        <v>857</v>
      </c>
      <c r="R11" s="239">
        <f>+'Cost Trends'!V25</f>
        <v>974</v>
      </c>
    </row>
    <row r="12" spans="1:21" ht="8.25" customHeight="1">
      <c r="B12" s="264"/>
      <c r="C12" s="264"/>
      <c r="D12" s="264"/>
      <c r="E12" s="264"/>
      <c r="F12" s="264"/>
      <c r="G12" s="264"/>
      <c r="H12" s="264"/>
      <c r="I12" s="264"/>
      <c r="J12" s="264"/>
      <c r="K12" s="264"/>
      <c r="L12" s="264"/>
      <c r="M12" s="264"/>
      <c r="N12" s="264"/>
      <c r="O12" s="264"/>
      <c r="P12" s="264"/>
      <c r="Q12" s="264"/>
      <c r="R12" s="264"/>
    </row>
    <row r="13" spans="1:21" ht="8.25" customHeight="1">
      <c r="B13" s="264" t="s">
        <v>270</v>
      </c>
      <c r="C13" s="264" t="s">
        <v>270</v>
      </c>
      <c r="D13" s="264" t="s">
        <v>270</v>
      </c>
      <c r="E13" s="264" t="s">
        <v>270</v>
      </c>
      <c r="F13" s="264" t="s">
        <v>270</v>
      </c>
      <c r="G13" s="264" t="s">
        <v>270</v>
      </c>
      <c r="H13" s="264" t="s">
        <v>270</v>
      </c>
      <c r="I13" s="264" t="s">
        <v>270</v>
      </c>
      <c r="J13" s="264" t="s">
        <v>270</v>
      </c>
      <c r="K13" s="264" t="s">
        <v>270</v>
      </c>
      <c r="L13" s="264" t="s">
        <v>270</v>
      </c>
      <c r="M13" s="264" t="s">
        <v>270</v>
      </c>
      <c r="N13" s="264" t="s">
        <v>270</v>
      </c>
      <c r="O13" s="264" t="s">
        <v>270</v>
      </c>
      <c r="P13" s="264" t="s">
        <v>270</v>
      </c>
      <c r="Q13" s="264" t="s">
        <v>270</v>
      </c>
      <c r="R13" s="264" t="s">
        <v>270</v>
      </c>
    </row>
    <row r="14" spans="1:21" ht="26.25" customHeight="1">
      <c r="A14" s="266" t="str">
        <f>+"Total "&amp;B4</f>
        <v>Total Underground Storage Operating Expense</v>
      </c>
      <c r="B14" s="267">
        <f t="shared" ref="B14:P14" si="1">+SUM(B10:B13)</f>
        <v>312</v>
      </c>
      <c r="C14" s="267">
        <f t="shared" si="1"/>
        <v>322</v>
      </c>
      <c r="D14" s="267">
        <f t="shared" si="1"/>
        <v>357</v>
      </c>
      <c r="E14" s="267">
        <f t="shared" si="1"/>
        <v>342</v>
      </c>
      <c r="F14" s="267">
        <f t="shared" si="1"/>
        <v>381</v>
      </c>
      <c r="G14" s="267">
        <f t="shared" si="1"/>
        <v>450</v>
      </c>
      <c r="H14" s="267">
        <f t="shared" si="1"/>
        <v>492</v>
      </c>
      <c r="I14" s="267">
        <f t="shared" si="1"/>
        <v>451</v>
      </c>
      <c r="J14" s="267">
        <f t="shared" si="1"/>
        <v>436</v>
      </c>
      <c r="K14" s="267">
        <f t="shared" si="1"/>
        <v>403</v>
      </c>
      <c r="L14" s="267">
        <f t="shared" si="1"/>
        <v>380</v>
      </c>
      <c r="M14" s="267">
        <f t="shared" si="1"/>
        <v>585</v>
      </c>
      <c r="N14" s="267">
        <f t="shared" si="1"/>
        <v>712</v>
      </c>
      <c r="O14" s="267">
        <f t="shared" si="1"/>
        <v>820</v>
      </c>
      <c r="P14" s="267">
        <f t="shared" si="1"/>
        <v>893</v>
      </c>
      <c r="Q14" s="267">
        <f t="shared" ref="Q14:R14" si="2">+SUM(Q10:Q13)</f>
        <v>857</v>
      </c>
      <c r="R14" s="267">
        <f t="shared" si="2"/>
        <v>974</v>
      </c>
    </row>
    <row r="15" spans="1:21">
      <c r="P15" s="268"/>
      <c r="R15" s="268"/>
    </row>
    <row r="16" spans="1:21">
      <c r="P16" s="268"/>
      <c r="R16" s="268"/>
    </row>
    <row r="17" spans="1:20">
      <c r="A17" s="269" t="s">
        <v>272</v>
      </c>
      <c r="B17" s="270"/>
      <c r="C17" s="271"/>
      <c r="D17" s="269" t="s">
        <v>326</v>
      </c>
      <c r="E17" s="269"/>
      <c r="F17" s="270"/>
      <c r="G17" s="270"/>
      <c r="H17" s="270"/>
      <c r="I17" s="270"/>
      <c r="J17" s="270"/>
      <c r="K17" s="270"/>
      <c r="L17" s="270"/>
      <c r="M17" s="270"/>
      <c r="N17" s="270"/>
      <c r="O17" s="270"/>
      <c r="P17" s="272"/>
      <c r="Q17" s="270"/>
      <c r="R17" s="272"/>
    </row>
    <row r="18" spans="1:20" ht="19.5" customHeight="1">
      <c r="A18" s="256"/>
      <c r="B18" s="273"/>
      <c r="C18" s="273"/>
      <c r="D18" s="273"/>
      <c r="E18" s="273"/>
      <c r="F18" s="273"/>
      <c r="G18" s="273"/>
      <c r="H18" s="273"/>
      <c r="I18" s="273"/>
    </row>
    <row r="19" spans="1:20" ht="19.5" customHeight="1">
      <c r="A19" s="255" t="s">
        <v>324</v>
      </c>
      <c r="B19" s="274">
        <f ca="1">+LINEST(
OFFSET($B$77,0,0,1,SUM($B$71:$R$71)),
OFFSET($B$76,0,0,1,SUM($B$71:$R$71)),
,
1)</f>
        <v>11.181818181818182</v>
      </c>
      <c r="C19" s="273"/>
      <c r="D19" s="273"/>
      <c r="E19" s="273"/>
      <c r="F19" s="273"/>
      <c r="G19" s="273"/>
      <c r="H19" s="273"/>
      <c r="I19" s="273"/>
    </row>
    <row r="20" spans="1:20" ht="19.5" customHeight="1">
      <c r="A20" s="256" t="s">
        <v>325</v>
      </c>
      <c r="B20" s="273">
        <f ca="1">RSQ(
OFFSET($B$77,0,0,1,SUM($B$71:$R$71)),
OFFSET($B$76,0,0,1,SUM($B$71:$R$71))
)</f>
        <v>0.40245693186775755</v>
      </c>
      <c r="C20" s="274"/>
      <c r="D20" s="274"/>
      <c r="E20" s="274"/>
      <c r="F20" s="274"/>
      <c r="G20" s="274"/>
      <c r="H20" s="274"/>
      <c r="I20" s="274"/>
    </row>
    <row r="21" spans="1:20" ht="19.5" customHeight="1">
      <c r="A21" s="255" t="s">
        <v>273</v>
      </c>
      <c r="B21" s="275">
        <f ca="1">+B19/R14</f>
        <v>1.1480306141497107E-2</v>
      </c>
      <c r="C21" s="273"/>
      <c r="D21" s="273"/>
      <c r="E21" s="273"/>
      <c r="F21" s="273"/>
      <c r="G21" s="273"/>
      <c r="H21" s="273"/>
      <c r="I21" s="273"/>
    </row>
    <row r="22" spans="1:20" ht="19.5" customHeight="1">
      <c r="A22" s="268" t="str">
        <f>+'2) ROR'!$D$46&amp;"-year Growth Rate"</f>
        <v>1-year Growth Rate</v>
      </c>
      <c r="B22" s="293">
        <f ca="1">ROUND(B21*'2) ROR'!$D$46,4)</f>
        <v>1.15E-2</v>
      </c>
      <c r="C22" s="275"/>
      <c r="D22" s="275"/>
      <c r="E22" s="275"/>
      <c r="F22" s="275"/>
      <c r="G22" s="275"/>
      <c r="H22" s="275"/>
      <c r="I22" s="275"/>
    </row>
    <row r="23" spans="1:20" ht="19.5" customHeight="1">
      <c r="C23" s="276"/>
      <c r="D23" s="276"/>
      <c r="E23" s="276"/>
      <c r="F23" s="276"/>
      <c r="G23" s="276"/>
      <c r="H23" s="276"/>
      <c r="I23" s="276"/>
      <c r="L23" s="277"/>
    </row>
    <row r="25" spans="1:20">
      <c r="S25" s="278"/>
      <c r="T25" s="278"/>
    </row>
    <row r="26" spans="1:20">
      <c r="S26" s="279"/>
      <c r="T26" s="279"/>
    </row>
    <row r="27" spans="1:20">
      <c r="S27" s="279"/>
      <c r="T27" s="279"/>
    </row>
    <row r="28" spans="1:20">
      <c r="S28" s="279"/>
      <c r="T28" s="279"/>
    </row>
    <row r="29" spans="1:20">
      <c r="S29" s="279"/>
      <c r="T29" s="279"/>
    </row>
    <row r="30" spans="1:20">
      <c r="S30" s="279"/>
      <c r="T30" s="279"/>
    </row>
    <row r="33" spans="19:21">
      <c r="S33" s="280"/>
      <c r="T33" s="280"/>
      <c r="U33" s="280"/>
    </row>
    <row r="34" spans="19:21">
      <c r="S34" s="279"/>
      <c r="T34" s="279"/>
      <c r="U34" s="279"/>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8" spans="19:21">
      <c r="S58" s="280"/>
      <c r="T58" s="280"/>
      <c r="U58" s="280"/>
    </row>
    <row r="59" spans="19:21">
      <c r="S59" s="279"/>
      <c r="T59" s="279"/>
      <c r="U59" s="279"/>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v>1</v>
      </c>
      <c r="C71" s="282">
        <v>1</v>
      </c>
      <c r="D71" s="282">
        <v>1</v>
      </c>
      <c r="E71" s="282">
        <v>1</v>
      </c>
      <c r="F71" s="282">
        <v>1</v>
      </c>
      <c r="G71" s="282">
        <v>1</v>
      </c>
      <c r="H71" s="282">
        <v>1</v>
      </c>
      <c r="I71" s="282">
        <v>1</v>
      </c>
      <c r="J71" s="282">
        <v>1</v>
      </c>
      <c r="K71" s="282">
        <v>1</v>
      </c>
      <c r="L71" s="282">
        <v>1</v>
      </c>
      <c r="M71" s="282">
        <v>0</v>
      </c>
      <c r="N71" s="282">
        <v>0</v>
      </c>
      <c r="O71" s="282">
        <v>0</v>
      </c>
      <c r="P71" s="282">
        <v>0</v>
      </c>
      <c r="Q71" s="282">
        <v>0</v>
      </c>
      <c r="R71" s="282">
        <v>0</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1</v>
      </c>
      <c r="C74" s="284">
        <f>+SUM($B71:C$71)</f>
        <v>2</v>
      </c>
      <c r="D74" s="284">
        <f>+SUM($B71:D$71)</f>
        <v>3</v>
      </c>
      <c r="E74" s="284">
        <f>+SUM($B71:E$71)</f>
        <v>4</v>
      </c>
      <c r="F74" s="284">
        <f>+SUM($B71:F$71)</f>
        <v>5</v>
      </c>
      <c r="G74" s="284">
        <f>+SUM($B71:G$71)</f>
        <v>6</v>
      </c>
      <c r="H74" s="284">
        <f>+SUM($B71:H$71)</f>
        <v>7</v>
      </c>
      <c r="I74" s="284">
        <f>+SUM($B71:I$71)</f>
        <v>8</v>
      </c>
      <c r="J74" s="284">
        <f>+SUM($B71:J$71)</f>
        <v>9</v>
      </c>
      <c r="K74" s="284">
        <f>+SUM($B71:K$71)</f>
        <v>10</v>
      </c>
      <c r="L74" s="284">
        <f>+SUM($B71:L$71)</f>
        <v>11</v>
      </c>
      <c r="M74" s="284">
        <f>+SUM($B71:M$71)</f>
        <v>11</v>
      </c>
      <c r="N74" s="284">
        <f>+SUM($B71:N$71)</f>
        <v>11</v>
      </c>
      <c r="O74" s="284">
        <f>+SUM($B71:O$71)</f>
        <v>11</v>
      </c>
      <c r="P74" s="284">
        <f>+SUM($B71:P$71)</f>
        <v>11</v>
      </c>
      <c r="Q74" s="284">
        <f>+SUM($B71:Q$71)</f>
        <v>11</v>
      </c>
      <c r="R74" s="284">
        <f>+SUM($B71:R$71)</f>
        <v>11</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2000</v>
      </c>
      <c r="C76" s="285">
        <f t="shared" ca="1" si="9"/>
        <v>2001</v>
      </c>
      <c r="D76" s="285">
        <f t="shared" ca="1" si="9"/>
        <v>2002</v>
      </c>
      <c r="E76" s="285">
        <f t="shared" ca="1" si="9"/>
        <v>2003</v>
      </c>
      <c r="F76" s="285">
        <f t="shared" ca="1" si="9"/>
        <v>2004</v>
      </c>
      <c r="G76" s="285">
        <f t="shared" ca="1" si="9"/>
        <v>2005</v>
      </c>
      <c r="H76" s="285">
        <f t="shared" ca="1" si="9"/>
        <v>2006</v>
      </c>
      <c r="I76" s="285">
        <f t="shared" ca="1" si="9"/>
        <v>2007</v>
      </c>
      <c r="J76" s="285">
        <f t="shared" ca="1" si="9"/>
        <v>2008</v>
      </c>
      <c r="K76" s="285">
        <f t="shared" ca="1" si="9"/>
        <v>2009</v>
      </c>
      <c r="L76" s="285">
        <f t="shared" ca="1" si="9"/>
        <v>2010</v>
      </c>
      <c r="M76" s="285" t="e">
        <f t="shared" ca="1" si="9"/>
        <v>#N/A</v>
      </c>
      <c r="N76" s="285" t="e">
        <f t="shared" ca="1" si="9"/>
        <v>#N/A</v>
      </c>
      <c r="O76" s="285" t="e">
        <f t="shared" ca="1" si="9"/>
        <v>#N/A</v>
      </c>
      <c r="P76" s="285" t="e">
        <f t="shared" ca="1" si="9"/>
        <v>#N/A</v>
      </c>
      <c r="Q76" s="285" t="e">
        <f t="shared" ca="1" si="9"/>
        <v>#N/A</v>
      </c>
      <c r="R76" s="285" t="e">
        <f t="shared" ca="1" si="9"/>
        <v>#N/A</v>
      </c>
    </row>
    <row r="77" spans="1:21">
      <c r="A77" s="283" t="s">
        <v>280</v>
      </c>
      <c r="B77" s="283">
        <f t="shared" ref="B77:R77" ca="1" si="10">+INDEX(14:14,1,MATCH(B$76,9:9,0))</f>
        <v>312</v>
      </c>
      <c r="C77" s="283">
        <f t="shared" ca="1" si="10"/>
        <v>322</v>
      </c>
      <c r="D77" s="283">
        <f t="shared" ca="1" si="10"/>
        <v>357</v>
      </c>
      <c r="E77" s="283">
        <f t="shared" ca="1" si="10"/>
        <v>342</v>
      </c>
      <c r="F77" s="283">
        <f t="shared" ca="1" si="10"/>
        <v>381</v>
      </c>
      <c r="G77" s="283">
        <f t="shared" ca="1" si="10"/>
        <v>450</v>
      </c>
      <c r="H77" s="283">
        <f t="shared" ca="1" si="10"/>
        <v>492</v>
      </c>
      <c r="I77" s="283">
        <f t="shared" ca="1" si="10"/>
        <v>451</v>
      </c>
      <c r="J77" s="283">
        <f t="shared" ca="1" si="10"/>
        <v>436</v>
      </c>
      <c r="K77" s="283">
        <f t="shared" ca="1" si="10"/>
        <v>403</v>
      </c>
      <c r="L77" s="283">
        <f t="shared" ca="1" si="10"/>
        <v>380</v>
      </c>
      <c r="M77" s="283" t="e">
        <f t="shared" ca="1" si="10"/>
        <v>#N/A</v>
      </c>
      <c r="N77" s="283" t="e">
        <f t="shared" ca="1" si="10"/>
        <v>#N/A</v>
      </c>
      <c r="O77" s="283" t="e">
        <f t="shared" ca="1" si="10"/>
        <v>#N/A</v>
      </c>
      <c r="P77" s="283" t="e">
        <f t="shared" ca="1" si="10"/>
        <v>#N/A</v>
      </c>
      <c r="Q77" s="283" t="e">
        <f t="shared" ca="1" si="10"/>
        <v>#N/A</v>
      </c>
      <c r="R77" s="283" t="e">
        <f t="shared" ca="1" si="10"/>
        <v>#N/A</v>
      </c>
    </row>
    <row r="80" spans="1:21">
      <c r="A80" s="286"/>
      <c r="B80" s="287" t="s">
        <v>281</v>
      </c>
      <c r="C80" s="288"/>
    </row>
    <row r="81" spans="1:4">
      <c r="A81" s="286" t="s">
        <v>252</v>
      </c>
      <c r="B81" s="289">
        <f t="array" aca="1" ref="B81:C85" ca="1">+LINEST(
OFFSET($B77,0,0,1,SUM($B71:$R71)),
OFFSET($B76,0,0,1,SUM($B71:$R71)),
,
1)</f>
        <v>11.181818181818182</v>
      </c>
      <c r="C81" s="289">
        <f ca="1"/>
        <v>-22026.272727272728</v>
      </c>
      <c r="D81" s="255" t="s">
        <v>282</v>
      </c>
    </row>
    <row r="82" spans="1:4">
      <c r="A82" s="286" t="s">
        <v>283</v>
      </c>
      <c r="B82" s="289">
        <f ca="1"/>
        <v>4.5416751964941264</v>
      </c>
      <c r="C82" s="289">
        <f ca="1"/>
        <v>9106.0700948369868</v>
      </c>
      <c r="D82" s="255" t="s">
        <v>284</v>
      </c>
    </row>
    <row r="83" spans="1:4">
      <c r="A83" s="286" t="s">
        <v>285</v>
      </c>
      <c r="B83" s="289">
        <f ca="1"/>
        <v>0.40245693186775772</v>
      </c>
      <c r="C83" s="289">
        <f ca="1"/>
        <v>47.633491315979505</v>
      </c>
      <c r="D83" s="255" t="s">
        <v>286</v>
      </c>
    </row>
    <row r="84" spans="1:4">
      <c r="A84" s="290" t="s">
        <v>287</v>
      </c>
      <c r="B84" s="289">
        <f ca="1"/>
        <v>6.0616758523056111</v>
      </c>
      <c r="C84" s="289">
        <f ca="1"/>
        <v>9</v>
      </c>
      <c r="D84" s="255" t="s">
        <v>288</v>
      </c>
    </row>
    <row r="85" spans="1:4">
      <c r="A85" s="290" t="s">
        <v>289</v>
      </c>
      <c r="B85" s="289">
        <f ca="1"/>
        <v>13753.636363636368</v>
      </c>
      <c r="C85" s="289">
        <f ca="1"/>
        <v>20420.545454545456</v>
      </c>
      <c r="D85" s="255" t="s">
        <v>290</v>
      </c>
    </row>
    <row r="86" spans="1:4">
      <c r="A86" s="286"/>
    </row>
    <row r="87" spans="1:4">
      <c r="A87" s="286"/>
    </row>
    <row r="88" spans="1:4">
      <c r="A88" s="286" t="s">
        <v>291</v>
      </c>
      <c r="B88" s="255">
        <f ca="1">+B81/B82</f>
        <v>2.4620470857206627</v>
      </c>
    </row>
    <row r="89" spans="1:4">
      <c r="A89" s="290" t="s">
        <v>292</v>
      </c>
      <c r="B89" s="291">
        <f ca="1">+TDIST(B88,C84,2)</f>
        <v>3.6037417038129155E-2</v>
      </c>
    </row>
  </sheetData>
  <conditionalFormatting sqref="B14:H14 J14:R14">
    <cfRule type="expression" dxfId="27" priority="2">
      <formula>B$71=1</formula>
    </cfRule>
  </conditionalFormatting>
  <conditionalFormatting sqref="B14:I14">
    <cfRule type="expression" dxfId="26"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294</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c r="A11" s="265" t="str">
        <f>+B4</f>
        <v>Underground Storage Depreciation and Amortization</v>
      </c>
      <c r="B11" s="239">
        <f>+'Cost Trends'!F26</f>
        <v>314</v>
      </c>
      <c r="C11" s="239">
        <f>+'Cost Trends'!G26</f>
        <v>314</v>
      </c>
      <c r="D11" s="239">
        <f>+'Cost Trends'!H26</f>
        <v>297</v>
      </c>
      <c r="E11" s="239">
        <f>+'Cost Trends'!I26</f>
        <v>309</v>
      </c>
      <c r="F11" s="239">
        <f>+'Cost Trends'!J26</f>
        <v>309</v>
      </c>
      <c r="G11" s="239">
        <f>+'Cost Trends'!K26</f>
        <v>310</v>
      </c>
      <c r="H11" s="239">
        <f>+'Cost Trends'!L26</f>
        <v>312</v>
      </c>
      <c r="I11" s="239">
        <f>+'Cost Trends'!M26</f>
        <v>310</v>
      </c>
      <c r="J11" s="239">
        <f>+'Cost Trends'!N26</f>
        <v>276</v>
      </c>
      <c r="K11" s="239">
        <f>+'Cost Trends'!O26</f>
        <v>393</v>
      </c>
      <c r="L11" s="239">
        <f>+'Cost Trends'!P26</f>
        <v>348</v>
      </c>
      <c r="M11" s="239">
        <f>+'Cost Trends'!Q26</f>
        <v>395</v>
      </c>
      <c r="N11" s="239">
        <f>+'Cost Trends'!R26</f>
        <v>438</v>
      </c>
      <c r="O11" s="239">
        <f>+'Cost Trends'!S26</f>
        <v>380</v>
      </c>
      <c r="P11" s="239">
        <f>+'Cost Trends'!T26</f>
        <v>402</v>
      </c>
      <c r="Q11" s="239">
        <f>+'Cost Trends'!U26</f>
        <v>439</v>
      </c>
      <c r="R11" s="239">
        <f>+'Cost Trends'!V26</f>
        <v>492</v>
      </c>
    </row>
    <row r="12" spans="1:21" ht="8.25" customHeight="1">
      <c r="B12" s="264"/>
      <c r="C12" s="264"/>
      <c r="D12" s="264"/>
      <c r="E12" s="264"/>
      <c r="F12" s="264"/>
      <c r="G12" s="264"/>
      <c r="H12" s="264"/>
      <c r="I12" s="264"/>
      <c r="J12" s="264"/>
      <c r="K12" s="264"/>
      <c r="L12" s="264"/>
      <c r="M12" s="264"/>
      <c r="N12" s="264"/>
      <c r="O12" s="264"/>
      <c r="P12" s="264"/>
      <c r="Q12" s="264"/>
      <c r="R12" s="264"/>
    </row>
    <row r="13" spans="1:21" ht="8.25" customHeight="1">
      <c r="B13" s="264" t="s">
        <v>270</v>
      </c>
      <c r="C13" s="264" t="s">
        <v>270</v>
      </c>
      <c r="D13" s="264" t="s">
        <v>270</v>
      </c>
      <c r="E13" s="264" t="s">
        <v>270</v>
      </c>
      <c r="F13" s="264" t="s">
        <v>270</v>
      </c>
      <c r="G13" s="264" t="s">
        <v>270</v>
      </c>
      <c r="H13" s="264" t="s">
        <v>270</v>
      </c>
      <c r="I13" s="264" t="s">
        <v>270</v>
      </c>
      <c r="J13" s="264" t="s">
        <v>270</v>
      </c>
      <c r="K13" s="264" t="s">
        <v>270</v>
      </c>
      <c r="L13" s="264" t="s">
        <v>270</v>
      </c>
      <c r="M13" s="264" t="s">
        <v>270</v>
      </c>
      <c r="N13" s="264" t="s">
        <v>270</v>
      </c>
      <c r="O13" s="264" t="s">
        <v>270</v>
      </c>
      <c r="P13" s="264" t="s">
        <v>270</v>
      </c>
      <c r="Q13" s="264" t="s">
        <v>270</v>
      </c>
      <c r="R13" s="264" t="s">
        <v>270</v>
      </c>
    </row>
    <row r="14" spans="1:21" ht="26.25" customHeight="1">
      <c r="A14" s="266" t="str">
        <f>+"Total "&amp;B4</f>
        <v>Total Underground Storage Depreciation and Amortization</v>
      </c>
      <c r="B14" s="267">
        <f t="shared" ref="B14:P14" si="1">+SUM(B10:B13)</f>
        <v>314</v>
      </c>
      <c r="C14" s="267">
        <f t="shared" si="1"/>
        <v>314</v>
      </c>
      <c r="D14" s="267">
        <f t="shared" si="1"/>
        <v>297</v>
      </c>
      <c r="E14" s="267">
        <f t="shared" si="1"/>
        <v>309</v>
      </c>
      <c r="F14" s="267">
        <f t="shared" si="1"/>
        <v>309</v>
      </c>
      <c r="G14" s="267">
        <f t="shared" si="1"/>
        <v>310</v>
      </c>
      <c r="H14" s="267">
        <f t="shared" si="1"/>
        <v>312</v>
      </c>
      <c r="I14" s="267">
        <f t="shared" si="1"/>
        <v>310</v>
      </c>
      <c r="J14" s="267">
        <f t="shared" si="1"/>
        <v>276</v>
      </c>
      <c r="K14" s="267">
        <f t="shared" si="1"/>
        <v>393</v>
      </c>
      <c r="L14" s="267">
        <f t="shared" si="1"/>
        <v>348</v>
      </c>
      <c r="M14" s="267">
        <f t="shared" si="1"/>
        <v>395</v>
      </c>
      <c r="N14" s="267">
        <f t="shared" si="1"/>
        <v>438</v>
      </c>
      <c r="O14" s="267">
        <f t="shared" si="1"/>
        <v>380</v>
      </c>
      <c r="P14" s="267">
        <f t="shared" si="1"/>
        <v>402</v>
      </c>
      <c r="Q14" s="267">
        <f t="shared" ref="Q14:R14" si="2">+SUM(Q10:Q13)</f>
        <v>439</v>
      </c>
      <c r="R14" s="267">
        <f t="shared" si="2"/>
        <v>492</v>
      </c>
    </row>
    <row r="15" spans="1:21">
      <c r="P15" s="268"/>
      <c r="R15" s="268"/>
    </row>
    <row r="16" spans="1:21">
      <c r="P16" s="268"/>
      <c r="R16" s="268"/>
    </row>
    <row r="17" spans="1:20">
      <c r="A17" s="269" t="s">
        <v>272</v>
      </c>
      <c r="B17" s="270"/>
      <c r="C17" s="271"/>
      <c r="D17" s="269" t="s">
        <v>326</v>
      </c>
      <c r="E17" s="269"/>
      <c r="F17" s="270"/>
      <c r="G17" s="270"/>
      <c r="H17" s="270"/>
      <c r="I17" s="270"/>
      <c r="J17" s="270"/>
      <c r="K17" s="270"/>
      <c r="L17" s="270"/>
      <c r="M17" s="270"/>
      <c r="N17" s="270"/>
      <c r="O17" s="270"/>
      <c r="P17" s="272"/>
      <c r="Q17" s="270"/>
      <c r="R17" s="272"/>
    </row>
    <row r="18" spans="1:20" ht="19.5" customHeight="1">
      <c r="A18" s="256"/>
      <c r="B18" s="273"/>
      <c r="C18" s="273"/>
      <c r="D18" s="273"/>
      <c r="E18" s="273"/>
      <c r="F18" s="273"/>
      <c r="G18" s="273"/>
      <c r="H18" s="273"/>
      <c r="I18" s="273"/>
    </row>
    <row r="19" spans="1:20" ht="19.5" customHeight="1">
      <c r="A19" s="255" t="s">
        <v>324</v>
      </c>
      <c r="B19" s="274">
        <f ca="1">+LINEST(
OFFSET($B$77,0,0,1,SUM($B$71:$R$71)),
OFFSET($B$76,0,0,1,SUM($B$71:$R$71)),
,
1)</f>
        <v>13.226190476190474</v>
      </c>
      <c r="C19" s="273"/>
      <c r="D19" s="273"/>
      <c r="E19" s="273"/>
      <c r="F19" s="273"/>
      <c r="G19" s="273"/>
      <c r="H19" s="273"/>
      <c r="I19" s="273"/>
    </row>
    <row r="20" spans="1:20" ht="19.5" customHeight="1">
      <c r="A20" s="256" t="s">
        <v>325</v>
      </c>
      <c r="B20" s="273">
        <f ca="1">RSQ(
OFFSET($B$77,0,0,1,SUM($B$71:$R$71)),
OFFSET($B$76,0,0,1,SUM($B$71:$R$71))
)</f>
        <v>0.53766674115378377</v>
      </c>
      <c r="C20" s="274"/>
      <c r="D20" s="274"/>
      <c r="E20" s="274"/>
      <c r="F20" s="274"/>
      <c r="G20" s="274"/>
      <c r="H20" s="274"/>
      <c r="I20" s="274"/>
    </row>
    <row r="21" spans="1:20" ht="19.5" customHeight="1">
      <c r="A21" s="255" t="s">
        <v>273</v>
      </c>
      <c r="B21" s="275">
        <f ca="1">+B19/R14</f>
        <v>2.6882500967866818E-2</v>
      </c>
      <c r="C21" s="273"/>
      <c r="D21" s="273"/>
      <c r="E21" s="273"/>
      <c r="F21" s="273"/>
      <c r="G21" s="273"/>
      <c r="H21" s="273"/>
      <c r="I21" s="273"/>
    </row>
    <row r="22" spans="1:20" ht="19.5" customHeight="1">
      <c r="A22" s="268" t="str">
        <f>+'2) ROR'!$D$46&amp;"-year Growth Rate"</f>
        <v>1-year Growth Rate</v>
      </c>
      <c r="B22" s="293">
        <f ca="1">ROUND(B21*'2) ROR'!$D$46,4)</f>
        <v>2.69E-2</v>
      </c>
      <c r="C22" s="275"/>
      <c r="D22" s="275"/>
      <c r="E22" s="275"/>
      <c r="F22" s="275"/>
      <c r="G22" s="275"/>
      <c r="H22" s="275"/>
      <c r="I22" s="275"/>
    </row>
    <row r="23" spans="1:20" ht="19.5" customHeight="1">
      <c r="C23" s="276"/>
      <c r="D23" s="276"/>
      <c r="E23" s="276"/>
      <c r="F23" s="276"/>
      <c r="G23" s="276"/>
      <c r="H23" s="276"/>
      <c r="I23" s="276"/>
      <c r="L23" s="277"/>
    </row>
    <row r="25" spans="1:20">
      <c r="S25" s="278"/>
      <c r="T25" s="278"/>
    </row>
    <row r="26" spans="1:20">
      <c r="S26" s="279"/>
      <c r="T26" s="279"/>
    </row>
    <row r="27" spans="1:20">
      <c r="S27" s="279"/>
      <c r="T27" s="279"/>
    </row>
    <row r="28" spans="1:20">
      <c r="S28" s="279"/>
      <c r="T28" s="279"/>
    </row>
    <row r="29" spans="1:20">
      <c r="S29" s="279"/>
      <c r="T29" s="279"/>
    </row>
    <row r="30" spans="1:20">
      <c r="S30" s="279"/>
      <c r="T30" s="279"/>
    </row>
    <row r="33" spans="19:21">
      <c r="S33" s="280"/>
      <c r="T33" s="280"/>
      <c r="U33" s="280"/>
    </row>
    <row r="34" spans="19:21">
      <c r="S34" s="279"/>
      <c r="T34" s="279"/>
      <c r="U34" s="279"/>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8" spans="19:21">
      <c r="S58" s="280"/>
      <c r="T58" s="280"/>
      <c r="U58" s="280"/>
    </row>
    <row r="59" spans="19:21">
      <c r="S59" s="279"/>
      <c r="T59" s="279"/>
      <c r="U59" s="279"/>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c r="C71" s="282"/>
      <c r="D71" s="282"/>
      <c r="E71" s="282"/>
      <c r="F71" s="282"/>
      <c r="G71" s="282"/>
      <c r="H71" s="282"/>
      <c r="I71" s="282"/>
      <c r="J71" s="282"/>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0</v>
      </c>
      <c r="C74" s="284">
        <f>+SUM($B71:C$71)</f>
        <v>0</v>
      </c>
      <c r="D74" s="284">
        <f>+SUM($B71:D$71)</f>
        <v>0</v>
      </c>
      <c r="E74" s="284">
        <f>+SUM($B71:E$71)</f>
        <v>0</v>
      </c>
      <c r="F74" s="284">
        <f>+SUM($B71:F$71)</f>
        <v>0</v>
      </c>
      <c r="G74" s="284">
        <f>+SUM($B71:G$71)</f>
        <v>0</v>
      </c>
      <c r="H74" s="284">
        <f>+SUM($B71:H$71)</f>
        <v>0</v>
      </c>
      <c r="I74" s="284">
        <f>+SUM($B71:I$71)</f>
        <v>0</v>
      </c>
      <c r="J74" s="284">
        <f>+SUM($B71:J$71)</f>
        <v>0</v>
      </c>
      <c r="K74" s="284">
        <f>+SUM($B71:K$71)</f>
        <v>1</v>
      </c>
      <c r="L74" s="284">
        <f>+SUM($B71:L$71)</f>
        <v>2</v>
      </c>
      <c r="M74" s="284">
        <f>+SUM($B71:M$71)</f>
        <v>3</v>
      </c>
      <c r="N74" s="284">
        <f>+SUM($B71:N$71)</f>
        <v>4</v>
      </c>
      <c r="O74" s="284">
        <f>+SUM($B71:O$71)</f>
        <v>5</v>
      </c>
      <c r="P74" s="284">
        <f>+SUM($B71:P$71)</f>
        <v>6</v>
      </c>
      <c r="Q74" s="284">
        <f>+SUM($B71:Q$71)</f>
        <v>7</v>
      </c>
      <c r="R74" s="284">
        <f>+SUM($B71:R$71)</f>
        <v>8</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2009</v>
      </c>
      <c r="C76" s="285">
        <f t="shared" ca="1" si="9"/>
        <v>2010</v>
      </c>
      <c r="D76" s="285">
        <f t="shared" ca="1" si="9"/>
        <v>2011</v>
      </c>
      <c r="E76" s="285">
        <f t="shared" ca="1" si="9"/>
        <v>2012</v>
      </c>
      <c r="F76" s="285">
        <f t="shared" ca="1" si="9"/>
        <v>2013</v>
      </c>
      <c r="G76" s="285">
        <f t="shared" ca="1" si="9"/>
        <v>2014</v>
      </c>
      <c r="H76" s="285">
        <f t="shared" ca="1" si="9"/>
        <v>2015</v>
      </c>
      <c r="I76" s="285">
        <f t="shared" ca="1" si="9"/>
        <v>2016</v>
      </c>
      <c r="J76" s="285" t="e">
        <f t="shared" ca="1" si="9"/>
        <v>#N/A</v>
      </c>
      <c r="K76" s="285" t="e">
        <f t="shared" ca="1" si="9"/>
        <v>#N/A</v>
      </c>
      <c r="L76" s="285" t="e">
        <f t="shared" ca="1" si="9"/>
        <v>#N/A</v>
      </c>
      <c r="M76" s="285" t="e">
        <f t="shared" ca="1" si="9"/>
        <v>#N/A</v>
      </c>
      <c r="N76" s="285" t="e">
        <f t="shared" ca="1" si="9"/>
        <v>#N/A</v>
      </c>
      <c r="O76" s="285" t="e">
        <f t="shared" ca="1" si="9"/>
        <v>#N/A</v>
      </c>
      <c r="P76" s="285" t="e">
        <f t="shared" ca="1" si="9"/>
        <v>#N/A</v>
      </c>
      <c r="Q76" s="285" t="e">
        <f t="shared" ca="1" si="9"/>
        <v>#N/A</v>
      </c>
      <c r="R76" s="285" t="e">
        <f t="shared" ca="1" si="9"/>
        <v>#N/A</v>
      </c>
    </row>
    <row r="77" spans="1:21">
      <c r="A77" s="283" t="s">
        <v>280</v>
      </c>
      <c r="B77" s="283">
        <f t="shared" ref="B77:R77" ca="1" si="10">+INDEX(14:14,1,MATCH(B$76,9:9,0))</f>
        <v>393</v>
      </c>
      <c r="C77" s="283">
        <f t="shared" ca="1" si="10"/>
        <v>348</v>
      </c>
      <c r="D77" s="283">
        <f t="shared" ca="1" si="10"/>
        <v>395</v>
      </c>
      <c r="E77" s="283">
        <f t="shared" ca="1" si="10"/>
        <v>438</v>
      </c>
      <c r="F77" s="283">
        <f t="shared" ca="1" si="10"/>
        <v>380</v>
      </c>
      <c r="G77" s="283">
        <f t="shared" ca="1" si="10"/>
        <v>402</v>
      </c>
      <c r="H77" s="283">
        <f t="shared" ca="1" si="10"/>
        <v>439</v>
      </c>
      <c r="I77" s="283">
        <f t="shared" ca="1" si="10"/>
        <v>492</v>
      </c>
      <c r="J77" s="283" t="e">
        <f t="shared" ca="1" si="10"/>
        <v>#N/A</v>
      </c>
      <c r="K77" s="283" t="e">
        <f t="shared" ca="1" si="10"/>
        <v>#N/A</v>
      </c>
      <c r="L77" s="283" t="e">
        <f t="shared" ca="1" si="10"/>
        <v>#N/A</v>
      </c>
      <c r="M77" s="283" t="e">
        <f t="shared" ca="1" si="10"/>
        <v>#N/A</v>
      </c>
      <c r="N77" s="283" t="e">
        <f t="shared" ca="1" si="10"/>
        <v>#N/A</v>
      </c>
      <c r="O77" s="283" t="e">
        <f t="shared" ca="1" si="10"/>
        <v>#N/A</v>
      </c>
      <c r="P77" s="283" t="e">
        <f t="shared" ca="1" si="10"/>
        <v>#N/A</v>
      </c>
      <c r="Q77" s="283" t="e">
        <f t="shared" ca="1" si="10"/>
        <v>#N/A</v>
      </c>
      <c r="R77" s="283" t="e">
        <f t="shared" ca="1" si="10"/>
        <v>#N/A</v>
      </c>
    </row>
    <row r="80" spans="1:21">
      <c r="A80" s="286"/>
      <c r="B80" s="287" t="s">
        <v>281</v>
      </c>
      <c r="C80" s="288"/>
    </row>
    <row r="81" spans="1:4">
      <c r="A81" s="286" t="s">
        <v>252</v>
      </c>
      <c r="B81" s="289">
        <f t="array" aca="1" ref="B81:C85" ca="1">+LINEST(
OFFSET($B77,0,0,1,SUM($B71:$R71)),
OFFSET($B76,0,0,1,SUM($B71:$R71)),
,
1)</f>
        <v>13.226190476190474</v>
      </c>
      <c r="C81" s="289">
        <f ca="1"/>
        <v>-26206.833333333328</v>
      </c>
      <c r="D81" s="255" t="s">
        <v>282</v>
      </c>
    </row>
    <row r="82" spans="1:4">
      <c r="A82" s="286" t="s">
        <v>283</v>
      </c>
      <c r="B82" s="289">
        <f ca="1"/>
        <v>5.0070292615181673</v>
      </c>
      <c r="C82" s="289">
        <f ca="1"/>
        <v>10076.652919710928</v>
      </c>
      <c r="D82" s="255" t="s">
        <v>284</v>
      </c>
    </row>
    <row r="83" spans="1:4">
      <c r="A83" s="286" t="s">
        <v>285</v>
      </c>
      <c r="B83" s="289">
        <f ca="1"/>
        <v>0.53766674115378377</v>
      </c>
      <c r="C83" s="289">
        <f ca="1"/>
        <v>32.449258313239838</v>
      </c>
      <c r="D83" s="255" t="s">
        <v>286</v>
      </c>
    </row>
    <row r="84" spans="1:4">
      <c r="A84" s="290" t="s">
        <v>287</v>
      </c>
      <c r="B84" s="289">
        <f ca="1"/>
        <v>6.9776516943068385</v>
      </c>
      <c r="C84" s="289">
        <f ca="1"/>
        <v>6</v>
      </c>
      <c r="D84" s="255" t="s">
        <v>288</v>
      </c>
    </row>
    <row r="85" spans="1:4">
      <c r="A85" s="290" t="s">
        <v>289</v>
      </c>
      <c r="B85" s="289">
        <f ca="1"/>
        <v>7347.148809523811</v>
      </c>
      <c r="C85" s="289">
        <f ca="1"/>
        <v>6317.726190476189</v>
      </c>
      <c r="D85" s="255" t="s">
        <v>290</v>
      </c>
    </row>
    <row r="86" spans="1:4">
      <c r="A86" s="286"/>
    </row>
    <row r="87" spans="1:4">
      <c r="A87" s="286"/>
    </row>
    <row r="88" spans="1:4">
      <c r="A88" s="286" t="s">
        <v>291</v>
      </c>
      <c r="B88" s="255">
        <f ca="1">+B81/B82</f>
        <v>2.6415245019319498</v>
      </c>
    </row>
    <row r="89" spans="1:4">
      <c r="A89" s="290" t="s">
        <v>292</v>
      </c>
      <c r="B89" s="291">
        <f ca="1">+TDIST(B88,C84,2)</f>
        <v>3.8461941369288419E-2</v>
      </c>
    </row>
  </sheetData>
  <conditionalFormatting sqref="B14:H14 J14:R14">
    <cfRule type="expression" dxfId="25" priority="2">
      <formula>B$71=1</formula>
    </cfRule>
  </conditionalFormatting>
  <conditionalFormatting sqref="B14:I14">
    <cfRule type="expression" dxfId="24"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334</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c r="A11" s="265" t="s">
        <v>295</v>
      </c>
      <c r="B11" s="239">
        <f>+'Cost Trends'!F27</f>
        <v>111</v>
      </c>
      <c r="C11" s="239">
        <f>+'Cost Trends'!G27</f>
        <v>108</v>
      </c>
      <c r="D11" s="239">
        <f>+'Cost Trends'!H27</f>
        <v>120</v>
      </c>
      <c r="E11" s="239">
        <f>+'Cost Trends'!I27</f>
        <v>118</v>
      </c>
      <c r="F11" s="239">
        <f>+'Cost Trends'!J27</f>
        <v>120</v>
      </c>
      <c r="G11" s="239">
        <f>+'Cost Trends'!K27</f>
        <v>115</v>
      </c>
      <c r="H11" s="239">
        <f>+'Cost Trends'!L27</f>
        <v>122</v>
      </c>
      <c r="I11" s="239">
        <f>+'Cost Trends'!M27</f>
        <v>95</v>
      </c>
      <c r="J11" s="239">
        <f>+'Cost Trends'!N27</f>
        <v>113</v>
      </c>
      <c r="K11" s="239">
        <f>+'Cost Trends'!O27</f>
        <v>121</v>
      </c>
      <c r="L11" s="239">
        <f>+'Cost Trends'!P27</f>
        <v>116</v>
      </c>
      <c r="M11" s="239">
        <f>+'Cost Trends'!Q27</f>
        <v>19</v>
      </c>
      <c r="N11" s="239">
        <f>+'Cost Trends'!R27</f>
        <v>17</v>
      </c>
      <c r="O11" s="239">
        <f>+'Cost Trends'!S27</f>
        <v>158</v>
      </c>
      <c r="P11" s="239">
        <f>+'Cost Trends'!T27</f>
        <v>184</v>
      </c>
      <c r="Q11" s="239">
        <f>+'Cost Trends'!U27</f>
        <v>196</v>
      </c>
      <c r="R11" s="239">
        <f>+'Cost Trends'!V27</f>
        <v>210</v>
      </c>
    </row>
    <row r="12" spans="1:21" ht="8.25" customHeight="1">
      <c r="B12" s="264"/>
      <c r="C12" s="264"/>
      <c r="D12" s="264"/>
      <c r="E12" s="264"/>
      <c r="F12" s="264"/>
      <c r="G12" s="264"/>
      <c r="H12" s="264"/>
      <c r="I12" s="264"/>
      <c r="J12" s="264"/>
      <c r="K12" s="264"/>
      <c r="L12" s="264"/>
      <c r="M12" s="264"/>
      <c r="N12" s="264"/>
      <c r="O12" s="264"/>
      <c r="P12" s="264"/>
      <c r="Q12" s="264"/>
      <c r="R12" s="264"/>
    </row>
    <row r="13" spans="1:21" ht="8.25" customHeight="1">
      <c r="B13" s="264" t="s">
        <v>270</v>
      </c>
      <c r="C13" s="264" t="s">
        <v>270</v>
      </c>
      <c r="D13" s="264" t="s">
        <v>270</v>
      </c>
      <c r="E13" s="264" t="s">
        <v>270</v>
      </c>
      <c r="F13" s="264" t="s">
        <v>270</v>
      </c>
      <c r="G13" s="264" t="s">
        <v>270</v>
      </c>
      <c r="H13" s="264" t="s">
        <v>270</v>
      </c>
      <c r="I13" s="264" t="s">
        <v>270</v>
      </c>
      <c r="J13" s="264" t="s">
        <v>270</v>
      </c>
      <c r="K13" s="264" t="s">
        <v>270</v>
      </c>
      <c r="L13" s="264" t="s">
        <v>270</v>
      </c>
      <c r="M13" s="264" t="s">
        <v>270</v>
      </c>
      <c r="N13" s="264" t="s">
        <v>270</v>
      </c>
      <c r="O13" s="264" t="s">
        <v>270</v>
      </c>
      <c r="P13" s="264" t="s">
        <v>270</v>
      </c>
      <c r="Q13" s="264" t="s">
        <v>270</v>
      </c>
      <c r="R13" s="264" t="s">
        <v>270</v>
      </c>
    </row>
    <row r="14" spans="1:21" ht="26.25" customHeight="1">
      <c r="A14" s="266" t="str">
        <f>+"Total "&amp;B4</f>
        <v>Total Underground Storage Taxes Other Than Income Taxes</v>
      </c>
      <c r="B14" s="267">
        <f t="shared" ref="B14:P14" si="1">+SUM(B10:B13)</f>
        <v>111</v>
      </c>
      <c r="C14" s="267">
        <f t="shared" si="1"/>
        <v>108</v>
      </c>
      <c r="D14" s="267">
        <f t="shared" si="1"/>
        <v>120</v>
      </c>
      <c r="E14" s="267">
        <f t="shared" si="1"/>
        <v>118</v>
      </c>
      <c r="F14" s="267">
        <f t="shared" si="1"/>
        <v>120</v>
      </c>
      <c r="G14" s="267">
        <f t="shared" si="1"/>
        <v>115</v>
      </c>
      <c r="H14" s="267">
        <f t="shared" si="1"/>
        <v>122</v>
      </c>
      <c r="I14" s="267">
        <f t="shared" si="1"/>
        <v>95</v>
      </c>
      <c r="J14" s="267">
        <f t="shared" si="1"/>
        <v>113</v>
      </c>
      <c r="K14" s="267">
        <f t="shared" si="1"/>
        <v>121</v>
      </c>
      <c r="L14" s="267">
        <f t="shared" si="1"/>
        <v>116</v>
      </c>
      <c r="M14" s="267">
        <f t="shared" si="1"/>
        <v>19</v>
      </c>
      <c r="N14" s="267">
        <f t="shared" si="1"/>
        <v>17</v>
      </c>
      <c r="O14" s="267">
        <f t="shared" si="1"/>
        <v>158</v>
      </c>
      <c r="P14" s="267">
        <f t="shared" si="1"/>
        <v>184</v>
      </c>
      <c r="Q14" s="267">
        <f t="shared" ref="Q14:R14" si="2">+SUM(Q10:Q13)</f>
        <v>196</v>
      </c>
      <c r="R14" s="267">
        <f t="shared" si="2"/>
        <v>210</v>
      </c>
    </row>
    <row r="15" spans="1:21">
      <c r="P15" s="268"/>
      <c r="R15" s="268"/>
    </row>
    <row r="16" spans="1:21">
      <c r="P16" s="268"/>
      <c r="R16" s="268"/>
    </row>
    <row r="17" spans="1:20">
      <c r="A17" s="269" t="s">
        <v>272</v>
      </c>
      <c r="B17" s="270"/>
      <c r="C17" s="271"/>
      <c r="D17" s="269" t="s">
        <v>326</v>
      </c>
      <c r="E17" s="269"/>
      <c r="F17" s="270"/>
      <c r="G17" s="270"/>
      <c r="H17" s="270"/>
      <c r="I17" s="270"/>
      <c r="J17" s="270"/>
      <c r="K17" s="270"/>
      <c r="L17" s="270"/>
      <c r="M17" s="270"/>
      <c r="N17" s="270"/>
      <c r="O17" s="270"/>
      <c r="P17" s="272"/>
      <c r="Q17" s="270"/>
      <c r="R17" s="272"/>
    </row>
    <row r="18" spans="1:20" ht="19.5" customHeight="1">
      <c r="A18" s="256"/>
      <c r="B18" s="273"/>
      <c r="C18" s="273"/>
      <c r="D18" s="273"/>
      <c r="E18" s="273"/>
      <c r="F18" s="273"/>
      <c r="G18" s="273"/>
      <c r="H18" s="273"/>
      <c r="I18" s="273"/>
    </row>
    <row r="19" spans="1:20" ht="19.5" customHeight="1">
      <c r="A19" s="255" t="s">
        <v>324</v>
      </c>
      <c r="B19" s="274">
        <f ca="1">+LINEST(
OFFSET($B$77,0,0,1,SUM($B$71:$R$71)),
OFFSET($B$76,0,0,1,SUM($B$71:$R$71)),
,
1)</f>
        <v>5.5765449438202257</v>
      </c>
      <c r="C19" s="273"/>
      <c r="D19" s="273"/>
      <c r="E19" s="273"/>
      <c r="F19" s="273"/>
      <c r="G19" s="273"/>
      <c r="H19" s="273"/>
      <c r="I19" s="273"/>
    </row>
    <row r="20" spans="1:20" ht="19.5" customHeight="1">
      <c r="A20" s="256" t="s">
        <v>325</v>
      </c>
      <c r="B20" s="273">
        <f ca="1">RSQ(
OFFSET($B$77,0,0,1,SUM($B$71:$R$71)),
OFFSET($B$76,0,0,1,SUM($B$71:$R$71))
)</f>
        <v>0.67447005854525266</v>
      </c>
      <c r="C20" s="274"/>
      <c r="D20" s="274"/>
      <c r="E20" s="274"/>
      <c r="F20" s="274"/>
      <c r="G20" s="274"/>
      <c r="H20" s="274"/>
      <c r="I20" s="274"/>
    </row>
    <row r="21" spans="1:20" ht="19.5" customHeight="1">
      <c r="A21" s="255" t="s">
        <v>273</v>
      </c>
      <c r="B21" s="275">
        <f ca="1">+B19/R14</f>
        <v>2.6554975922953455E-2</v>
      </c>
      <c r="C21" s="273"/>
      <c r="D21" s="273"/>
      <c r="E21" s="273"/>
      <c r="F21" s="273"/>
      <c r="G21" s="273"/>
      <c r="H21" s="273"/>
      <c r="I21" s="273"/>
    </row>
    <row r="22" spans="1:20" ht="19.5" customHeight="1">
      <c r="A22" s="268" t="str">
        <f>+'2) ROR'!$D$46&amp;"-year Growth Rate"</f>
        <v>1-year Growth Rate</v>
      </c>
      <c r="B22" s="293">
        <f ca="1">ROUND(B21*'2) ROR'!$D$46,4)</f>
        <v>2.6599999999999999E-2</v>
      </c>
      <c r="C22" s="275"/>
      <c r="D22" s="275"/>
      <c r="E22" s="275"/>
      <c r="F22" s="275"/>
      <c r="G22" s="275"/>
      <c r="H22" s="275"/>
      <c r="I22" s="275"/>
    </row>
    <row r="23" spans="1:20" ht="19.5" customHeight="1">
      <c r="C23" s="276"/>
      <c r="D23" s="276"/>
      <c r="E23" s="276"/>
      <c r="F23" s="276"/>
      <c r="G23" s="276"/>
      <c r="H23" s="276"/>
      <c r="I23" s="276"/>
      <c r="L23" s="277"/>
    </row>
    <row r="25" spans="1:20">
      <c r="S25" s="278"/>
      <c r="T25" s="278"/>
    </row>
    <row r="26" spans="1:20">
      <c r="S26" s="279"/>
      <c r="T26" s="279"/>
    </row>
    <row r="27" spans="1:20">
      <c r="S27" s="279"/>
      <c r="T27" s="279"/>
    </row>
    <row r="28" spans="1:20">
      <c r="S28" s="279"/>
      <c r="T28" s="279"/>
    </row>
    <row r="29" spans="1:20">
      <c r="S29" s="279"/>
      <c r="T29" s="279"/>
    </row>
    <row r="30" spans="1:20">
      <c r="S30" s="279"/>
      <c r="T30" s="279"/>
    </row>
    <row r="33" spans="19:21">
      <c r="S33" s="280"/>
      <c r="T33" s="280"/>
      <c r="U33" s="280"/>
    </row>
    <row r="34" spans="19:21">
      <c r="S34" s="279"/>
      <c r="T34" s="279"/>
      <c r="U34" s="279"/>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8" spans="19:21">
      <c r="S58" s="280"/>
      <c r="T58" s="280"/>
      <c r="U58" s="280"/>
    </row>
    <row r="59" spans="19:21">
      <c r="S59" s="279"/>
      <c r="T59" s="279"/>
      <c r="U59" s="279"/>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v>1</v>
      </c>
      <c r="C71" s="282">
        <v>1</v>
      </c>
      <c r="D71" s="282">
        <v>1</v>
      </c>
      <c r="E71" s="282">
        <v>1</v>
      </c>
      <c r="F71" s="282">
        <v>1</v>
      </c>
      <c r="G71" s="282">
        <v>1</v>
      </c>
      <c r="H71" s="282">
        <v>1</v>
      </c>
      <c r="I71" s="282">
        <v>1</v>
      </c>
      <c r="J71" s="282">
        <v>1</v>
      </c>
      <c r="K71" s="282">
        <v>1</v>
      </c>
      <c r="L71" s="282">
        <v>1</v>
      </c>
      <c r="M71" s="282"/>
      <c r="N71" s="282"/>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1</v>
      </c>
      <c r="C74" s="284">
        <f>+SUM($B71:C$71)</f>
        <v>2</v>
      </c>
      <c r="D74" s="284">
        <f>+SUM($B71:D$71)</f>
        <v>3</v>
      </c>
      <c r="E74" s="284">
        <f>+SUM($B71:E$71)</f>
        <v>4</v>
      </c>
      <c r="F74" s="284">
        <f>+SUM($B71:F$71)</f>
        <v>5</v>
      </c>
      <c r="G74" s="284">
        <f>+SUM($B71:G$71)</f>
        <v>6</v>
      </c>
      <c r="H74" s="284">
        <f>+SUM($B71:H$71)</f>
        <v>7</v>
      </c>
      <c r="I74" s="284">
        <f>+SUM($B71:I$71)</f>
        <v>8</v>
      </c>
      <c r="J74" s="284">
        <f>+SUM($B71:J$71)</f>
        <v>9</v>
      </c>
      <c r="K74" s="284">
        <f>+SUM($B71:K$71)</f>
        <v>10</v>
      </c>
      <c r="L74" s="284">
        <f>+SUM($B71:L$71)</f>
        <v>11</v>
      </c>
      <c r="M74" s="284">
        <f>+SUM($B71:M$71)</f>
        <v>11</v>
      </c>
      <c r="N74" s="284">
        <f>+SUM($B71:N$71)</f>
        <v>11</v>
      </c>
      <c r="O74" s="284">
        <f>+SUM($B71:O$71)</f>
        <v>12</v>
      </c>
      <c r="P74" s="284">
        <f>+SUM($B71:P$71)</f>
        <v>13</v>
      </c>
      <c r="Q74" s="284">
        <f>+SUM($B71:Q$71)</f>
        <v>14</v>
      </c>
      <c r="R74" s="284">
        <f>+SUM($B71:R$71)</f>
        <v>15</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2000</v>
      </c>
      <c r="C76" s="285">
        <f t="shared" ca="1" si="9"/>
        <v>2001</v>
      </c>
      <c r="D76" s="285">
        <f t="shared" ca="1" si="9"/>
        <v>2002</v>
      </c>
      <c r="E76" s="285">
        <f t="shared" ca="1" si="9"/>
        <v>2003</v>
      </c>
      <c r="F76" s="285">
        <f t="shared" ca="1" si="9"/>
        <v>2004</v>
      </c>
      <c r="G76" s="285">
        <f t="shared" ca="1" si="9"/>
        <v>2005</v>
      </c>
      <c r="H76" s="285">
        <f t="shared" ca="1" si="9"/>
        <v>2006</v>
      </c>
      <c r="I76" s="285">
        <f t="shared" ca="1" si="9"/>
        <v>2007</v>
      </c>
      <c r="J76" s="285">
        <f t="shared" ca="1" si="9"/>
        <v>2008</v>
      </c>
      <c r="K76" s="285">
        <f t="shared" ca="1" si="9"/>
        <v>2009</v>
      </c>
      <c r="L76" s="285">
        <f t="shared" ca="1" si="9"/>
        <v>2010</v>
      </c>
      <c r="M76" s="285">
        <f t="shared" ca="1" si="9"/>
        <v>2013</v>
      </c>
      <c r="N76" s="285">
        <f t="shared" ca="1" si="9"/>
        <v>2014</v>
      </c>
      <c r="O76" s="285">
        <f t="shared" ca="1" si="9"/>
        <v>2015</v>
      </c>
      <c r="P76" s="285">
        <f t="shared" ca="1" si="9"/>
        <v>2016</v>
      </c>
      <c r="Q76" s="285" t="e">
        <f t="shared" ca="1" si="9"/>
        <v>#N/A</v>
      </c>
      <c r="R76" s="285" t="e">
        <f t="shared" ca="1" si="9"/>
        <v>#N/A</v>
      </c>
    </row>
    <row r="77" spans="1:21">
      <c r="A77" s="283" t="s">
        <v>280</v>
      </c>
      <c r="B77" s="283">
        <f t="shared" ref="B77:R77" ca="1" si="10">+INDEX(14:14,1,MATCH(B$76,9:9,0))</f>
        <v>111</v>
      </c>
      <c r="C77" s="283">
        <f t="shared" ca="1" si="10"/>
        <v>108</v>
      </c>
      <c r="D77" s="283">
        <f t="shared" ca="1" si="10"/>
        <v>120</v>
      </c>
      <c r="E77" s="283">
        <f t="shared" ca="1" si="10"/>
        <v>118</v>
      </c>
      <c r="F77" s="283">
        <f t="shared" ca="1" si="10"/>
        <v>120</v>
      </c>
      <c r="G77" s="283">
        <f t="shared" ca="1" si="10"/>
        <v>115</v>
      </c>
      <c r="H77" s="283">
        <f t="shared" ca="1" si="10"/>
        <v>122</v>
      </c>
      <c r="I77" s="283">
        <f t="shared" ca="1" si="10"/>
        <v>95</v>
      </c>
      <c r="J77" s="283">
        <f t="shared" ca="1" si="10"/>
        <v>113</v>
      </c>
      <c r="K77" s="283">
        <f t="shared" ca="1" si="10"/>
        <v>121</v>
      </c>
      <c r="L77" s="283">
        <f t="shared" ca="1" si="10"/>
        <v>116</v>
      </c>
      <c r="M77" s="283">
        <f t="shared" ca="1" si="10"/>
        <v>158</v>
      </c>
      <c r="N77" s="283">
        <f t="shared" ca="1" si="10"/>
        <v>184</v>
      </c>
      <c r="O77" s="283">
        <f t="shared" ca="1" si="10"/>
        <v>196</v>
      </c>
      <c r="P77" s="283">
        <f t="shared" ca="1" si="10"/>
        <v>210</v>
      </c>
      <c r="Q77" s="283" t="e">
        <f t="shared" ca="1" si="10"/>
        <v>#N/A</v>
      </c>
      <c r="R77" s="283" t="e">
        <f t="shared" ca="1" si="10"/>
        <v>#N/A</v>
      </c>
    </row>
    <row r="80" spans="1:21">
      <c r="A80" s="286"/>
      <c r="B80" s="287" t="s">
        <v>281</v>
      </c>
      <c r="C80" s="288"/>
    </row>
    <row r="81" spans="1:4">
      <c r="A81" s="286" t="s">
        <v>252</v>
      </c>
      <c r="B81" s="289">
        <f t="array" aca="1" ref="B81:C85" ca="1">+LINEST(
OFFSET($B77,0,0,1,SUM($B71:$R71)),
OFFSET($B76,0,0,1,SUM($B71:$R71)),
,
1)</f>
        <v>5.5765449438202257</v>
      </c>
      <c r="C81" s="289">
        <f ca="1"/>
        <v>-11061.299859550565</v>
      </c>
      <c r="D81" s="255" t="s">
        <v>282</v>
      </c>
    </row>
    <row r="82" spans="1:4">
      <c r="A82" s="286" t="s">
        <v>283</v>
      </c>
      <c r="B82" s="289">
        <f ca="1"/>
        <v>1.0745030760661236</v>
      </c>
      <c r="C82" s="289">
        <f ca="1"/>
        <v>2157.1075168531265</v>
      </c>
      <c r="D82" s="255" t="s">
        <v>284</v>
      </c>
    </row>
    <row r="83" spans="1:4">
      <c r="A83" s="286" t="s">
        <v>285</v>
      </c>
      <c r="B83" s="289">
        <f ca="1"/>
        <v>0.67447005854525299</v>
      </c>
      <c r="C83" s="289">
        <f ca="1"/>
        <v>20.938570274764544</v>
      </c>
      <c r="D83" s="255" t="s">
        <v>286</v>
      </c>
    </row>
    <row r="84" spans="1:4">
      <c r="A84" s="290" t="s">
        <v>287</v>
      </c>
      <c r="B84" s="289">
        <f ca="1"/>
        <v>26.934882616034795</v>
      </c>
      <c r="C84" s="289">
        <f ca="1"/>
        <v>13</v>
      </c>
      <c r="D84" s="255" t="s">
        <v>288</v>
      </c>
    </row>
    <row r="85" spans="1:4">
      <c r="A85" s="290" t="s">
        <v>289</v>
      </c>
      <c r="B85" s="289">
        <f ca="1"/>
        <v>11808.891573033708</v>
      </c>
      <c r="C85" s="289">
        <f ca="1"/>
        <v>5699.508426966293</v>
      </c>
      <c r="D85" s="255" t="s">
        <v>290</v>
      </c>
    </row>
    <row r="86" spans="1:4">
      <c r="A86" s="286"/>
    </row>
    <row r="87" spans="1:4">
      <c r="A87" s="286"/>
    </row>
    <row r="88" spans="1:4">
      <c r="A88" s="286" t="s">
        <v>291</v>
      </c>
      <c r="B88" s="255">
        <f ca="1">+B81/B82</f>
        <v>5.1898827169826101</v>
      </c>
    </row>
    <row r="89" spans="1:4">
      <c r="A89" s="290" t="s">
        <v>292</v>
      </c>
      <c r="B89" s="291">
        <f ca="1">+TDIST(B88,C84,2)</f>
        <v>1.7413021968188926E-4</v>
      </c>
    </row>
  </sheetData>
  <conditionalFormatting sqref="B14:H14 J14:R14">
    <cfRule type="expression" dxfId="23" priority="2">
      <formula>B$71=1</formula>
    </cfRule>
  </conditionalFormatting>
  <conditionalFormatting sqref="B14:I14">
    <cfRule type="expression" dxfId="22"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296</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c r="A11" s="265" t="s">
        <v>296</v>
      </c>
      <c r="B11" s="239">
        <f>+'Cost Trends'!F31</f>
        <v>3956</v>
      </c>
      <c r="C11" s="239">
        <f>+'Cost Trends'!G31</f>
        <v>4655</v>
      </c>
      <c r="D11" s="239">
        <f>+'Cost Trends'!H31</f>
        <v>5482</v>
      </c>
      <c r="E11" s="239">
        <f>+'Cost Trends'!I31</f>
        <v>5762</v>
      </c>
      <c r="F11" s="239">
        <f>+'Cost Trends'!J31</f>
        <v>5958</v>
      </c>
      <c r="G11" s="239">
        <f>+'Cost Trends'!K31</f>
        <v>6084</v>
      </c>
      <c r="H11" s="239">
        <f>+'Cost Trends'!L31</f>
        <v>6359</v>
      </c>
      <c r="I11" s="239">
        <f>+'Cost Trends'!M31</f>
        <v>6467</v>
      </c>
      <c r="J11" s="239">
        <f>+'Cost Trends'!N31</f>
        <v>6123</v>
      </c>
      <c r="K11" s="239">
        <f>+'Cost Trends'!O31</f>
        <v>7700</v>
      </c>
      <c r="L11" s="239">
        <f>+'Cost Trends'!P31</f>
        <v>7696</v>
      </c>
      <c r="M11" s="239">
        <f>+'Cost Trends'!Q31</f>
        <v>8854</v>
      </c>
      <c r="N11" s="239">
        <f>+'Cost Trends'!R31</f>
        <v>9511</v>
      </c>
      <c r="O11" s="239">
        <f>+'Cost Trends'!S31</f>
        <v>10820</v>
      </c>
      <c r="P11" s="239">
        <f>+'Cost Trends'!T31</f>
        <v>10704</v>
      </c>
      <c r="Q11" s="239">
        <f>+'Cost Trends'!U31</f>
        <v>12315</v>
      </c>
      <c r="R11" s="239">
        <f>+'Cost Trends'!V31</f>
        <v>12050</v>
      </c>
    </row>
    <row r="12" spans="1:21" ht="8.25" customHeight="1">
      <c r="B12" s="264"/>
      <c r="C12" s="264"/>
      <c r="D12" s="264"/>
      <c r="E12" s="264"/>
      <c r="F12" s="264"/>
      <c r="G12" s="264"/>
      <c r="H12" s="264"/>
      <c r="I12" s="264"/>
      <c r="J12" s="264"/>
      <c r="K12" s="264"/>
      <c r="L12" s="264"/>
      <c r="M12" s="264"/>
      <c r="N12" s="264"/>
      <c r="O12" s="264"/>
      <c r="P12" s="264"/>
      <c r="Q12" s="264"/>
      <c r="R12" s="264"/>
    </row>
    <row r="13" spans="1:21" ht="8.25" customHeight="1">
      <c r="B13" s="264" t="s">
        <v>270</v>
      </c>
      <c r="C13" s="264" t="s">
        <v>270</v>
      </c>
      <c r="D13" s="264" t="s">
        <v>270</v>
      </c>
      <c r="E13" s="264" t="s">
        <v>270</v>
      </c>
      <c r="F13" s="264" t="s">
        <v>270</v>
      </c>
      <c r="G13" s="264" t="s">
        <v>270</v>
      </c>
      <c r="H13" s="264" t="s">
        <v>270</v>
      </c>
      <c r="I13" s="264" t="s">
        <v>270</v>
      </c>
      <c r="J13" s="264" t="s">
        <v>270</v>
      </c>
      <c r="K13" s="264" t="s">
        <v>270</v>
      </c>
      <c r="L13" s="264" t="s">
        <v>270</v>
      </c>
      <c r="M13" s="264" t="s">
        <v>270</v>
      </c>
      <c r="N13" s="264" t="s">
        <v>270</v>
      </c>
      <c r="O13" s="264" t="s">
        <v>270</v>
      </c>
      <c r="P13" s="264" t="s">
        <v>270</v>
      </c>
      <c r="Q13" s="264" t="s">
        <v>270</v>
      </c>
      <c r="R13" s="264" t="s">
        <v>270</v>
      </c>
    </row>
    <row r="14" spans="1:21" ht="26.25" customHeight="1">
      <c r="A14" s="266" t="str">
        <f>+"Total "&amp;B4</f>
        <v>Total Distribution Operating Expenses</v>
      </c>
      <c r="B14" s="267">
        <f t="shared" ref="B14:P14" si="1">+SUM(B10:B13)</f>
        <v>3956</v>
      </c>
      <c r="C14" s="267">
        <f t="shared" si="1"/>
        <v>4655</v>
      </c>
      <c r="D14" s="267">
        <f t="shared" si="1"/>
        <v>5482</v>
      </c>
      <c r="E14" s="267">
        <f t="shared" si="1"/>
        <v>5762</v>
      </c>
      <c r="F14" s="267">
        <f t="shared" si="1"/>
        <v>5958</v>
      </c>
      <c r="G14" s="267">
        <f t="shared" si="1"/>
        <v>6084</v>
      </c>
      <c r="H14" s="267">
        <f t="shared" si="1"/>
        <v>6359</v>
      </c>
      <c r="I14" s="267">
        <f t="shared" si="1"/>
        <v>6467</v>
      </c>
      <c r="J14" s="267">
        <f t="shared" si="1"/>
        <v>6123</v>
      </c>
      <c r="K14" s="267">
        <f t="shared" si="1"/>
        <v>7700</v>
      </c>
      <c r="L14" s="267">
        <f t="shared" si="1"/>
        <v>7696</v>
      </c>
      <c r="M14" s="267">
        <f t="shared" si="1"/>
        <v>8854</v>
      </c>
      <c r="N14" s="267">
        <f t="shared" si="1"/>
        <v>9511</v>
      </c>
      <c r="O14" s="267">
        <f t="shared" si="1"/>
        <v>10820</v>
      </c>
      <c r="P14" s="267">
        <f t="shared" si="1"/>
        <v>10704</v>
      </c>
      <c r="Q14" s="267">
        <f t="shared" ref="Q14:R14" si="2">+SUM(Q10:Q13)</f>
        <v>12315</v>
      </c>
      <c r="R14" s="267">
        <f t="shared" si="2"/>
        <v>12050</v>
      </c>
    </row>
    <row r="15" spans="1:21">
      <c r="P15" s="268"/>
      <c r="R15" s="268"/>
    </row>
    <row r="16" spans="1:21">
      <c r="P16" s="268"/>
      <c r="R16" s="268"/>
    </row>
    <row r="17" spans="1:20">
      <c r="A17" s="269" t="s">
        <v>272</v>
      </c>
      <c r="B17" s="270"/>
      <c r="C17" s="271"/>
      <c r="D17" s="269" t="s">
        <v>326</v>
      </c>
      <c r="E17" s="269"/>
      <c r="F17" s="270"/>
      <c r="G17" s="270"/>
      <c r="H17" s="270"/>
      <c r="I17" s="270"/>
      <c r="J17" s="270"/>
      <c r="K17" s="270"/>
      <c r="L17" s="270"/>
      <c r="M17" s="270"/>
      <c r="N17" s="270"/>
      <c r="O17" s="270"/>
      <c r="P17" s="272"/>
      <c r="Q17" s="270"/>
      <c r="R17" s="272"/>
    </row>
    <row r="18" spans="1:20" ht="19.5" customHeight="1">
      <c r="A18" s="256"/>
      <c r="B18" s="273"/>
      <c r="C18" s="273"/>
      <c r="D18" s="273"/>
      <c r="E18" s="273"/>
      <c r="F18" s="273"/>
      <c r="G18" s="273"/>
      <c r="H18" s="273"/>
      <c r="I18" s="273"/>
    </row>
    <row r="19" spans="1:20" ht="19.5" customHeight="1">
      <c r="A19" s="255" t="s">
        <v>324</v>
      </c>
      <c r="B19" s="274">
        <f ca="1">+LINEST(
OFFSET($B$77,0,0,1,SUM($B$71:$R$71)),
OFFSET($B$76,0,0,1,SUM($B$71:$R$71)),
,
1)</f>
        <v>493.68382352941165</v>
      </c>
      <c r="C19" s="273"/>
      <c r="D19" s="273"/>
      <c r="E19" s="273"/>
      <c r="F19" s="273"/>
      <c r="G19" s="273"/>
      <c r="H19" s="273"/>
      <c r="I19" s="273"/>
    </row>
    <row r="20" spans="1:20" ht="19.5" customHeight="1">
      <c r="A20" s="256" t="s">
        <v>325</v>
      </c>
      <c r="B20" s="273">
        <f ca="1">RSQ(
OFFSET($B$77,0,0,1,SUM($B$71:$R$71)),
OFFSET($B$76,0,0,1,SUM($B$71:$R$71))
)</f>
        <v>0.92936126137910524</v>
      </c>
      <c r="C20" s="274"/>
      <c r="D20" s="274"/>
      <c r="E20" s="274"/>
      <c r="F20" s="274"/>
      <c r="G20" s="274"/>
      <c r="H20" s="274"/>
      <c r="I20" s="274"/>
    </row>
    <row r="21" spans="1:20" ht="19.5" customHeight="1">
      <c r="A21" s="255" t="s">
        <v>273</v>
      </c>
      <c r="B21" s="275">
        <f ca="1">+B19/R14</f>
        <v>4.0969611911154495E-2</v>
      </c>
      <c r="C21" s="273"/>
      <c r="D21" s="273"/>
      <c r="E21" s="273"/>
      <c r="F21" s="273"/>
      <c r="G21" s="273"/>
      <c r="H21" s="273"/>
      <c r="I21" s="273"/>
    </row>
    <row r="22" spans="1:20" ht="19.5" customHeight="1">
      <c r="A22" s="268" t="str">
        <f>+'2) ROR'!$D$46&amp;"-year Growth Rate"</f>
        <v>1-year Growth Rate</v>
      </c>
      <c r="B22" s="293">
        <f ca="1">ROUND(B21*'2) ROR'!$D$46,4)</f>
        <v>4.1000000000000002E-2</v>
      </c>
      <c r="C22" s="275"/>
      <c r="D22" s="275"/>
      <c r="E22" s="275"/>
      <c r="F22" s="275"/>
      <c r="G22" s="275"/>
      <c r="H22" s="275"/>
      <c r="I22" s="275"/>
    </row>
    <row r="23" spans="1:20" ht="19.5" customHeight="1">
      <c r="C23" s="276"/>
      <c r="D23" s="276"/>
      <c r="E23" s="276"/>
      <c r="F23" s="276"/>
      <c r="G23" s="276"/>
      <c r="H23" s="276"/>
      <c r="I23" s="276"/>
      <c r="L23" s="277"/>
    </row>
    <row r="25" spans="1:20">
      <c r="S25" s="278"/>
      <c r="T25" s="278"/>
    </row>
    <row r="26" spans="1:20">
      <c r="S26" s="279"/>
      <c r="T26" s="279"/>
    </row>
    <row r="27" spans="1:20">
      <c r="S27" s="279"/>
      <c r="T27" s="279"/>
    </row>
    <row r="28" spans="1:20">
      <c r="S28" s="279"/>
      <c r="T28" s="279"/>
    </row>
    <row r="29" spans="1:20">
      <c r="S29" s="279"/>
      <c r="T29" s="279"/>
    </row>
    <row r="30" spans="1:20">
      <c r="S30" s="279"/>
      <c r="T30" s="279"/>
    </row>
    <row r="33" spans="19:21">
      <c r="S33" s="280"/>
      <c r="T33" s="280"/>
      <c r="U33" s="280"/>
    </row>
    <row r="34" spans="19:21">
      <c r="S34" s="279"/>
      <c r="T34" s="279"/>
      <c r="U34" s="279"/>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8" spans="19:21">
      <c r="S58" s="280"/>
      <c r="T58" s="280"/>
      <c r="U58" s="280"/>
    </row>
    <row r="59" spans="19:21">
      <c r="S59" s="279"/>
      <c r="T59" s="279"/>
      <c r="U59" s="279"/>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v>1</v>
      </c>
      <c r="C71" s="282">
        <v>1</v>
      </c>
      <c r="D71" s="282">
        <v>1</v>
      </c>
      <c r="E71" s="282">
        <v>1</v>
      </c>
      <c r="F71" s="282">
        <v>1</v>
      </c>
      <c r="G71" s="282">
        <v>1</v>
      </c>
      <c r="H71" s="282">
        <v>1</v>
      </c>
      <c r="I71" s="282">
        <v>1</v>
      </c>
      <c r="J71" s="282">
        <v>1</v>
      </c>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1</v>
      </c>
      <c r="C74" s="284">
        <f>+SUM($B71:C$71)</f>
        <v>2</v>
      </c>
      <c r="D74" s="284">
        <f>+SUM($B71:D$71)</f>
        <v>3</v>
      </c>
      <c r="E74" s="284">
        <f>+SUM($B71:E$71)</f>
        <v>4</v>
      </c>
      <c r="F74" s="284">
        <f>+SUM($B71:F$71)</f>
        <v>5</v>
      </c>
      <c r="G74" s="284">
        <f>+SUM($B71:G$71)</f>
        <v>6</v>
      </c>
      <c r="H74" s="284">
        <f>+SUM($B71:H$71)</f>
        <v>7</v>
      </c>
      <c r="I74" s="284">
        <f>+SUM($B71:I$71)</f>
        <v>8</v>
      </c>
      <c r="J74" s="284">
        <f>+SUM($B71:J$71)</f>
        <v>9</v>
      </c>
      <c r="K74" s="284">
        <f>+SUM($B71:K$71)</f>
        <v>10</v>
      </c>
      <c r="L74" s="284">
        <f>+SUM($B71:L$71)</f>
        <v>11</v>
      </c>
      <c r="M74" s="284">
        <f>+SUM($B71:M$71)</f>
        <v>12</v>
      </c>
      <c r="N74" s="284">
        <f>+SUM($B71:N$71)</f>
        <v>13</v>
      </c>
      <c r="O74" s="284">
        <f>+SUM($B71:O$71)</f>
        <v>14</v>
      </c>
      <c r="P74" s="284">
        <f>+SUM($B71:P$71)</f>
        <v>15</v>
      </c>
      <c r="Q74" s="284">
        <f>+SUM($B71:Q$71)</f>
        <v>16</v>
      </c>
      <c r="R74" s="284">
        <f>+SUM($B71:R$71)</f>
        <v>17</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2000</v>
      </c>
      <c r="C76" s="285">
        <f t="shared" ca="1" si="9"/>
        <v>2001</v>
      </c>
      <c r="D76" s="285">
        <f t="shared" ca="1" si="9"/>
        <v>2002</v>
      </c>
      <c r="E76" s="285">
        <f t="shared" ca="1" si="9"/>
        <v>2003</v>
      </c>
      <c r="F76" s="285">
        <f t="shared" ca="1" si="9"/>
        <v>2004</v>
      </c>
      <c r="G76" s="285">
        <f t="shared" ca="1" si="9"/>
        <v>2005</v>
      </c>
      <c r="H76" s="285">
        <f t="shared" ca="1" si="9"/>
        <v>2006</v>
      </c>
      <c r="I76" s="285">
        <f t="shared" ca="1" si="9"/>
        <v>2007</v>
      </c>
      <c r="J76" s="285">
        <f t="shared" ca="1" si="9"/>
        <v>2008</v>
      </c>
      <c r="K76" s="285">
        <f t="shared" ca="1" si="9"/>
        <v>2009</v>
      </c>
      <c r="L76" s="285">
        <f t="shared" ca="1" si="9"/>
        <v>2010</v>
      </c>
      <c r="M76" s="285">
        <f t="shared" ca="1" si="9"/>
        <v>2011</v>
      </c>
      <c r="N76" s="285">
        <f t="shared" ca="1" si="9"/>
        <v>2012</v>
      </c>
      <c r="O76" s="285">
        <f t="shared" ca="1" si="9"/>
        <v>2013</v>
      </c>
      <c r="P76" s="285">
        <f t="shared" ca="1" si="9"/>
        <v>2014</v>
      </c>
      <c r="Q76" s="285">
        <f t="shared" ca="1" si="9"/>
        <v>2015</v>
      </c>
      <c r="R76" s="285">
        <f t="shared" ca="1" si="9"/>
        <v>2016</v>
      </c>
    </row>
    <row r="77" spans="1:21">
      <c r="A77" s="283" t="s">
        <v>280</v>
      </c>
      <c r="B77" s="283">
        <f t="shared" ref="B77:R77" ca="1" si="10">+INDEX(14:14,1,MATCH(B$76,9:9,0))</f>
        <v>3956</v>
      </c>
      <c r="C77" s="283">
        <f t="shared" ca="1" si="10"/>
        <v>4655</v>
      </c>
      <c r="D77" s="283">
        <f t="shared" ca="1" si="10"/>
        <v>5482</v>
      </c>
      <c r="E77" s="283">
        <f t="shared" ca="1" si="10"/>
        <v>5762</v>
      </c>
      <c r="F77" s="283">
        <f t="shared" ca="1" si="10"/>
        <v>5958</v>
      </c>
      <c r="G77" s="283">
        <f t="shared" ca="1" si="10"/>
        <v>6084</v>
      </c>
      <c r="H77" s="283">
        <f t="shared" ca="1" si="10"/>
        <v>6359</v>
      </c>
      <c r="I77" s="283">
        <f t="shared" ca="1" si="10"/>
        <v>6467</v>
      </c>
      <c r="J77" s="283">
        <f t="shared" ca="1" si="10"/>
        <v>6123</v>
      </c>
      <c r="K77" s="283">
        <f t="shared" ca="1" si="10"/>
        <v>7700</v>
      </c>
      <c r="L77" s="283">
        <f t="shared" ca="1" si="10"/>
        <v>7696</v>
      </c>
      <c r="M77" s="283">
        <f t="shared" ca="1" si="10"/>
        <v>8854</v>
      </c>
      <c r="N77" s="283">
        <f t="shared" ca="1" si="10"/>
        <v>9511</v>
      </c>
      <c r="O77" s="283">
        <f t="shared" ca="1" si="10"/>
        <v>10820</v>
      </c>
      <c r="P77" s="283">
        <f t="shared" ca="1" si="10"/>
        <v>10704</v>
      </c>
      <c r="Q77" s="283">
        <f t="shared" ca="1" si="10"/>
        <v>12315</v>
      </c>
      <c r="R77" s="283">
        <f t="shared" ca="1" si="10"/>
        <v>12050</v>
      </c>
    </row>
    <row r="80" spans="1:21">
      <c r="A80" s="286"/>
      <c r="B80" s="287" t="s">
        <v>281</v>
      </c>
      <c r="C80" s="288"/>
    </row>
    <row r="81" spans="1:4">
      <c r="A81" s="286" t="s">
        <v>252</v>
      </c>
      <c r="B81" s="289">
        <f t="array" aca="1" ref="B81:C85" ca="1">+LINEST(
OFFSET($B77,0,0,1,SUM($B71:$R71)),
OFFSET($B76,0,0,1,SUM($B71:$R71)),
,
1)</f>
        <v>493.68382352941165</v>
      </c>
      <c r="C81" s="289">
        <f ca="1"/>
        <v>-983640.88235294097</v>
      </c>
      <c r="D81" s="255" t="s">
        <v>282</v>
      </c>
    </row>
    <row r="82" spans="1:4">
      <c r="A82" s="286" t="s">
        <v>283</v>
      </c>
      <c r="B82" s="289">
        <f ca="1"/>
        <v>35.14248372128975</v>
      </c>
      <c r="C82" s="289">
        <f ca="1"/>
        <v>70566.317326880249</v>
      </c>
      <c r="D82" s="255" t="s">
        <v>284</v>
      </c>
    </row>
    <row r="83" spans="1:4">
      <c r="A83" s="286" t="s">
        <v>285</v>
      </c>
      <c r="B83" s="289">
        <f ca="1"/>
        <v>0.92936126137910524</v>
      </c>
      <c r="C83" s="289">
        <f ca="1"/>
        <v>709.84337577894962</v>
      </c>
      <c r="D83" s="255" t="s">
        <v>286</v>
      </c>
    </row>
    <row r="84" spans="1:4">
      <c r="A84" s="290" t="s">
        <v>287</v>
      </c>
      <c r="B84" s="289">
        <f ca="1"/>
        <v>197.34807264187248</v>
      </c>
      <c r="C84" s="289">
        <f ca="1"/>
        <v>15</v>
      </c>
      <c r="D84" s="255" t="s">
        <v>288</v>
      </c>
    </row>
    <row r="85" spans="1:4">
      <c r="A85" s="290" t="s">
        <v>289</v>
      </c>
      <c r="B85" s="289">
        <f ca="1"/>
        <v>99439276.786764696</v>
      </c>
      <c r="C85" s="289">
        <f ca="1"/>
        <v>7558164.2720588259</v>
      </c>
      <c r="D85" s="255" t="s">
        <v>290</v>
      </c>
    </row>
    <row r="86" spans="1:4">
      <c r="A86" s="286"/>
    </row>
    <row r="87" spans="1:4">
      <c r="A87" s="286"/>
    </row>
    <row r="88" spans="1:4">
      <c r="A88" s="286" t="s">
        <v>291</v>
      </c>
      <c r="B88" s="255">
        <f ca="1">+B81/B82</f>
        <v>14.048062949811708</v>
      </c>
    </row>
    <row r="89" spans="1:4">
      <c r="A89" s="290" t="s">
        <v>292</v>
      </c>
      <c r="B89" s="291">
        <f ca="1">+TDIST(B88,C84,2)</f>
        <v>4.8805430206810457E-10</v>
      </c>
    </row>
  </sheetData>
  <conditionalFormatting sqref="B14:H14 J14:R14">
    <cfRule type="expression" dxfId="21" priority="2">
      <formula>B$71=1</formula>
    </cfRule>
  </conditionalFormatting>
  <conditionalFormatting sqref="B14:I14">
    <cfRule type="expression" dxfId="20"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333</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c r="A11" s="265" t="str">
        <f>+B4</f>
        <v>Distribution Depreciation Expense</v>
      </c>
      <c r="B11" s="239">
        <f>+'Cost Trends'!F32</f>
        <v>4184</v>
      </c>
      <c r="C11" s="239">
        <f>+'Cost Trends'!G32</f>
        <v>4390</v>
      </c>
      <c r="D11" s="239">
        <f>+'Cost Trends'!H32</f>
        <v>4496</v>
      </c>
      <c r="E11" s="239">
        <f>+'Cost Trends'!I32</f>
        <v>4707</v>
      </c>
      <c r="F11" s="239">
        <f>+'Cost Trends'!J32</f>
        <v>4902</v>
      </c>
      <c r="G11" s="239">
        <f>+'Cost Trends'!K32</f>
        <v>5088</v>
      </c>
      <c r="H11" s="239">
        <f>+'Cost Trends'!L32</f>
        <v>5369</v>
      </c>
      <c r="I11" s="239">
        <f>+'Cost Trends'!M32</f>
        <v>5605</v>
      </c>
      <c r="J11" s="239">
        <f>+'Cost Trends'!N32</f>
        <v>5673</v>
      </c>
      <c r="K11" s="239">
        <f>+'Cost Trends'!O32</f>
        <v>6064</v>
      </c>
      <c r="L11" s="239">
        <f>+'Cost Trends'!P32</f>
        <v>6367</v>
      </c>
      <c r="M11" s="239">
        <f>+'Cost Trends'!Q32</f>
        <v>6649</v>
      </c>
      <c r="N11" s="239">
        <f>+'Cost Trends'!R32</f>
        <v>6978</v>
      </c>
      <c r="O11" s="239">
        <f>+'Cost Trends'!S32</f>
        <v>7925</v>
      </c>
      <c r="P11" s="239">
        <f>+'Cost Trends'!T32</f>
        <v>8513</v>
      </c>
      <c r="Q11" s="239">
        <f>+'Cost Trends'!U32</f>
        <v>9088</v>
      </c>
      <c r="R11" s="239">
        <f>+'Cost Trends'!V32</f>
        <v>9866</v>
      </c>
    </row>
    <row r="12" spans="1:21" ht="8.25" customHeight="1">
      <c r="B12" s="264"/>
      <c r="C12" s="264"/>
      <c r="D12" s="264"/>
      <c r="E12" s="264"/>
      <c r="F12" s="264"/>
      <c r="G12" s="264"/>
      <c r="H12" s="264"/>
      <c r="I12" s="264"/>
      <c r="J12" s="264"/>
      <c r="K12" s="264"/>
      <c r="L12" s="264"/>
      <c r="M12" s="264"/>
      <c r="N12" s="264"/>
      <c r="O12" s="264"/>
      <c r="P12" s="264"/>
      <c r="Q12" s="264"/>
      <c r="R12" s="264"/>
    </row>
    <row r="13" spans="1:21" ht="8.25" customHeight="1">
      <c r="B13" s="264" t="s">
        <v>270</v>
      </c>
      <c r="C13" s="264" t="s">
        <v>270</v>
      </c>
      <c r="D13" s="264" t="s">
        <v>270</v>
      </c>
      <c r="E13" s="264" t="s">
        <v>270</v>
      </c>
      <c r="F13" s="264" t="s">
        <v>270</v>
      </c>
      <c r="G13" s="264" t="s">
        <v>270</v>
      </c>
      <c r="H13" s="264" t="s">
        <v>270</v>
      </c>
      <c r="I13" s="264" t="s">
        <v>270</v>
      </c>
      <c r="J13" s="264" t="s">
        <v>270</v>
      </c>
      <c r="K13" s="264" t="s">
        <v>270</v>
      </c>
      <c r="L13" s="264" t="s">
        <v>270</v>
      </c>
      <c r="M13" s="264" t="s">
        <v>270</v>
      </c>
      <c r="N13" s="264" t="s">
        <v>270</v>
      </c>
      <c r="O13" s="264" t="s">
        <v>270</v>
      </c>
      <c r="P13" s="264" t="s">
        <v>270</v>
      </c>
      <c r="Q13" s="264" t="s">
        <v>270</v>
      </c>
      <c r="R13" s="264" t="s">
        <v>270</v>
      </c>
    </row>
    <row r="14" spans="1:21" ht="26.25" customHeight="1">
      <c r="A14" s="266" t="str">
        <f>+"Total "&amp;B4</f>
        <v>Total Distribution Depreciation Expense</v>
      </c>
      <c r="B14" s="267">
        <f t="shared" ref="B14:P14" si="1">+SUM(B10:B13)</f>
        <v>4184</v>
      </c>
      <c r="C14" s="267">
        <f t="shared" si="1"/>
        <v>4390</v>
      </c>
      <c r="D14" s="267">
        <f t="shared" si="1"/>
        <v>4496</v>
      </c>
      <c r="E14" s="267">
        <f t="shared" si="1"/>
        <v>4707</v>
      </c>
      <c r="F14" s="267">
        <f t="shared" si="1"/>
        <v>4902</v>
      </c>
      <c r="G14" s="267">
        <f t="shared" si="1"/>
        <v>5088</v>
      </c>
      <c r="H14" s="267">
        <f t="shared" si="1"/>
        <v>5369</v>
      </c>
      <c r="I14" s="267">
        <f t="shared" si="1"/>
        <v>5605</v>
      </c>
      <c r="J14" s="267">
        <f t="shared" si="1"/>
        <v>5673</v>
      </c>
      <c r="K14" s="267">
        <f t="shared" si="1"/>
        <v>6064</v>
      </c>
      <c r="L14" s="267">
        <f t="shared" si="1"/>
        <v>6367</v>
      </c>
      <c r="M14" s="267">
        <f t="shared" si="1"/>
        <v>6649</v>
      </c>
      <c r="N14" s="267">
        <f t="shared" si="1"/>
        <v>6978</v>
      </c>
      <c r="O14" s="267">
        <f t="shared" si="1"/>
        <v>7925</v>
      </c>
      <c r="P14" s="267">
        <f t="shared" si="1"/>
        <v>8513</v>
      </c>
      <c r="Q14" s="267">
        <f t="shared" ref="Q14:R14" si="2">+SUM(Q10:Q13)</f>
        <v>9088</v>
      </c>
      <c r="R14" s="267">
        <f t="shared" si="2"/>
        <v>9866</v>
      </c>
    </row>
    <row r="15" spans="1:21">
      <c r="P15" s="268"/>
      <c r="R15" s="268"/>
    </row>
    <row r="16" spans="1:21">
      <c r="P16" s="268"/>
      <c r="R16" s="268"/>
    </row>
    <row r="17" spans="1:20">
      <c r="A17" s="269" t="s">
        <v>272</v>
      </c>
      <c r="B17" s="270"/>
      <c r="C17" s="271"/>
      <c r="D17" s="269" t="s">
        <v>326</v>
      </c>
      <c r="E17" s="269"/>
      <c r="F17" s="270"/>
      <c r="G17" s="270"/>
      <c r="H17" s="270"/>
      <c r="I17" s="270"/>
      <c r="J17" s="270"/>
      <c r="K17" s="270"/>
      <c r="L17" s="270"/>
      <c r="M17" s="270"/>
      <c r="N17" s="270"/>
      <c r="O17" s="270"/>
      <c r="P17" s="272"/>
      <c r="Q17" s="270"/>
      <c r="R17" s="272"/>
    </row>
    <row r="18" spans="1:20" ht="19.5" customHeight="1">
      <c r="A18" s="256"/>
      <c r="B18" s="273"/>
      <c r="C18" s="273"/>
      <c r="D18" s="273"/>
      <c r="E18" s="273"/>
      <c r="F18" s="273"/>
      <c r="G18" s="273"/>
      <c r="H18" s="273"/>
      <c r="I18" s="273"/>
    </row>
    <row r="19" spans="1:20" ht="19.5" customHeight="1">
      <c r="A19" s="255" t="s">
        <v>324</v>
      </c>
      <c r="B19" s="274">
        <f ca="1">+LINEST(
OFFSET($B$77,0,0,1,SUM($B$71:$R$71)),
OFFSET($B$76,0,0,1,SUM($B$71:$R$71)),
,
1)</f>
        <v>328.37254901960773</v>
      </c>
      <c r="C19" s="273"/>
      <c r="D19" s="273"/>
      <c r="E19" s="273"/>
      <c r="F19" s="273"/>
      <c r="G19" s="273"/>
      <c r="H19" s="273"/>
      <c r="I19" s="273"/>
    </row>
    <row r="20" spans="1:20" ht="19.5" customHeight="1">
      <c r="A20" s="256" t="s">
        <v>325</v>
      </c>
      <c r="B20" s="273">
        <f ca="1">RSQ(
OFFSET($B$77,0,0,1,SUM($B$71:$R$71)),
OFFSET($B$76,0,0,1,SUM($B$71:$R$71))
)</f>
        <v>0.92302322200000875</v>
      </c>
      <c r="C20" s="274"/>
      <c r="D20" s="274"/>
      <c r="E20" s="274"/>
      <c r="F20" s="274"/>
      <c r="G20" s="274"/>
      <c r="H20" s="274"/>
      <c r="I20" s="274"/>
    </row>
    <row r="21" spans="1:20" ht="19.5" customHeight="1">
      <c r="A21" s="255" t="s">
        <v>273</v>
      </c>
      <c r="B21" s="275">
        <f ca="1">+B19/R14</f>
        <v>3.3283250458099302E-2</v>
      </c>
      <c r="C21" s="273"/>
      <c r="D21" s="273"/>
      <c r="E21" s="273"/>
      <c r="F21" s="273"/>
      <c r="G21" s="273"/>
      <c r="H21" s="273"/>
      <c r="I21" s="273"/>
    </row>
    <row r="22" spans="1:20" ht="19.5" customHeight="1">
      <c r="A22" s="268" t="str">
        <f>+'2) ROR'!$D$46&amp;"-year Growth Rate"</f>
        <v>1-year Growth Rate</v>
      </c>
      <c r="B22" s="293">
        <f ca="1">ROUND(B21*'2) ROR'!$D$46,4)</f>
        <v>3.3300000000000003E-2</v>
      </c>
      <c r="C22" s="275"/>
      <c r="D22" s="275"/>
      <c r="E22" s="275"/>
      <c r="F22" s="275"/>
      <c r="G22" s="275"/>
      <c r="H22" s="275"/>
      <c r="I22" s="275"/>
    </row>
    <row r="23" spans="1:20" ht="19.5" customHeight="1">
      <c r="C23" s="276"/>
      <c r="D23" s="276"/>
      <c r="E23" s="276"/>
      <c r="F23" s="276"/>
      <c r="G23" s="276"/>
      <c r="H23" s="276"/>
      <c r="I23" s="276"/>
      <c r="L23" s="277"/>
    </row>
    <row r="25" spans="1:20">
      <c r="S25" s="278"/>
      <c r="T25" s="278"/>
    </row>
    <row r="26" spans="1:20">
      <c r="S26" s="279"/>
      <c r="T26" s="279"/>
    </row>
    <row r="27" spans="1:20">
      <c r="S27" s="279"/>
      <c r="T27" s="279"/>
    </row>
    <row r="28" spans="1:20">
      <c r="S28" s="279"/>
      <c r="T28" s="279"/>
    </row>
    <row r="29" spans="1:20">
      <c r="S29" s="279"/>
      <c r="T29" s="279"/>
    </row>
    <row r="30" spans="1:20">
      <c r="S30" s="279"/>
      <c r="T30" s="279"/>
    </row>
    <row r="33" spans="19:21">
      <c r="S33" s="280"/>
      <c r="T33" s="280"/>
      <c r="U33" s="280"/>
    </row>
    <row r="34" spans="19:21">
      <c r="S34" s="279"/>
      <c r="T34" s="279"/>
      <c r="U34" s="279"/>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8" spans="19:21">
      <c r="S58" s="280"/>
      <c r="T58" s="280"/>
      <c r="U58" s="280"/>
    </row>
    <row r="59" spans="19:21">
      <c r="S59" s="279"/>
      <c r="T59" s="279"/>
      <c r="U59" s="279"/>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v>1</v>
      </c>
      <c r="C71" s="282">
        <v>1</v>
      </c>
      <c r="D71" s="282">
        <v>1</v>
      </c>
      <c r="E71" s="282">
        <v>1</v>
      </c>
      <c r="F71" s="282">
        <v>1</v>
      </c>
      <c r="G71" s="282">
        <v>1</v>
      </c>
      <c r="H71" s="282">
        <v>1</v>
      </c>
      <c r="I71" s="282">
        <v>1</v>
      </c>
      <c r="J71" s="282">
        <v>1</v>
      </c>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1</v>
      </c>
      <c r="C74" s="284">
        <f>+SUM($B71:C$71)</f>
        <v>2</v>
      </c>
      <c r="D74" s="284">
        <f>+SUM($B71:D$71)</f>
        <v>3</v>
      </c>
      <c r="E74" s="284">
        <f>+SUM($B71:E$71)</f>
        <v>4</v>
      </c>
      <c r="F74" s="284">
        <f>+SUM($B71:F$71)</f>
        <v>5</v>
      </c>
      <c r="G74" s="284">
        <f>+SUM($B71:G$71)</f>
        <v>6</v>
      </c>
      <c r="H74" s="284">
        <f>+SUM($B71:H$71)</f>
        <v>7</v>
      </c>
      <c r="I74" s="284">
        <f>+SUM($B71:I$71)</f>
        <v>8</v>
      </c>
      <c r="J74" s="284">
        <f>+SUM($B71:J$71)</f>
        <v>9</v>
      </c>
      <c r="K74" s="284">
        <f>+SUM($B71:K$71)</f>
        <v>10</v>
      </c>
      <c r="L74" s="284">
        <f>+SUM($B71:L$71)</f>
        <v>11</v>
      </c>
      <c r="M74" s="284">
        <f>+SUM($B71:M$71)</f>
        <v>12</v>
      </c>
      <c r="N74" s="284">
        <f>+SUM($B71:N$71)</f>
        <v>13</v>
      </c>
      <c r="O74" s="284">
        <f>+SUM($B71:O$71)</f>
        <v>14</v>
      </c>
      <c r="P74" s="284">
        <f>+SUM($B71:P$71)</f>
        <v>15</v>
      </c>
      <c r="Q74" s="284">
        <f>+SUM($B71:Q$71)</f>
        <v>16</v>
      </c>
      <c r="R74" s="284">
        <f>+SUM($B71:R$71)</f>
        <v>17</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2000</v>
      </c>
      <c r="C76" s="285">
        <f t="shared" ca="1" si="9"/>
        <v>2001</v>
      </c>
      <c r="D76" s="285">
        <f t="shared" ca="1" si="9"/>
        <v>2002</v>
      </c>
      <c r="E76" s="285">
        <f t="shared" ca="1" si="9"/>
        <v>2003</v>
      </c>
      <c r="F76" s="285">
        <f t="shared" ca="1" si="9"/>
        <v>2004</v>
      </c>
      <c r="G76" s="285">
        <f t="shared" ca="1" si="9"/>
        <v>2005</v>
      </c>
      <c r="H76" s="285">
        <f t="shared" ca="1" si="9"/>
        <v>2006</v>
      </c>
      <c r="I76" s="285">
        <f t="shared" ca="1" si="9"/>
        <v>2007</v>
      </c>
      <c r="J76" s="285">
        <f t="shared" ca="1" si="9"/>
        <v>2008</v>
      </c>
      <c r="K76" s="285">
        <f t="shared" ca="1" si="9"/>
        <v>2009</v>
      </c>
      <c r="L76" s="285">
        <f t="shared" ca="1" si="9"/>
        <v>2010</v>
      </c>
      <c r="M76" s="285">
        <f t="shared" ca="1" si="9"/>
        <v>2011</v>
      </c>
      <c r="N76" s="285">
        <f t="shared" ca="1" si="9"/>
        <v>2012</v>
      </c>
      <c r="O76" s="285">
        <f t="shared" ca="1" si="9"/>
        <v>2013</v>
      </c>
      <c r="P76" s="285">
        <f t="shared" ca="1" si="9"/>
        <v>2014</v>
      </c>
      <c r="Q76" s="285">
        <f t="shared" ca="1" si="9"/>
        <v>2015</v>
      </c>
      <c r="R76" s="285">
        <f t="shared" ca="1" si="9"/>
        <v>2016</v>
      </c>
    </row>
    <row r="77" spans="1:21">
      <c r="A77" s="283" t="s">
        <v>280</v>
      </c>
      <c r="B77" s="283">
        <f t="shared" ref="B77:R77" ca="1" si="10">+INDEX(14:14,1,MATCH(B$76,9:9,0))</f>
        <v>4184</v>
      </c>
      <c r="C77" s="283">
        <f t="shared" ca="1" si="10"/>
        <v>4390</v>
      </c>
      <c r="D77" s="283">
        <f t="shared" ca="1" si="10"/>
        <v>4496</v>
      </c>
      <c r="E77" s="283">
        <f t="shared" ca="1" si="10"/>
        <v>4707</v>
      </c>
      <c r="F77" s="283">
        <f t="shared" ca="1" si="10"/>
        <v>4902</v>
      </c>
      <c r="G77" s="283">
        <f t="shared" ca="1" si="10"/>
        <v>5088</v>
      </c>
      <c r="H77" s="283">
        <f t="shared" ca="1" si="10"/>
        <v>5369</v>
      </c>
      <c r="I77" s="283">
        <f t="shared" ca="1" si="10"/>
        <v>5605</v>
      </c>
      <c r="J77" s="283">
        <f t="shared" ca="1" si="10"/>
        <v>5673</v>
      </c>
      <c r="K77" s="283">
        <f t="shared" ca="1" si="10"/>
        <v>6064</v>
      </c>
      <c r="L77" s="283">
        <f t="shared" ca="1" si="10"/>
        <v>6367</v>
      </c>
      <c r="M77" s="283">
        <f t="shared" ca="1" si="10"/>
        <v>6649</v>
      </c>
      <c r="N77" s="283">
        <f t="shared" ca="1" si="10"/>
        <v>6978</v>
      </c>
      <c r="O77" s="283">
        <f t="shared" ca="1" si="10"/>
        <v>7925</v>
      </c>
      <c r="P77" s="283">
        <f t="shared" ca="1" si="10"/>
        <v>8513</v>
      </c>
      <c r="Q77" s="283">
        <f t="shared" ca="1" si="10"/>
        <v>9088</v>
      </c>
      <c r="R77" s="283">
        <f t="shared" ca="1" si="10"/>
        <v>9866</v>
      </c>
    </row>
    <row r="80" spans="1:21">
      <c r="A80" s="286"/>
      <c r="B80" s="287" t="s">
        <v>281</v>
      </c>
      <c r="C80" s="288"/>
    </row>
    <row r="81" spans="1:4">
      <c r="A81" s="286" t="s">
        <v>252</v>
      </c>
      <c r="B81" s="289">
        <f t="array" aca="1" ref="B81:C85" ca="1">+LINEST(
OFFSET($B77,0,0,1,SUM($B71:$R71)),
OFFSET($B76,0,0,1,SUM($B71:$R71)),
,
1)</f>
        <v>328.37254901960773</v>
      </c>
      <c r="C81" s="289">
        <f ca="1"/>
        <v>-653144.78431372519</v>
      </c>
      <c r="D81" s="255" t="s">
        <v>282</v>
      </c>
    </row>
    <row r="82" spans="1:4">
      <c r="A82" s="286" t="s">
        <v>283</v>
      </c>
      <c r="B82" s="289">
        <f ca="1"/>
        <v>24.484698776513429</v>
      </c>
      <c r="C82" s="289">
        <f ca="1"/>
        <v>49165.421465922285</v>
      </c>
      <c r="D82" s="255" t="s">
        <v>284</v>
      </c>
    </row>
    <row r="83" spans="1:4">
      <c r="A83" s="286" t="s">
        <v>285</v>
      </c>
      <c r="B83" s="289">
        <f ca="1"/>
        <v>0.92302322200000841</v>
      </c>
      <c r="C83" s="289">
        <f ca="1"/>
        <v>494.56667241541066</v>
      </c>
      <c r="D83" s="255" t="s">
        <v>286</v>
      </c>
    </row>
    <row r="84" spans="1:4">
      <c r="A84" s="290" t="s">
        <v>287</v>
      </c>
      <c r="B84" s="289">
        <f ca="1"/>
        <v>179.8639627395375</v>
      </c>
      <c r="C84" s="289">
        <f ca="1"/>
        <v>15</v>
      </c>
      <c r="D84" s="255" t="s">
        <v>288</v>
      </c>
    </row>
    <row r="85" spans="1:4">
      <c r="A85" s="290" t="s">
        <v>289</v>
      </c>
      <c r="B85" s="289">
        <f ca="1"/>
        <v>43994040.62745098</v>
      </c>
      <c r="C85" s="289">
        <f ca="1"/>
        <v>3668942.9019607822</v>
      </c>
      <c r="D85" s="255" t="s">
        <v>290</v>
      </c>
    </row>
    <row r="86" spans="1:4">
      <c r="A86" s="286"/>
    </row>
    <row r="87" spans="1:4">
      <c r="A87" s="286"/>
    </row>
    <row r="88" spans="1:4">
      <c r="A88" s="286" t="s">
        <v>291</v>
      </c>
      <c r="B88" s="255">
        <f ca="1">+B81/B82</f>
        <v>13.411337097379121</v>
      </c>
    </row>
    <row r="89" spans="1:4">
      <c r="A89" s="290" t="s">
        <v>292</v>
      </c>
      <c r="B89" s="291">
        <f ca="1">+TDIST(B88,C84,2)</f>
        <v>9.3249191619213219E-10</v>
      </c>
    </row>
  </sheetData>
  <conditionalFormatting sqref="B14:H14 J14:R14">
    <cfRule type="expression" dxfId="19" priority="2">
      <formula>B$71=1</formula>
    </cfRule>
  </conditionalFormatting>
  <conditionalFormatting sqref="B14:I14">
    <cfRule type="expression" dxfId="1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335</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c r="A11" s="265" t="str">
        <f>+B4</f>
        <v>Distribution Taxes Other Than Income Taxes</v>
      </c>
      <c r="B11" s="239">
        <f>+'Cost Trends'!F33</f>
        <v>4919</v>
      </c>
      <c r="C11" s="239">
        <f>+'Cost Trends'!G33</f>
        <v>7315</v>
      </c>
      <c r="D11" s="239">
        <f>+'Cost Trends'!H33</f>
        <v>8070</v>
      </c>
      <c r="E11" s="239">
        <f>+'Cost Trends'!I33</f>
        <v>7205</v>
      </c>
      <c r="F11" s="239">
        <f>+'Cost Trends'!J33</f>
        <v>8213</v>
      </c>
      <c r="G11" s="239">
        <f>+'Cost Trends'!K33</f>
        <v>8573</v>
      </c>
      <c r="H11" s="239">
        <f>+'Cost Trends'!L33</f>
        <v>9457</v>
      </c>
      <c r="I11" s="239">
        <f>+'Cost Trends'!M33</f>
        <v>9844</v>
      </c>
      <c r="J11" s="239">
        <f>+'Cost Trends'!N33</f>
        <v>8941</v>
      </c>
      <c r="K11" s="239">
        <f>+'Cost Trends'!O33</f>
        <v>8746</v>
      </c>
      <c r="L11" s="239">
        <f>+'Cost Trends'!P33</f>
        <v>7223</v>
      </c>
      <c r="M11" s="239">
        <f>+'Cost Trends'!Q33</f>
        <v>8050.6743270000006</v>
      </c>
      <c r="N11" s="239">
        <f>+'Cost Trends'!R33</f>
        <v>7825</v>
      </c>
      <c r="O11" s="239">
        <f>+'Cost Trends'!S33</f>
        <v>8116</v>
      </c>
      <c r="P11" s="239">
        <f>+'Cost Trends'!T33</f>
        <v>8719</v>
      </c>
      <c r="Q11" s="239">
        <f>+'Cost Trends'!U33</f>
        <v>8554</v>
      </c>
      <c r="R11" s="239">
        <f>+'Cost Trends'!V33</f>
        <v>8383</v>
      </c>
    </row>
    <row r="12" spans="1:21" s="256" customFormat="1">
      <c r="A12" s="265" t="s">
        <v>297</v>
      </c>
      <c r="B12" s="239">
        <f>+'Riders and Gas Cost Revenue'!H32</f>
        <v>-2304</v>
      </c>
      <c r="C12" s="239">
        <f>+'Riders and Gas Cost Revenue'!J32</f>
        <v>-4287</v>
      </c>
      <c r="D12" s="239">
        <f>+'Riders and Gas Cost Revenue'!L32</f>
        <v>-4425</v>
      </c>
      <c r="E12" s="239">
        <f>+'Riders and Gas Cost Revenue'!N32</f>
        <v>-3899</v>
      </c>
      <c r="F12" s="239">
        <f>+'Riders and Gas Cost Revenue'!P32</f>
        <v>-4592</v>
      </c>
      <c r="G12" s="239">
        <f>+'Riders and Gas Cost Revenue'!R32</f>
        <v>-5240</v>
      </c>
      <c r="H12" s="239">
        <f>+'Riders and Gas Cost Revenue'!T32</f>
        <v>-6014</v>
      </c>
      <c r="I12" s="239">
        <f>+'Riders and Gas Cost Revenue'!W32</f>
        <v>-6261</v>
      </c>
      <c r="J12" s="239">
        <f>+'Riders and Gas Cost Revenue'!Z32</f>
        <v>-5917</v>
      </c>
      <c r="K12" s="239">
        <f>+'Riders and Gas Cost Revenue'!AC32</f>
        <v>-4858</v>
      </c>
      <c r="L12" s="239">
        <f>+'Riders and Gas Cost Revenue'!AF32</f>
        <v>-3171</v>
      </c>
      <c r="M12" s="239">
        <f>+'Riders and Gas Cost Revenue'!AI32</f>
        <v>-3374</v>
      </c>
      <c r="N12" s="239">
        <f>+'Riders and Gas Cost Revenue'!AL32</f>
        <v>-3003</v>
      </c>
      <c r="O12" s="239">
        <f>+'Riders and Gas Cost Revenue'!AO32</f>
        <v>-3083</v>
      </c>
      <c r="P12" s="239">
        <f>+'Riders and Gas Cost Revenue'!AR32</f>
        <v>-3380</v>
      </c>
      <c r="Q12" s="239">
        <f>+'[8]Riders and Gas Cost Revenue'!$AU$32</f>
        <v>-3197</v>
      </c>
      <c r="R12" s="239">
        <f>+'[8]Riders and Gas Cost Revenue'!$AX$32</f>
        <v>-2548</v>
      </c>
    </row>
    <row r="13" spans="1:21" s="256" customFormat="1" ht="8.25" customHeight="1">
      <c r="A13" s="255"/>
      <c r="B13" s="264"/>
      <c r="C13" s="264"/>
      <c r="D13" s="264"/>
      <c r="E13" s="264"/>
      <c r="F13" s="264"/>
      <c r="G13" s="264"/>
      <c r="H13" s="264"/>
      <c r="I13" s="264"/>
      <c r="J13" s="264"/>
      <c r="K13" s="264"/>
      <c r="L13" s="264"/>
      <c r="M13" s="264"/>
      <c r="N13" s="264"/>
      <c r="O13" s="264"/>
      <c r="P13" s="264"/>
      <c r="Q13" s="264"/>
      <c r="R13" s="264"/>
    </row>
    <row r="14" spans="1:21" s="256" customFormat="1" ht="8.25" customHeight="1">
      <c r="A14" s="255"/>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s="256" customFormat="1" ht="26.25" customHeight="1">
      <c r="A15" s="266" t="str">
        <f>+"Total "&amp;B4</f>
        <v>Total Distribution Taxes Other Than Income Taxes</v>
      </c>
      <c r="B15" s="267">
        <f t="shared" ref="B15:P15" si="1">+SUM(B10:B14)</f>
        <v>2615</v>
      </c>
      <c r="C15" s="267">
        <f t="shared" si="1"/>
        <v>3028</v>
      </c>
      <c r="D15" s="267">
        <f t="shared" si="1"/>
        <v>3645</v>
      </c>
      <c r="E15" s="267">
        <f t="shared" si="1"/>
        <v>3306</v>
      </c>
      <c r="F15" s="267">
        <f t="shared" si="1"/>
        <v>3621</v>
      </c>
      <c r="G15" s="267">
        <f t="shared" si="1"/>
        <v>3333</v>
      </c>
      <c r="H15" s="267">
        <f t="shared" si="1"/>
        <v>3443</v>
      </c>
      <c r="I15" s="267">
        <f t="shared" si="1"/>
        <v>3583</v>
      </c>
      <c r="J15" s="267">
        <f t="shared" si="1"/>
        <v>3024</v>
      </c>
      <c r="K15" s="267">
        <f t="shared" si="1"/>
        <v>3888</v>
      </c>
      <c r="L15" s="267">
        <f t="shared" si="1"/>
        <v>4052</v>
      </c>
      <c r="M15" s="267">
        <f t="shared" si="1"/>
        <v>4676.6743270000006</v>
      </c>
      <c r="N15" s="267">
        <f t="shared" si="1"/>
        <v>4822</v>
      </c>
      <c r="O15" s="267">
        <f t="shared" si="1"/>
        <v>5033</v>
      </c>
      <c r="P15" s="267">
        <f t="shared" si="1"/>
        <v>5339</v>
      </c>
      <c r="Q15" s="267">
        <f t="shared" ref="Q15:R15" si="2">+SUM(Q10:Q14)</f>
        <v>5357</v>
      </c>
      <c r="R15" s="267">
        <f t="shared" si="2"/>
        <v>5835</v>
      </c>
    </row>
    <row r="16" spans="1:21" s="256" customFormat="1">
      <c r="A16" s="255"/>
      <c r="B16" s="255"/>
      <c r="C16" s="255"/>
      <c r="D16" s="255"/>
      <c r="E16" s="255"/>
      <c r="F16" s="255"/>
      <c r="G16" s="255"/>
      <c r="H16" s="255"/>
      <c r="I16" s="255"/>
      <c r="J16" s="255"/>
      <c r="K16" s="255"/>
      <c r="L16" s="255"/>
      <c r="M16" s="255"/>
      <c r="N16" s="255"/>
      <c r="O16" s="255"/>
      <c r="P16" s="268"/>
      <c r="Q16" s="255"/>
      <c r="R16" s="268"/>
    </row>
    <row r="17" spans="1:20" s="256" customFormat="1">
      <c r="A17" s="255"/>
      <c r="B17" s="255"/>
      <c r="C17" s="255"/>
      <c r="D17" s="255"/>
      <c r="E17" s="255"/>
      <c r="F17" s="255"/>
      <c r="G17" s="255"/>
      <c r="H17" s="255"/>
      <c r="I17" s="255"/>
      <c r="J17" s="255"/>
      <c r="K17" s="255"/>
      <c r="L17" s="255"/>
      <c r="M17" s="255"/>
      <c r="N17" s="255"/>
      <c r="O17" s="255"/>
      <c r="P17" s="268"/>
      <c r="Q17" s="255"/>
      <c r="R17" s="268"/>
    </row>
    <row r="18" spans="1:20" s="256" customFormat="1">
      <c r="A18" s="269" t="s">
        <v>272</v>
      </c>
      <c r="B18" s="270"/>
      <c r="C18" s="271"/>
      <c r="D18" s="269" t="s">
        <v>326</v>
      </c>
      <c r="E18" s="269"/>
      <c r="F18" s="270"/>
      <c r="G18" s="270"/>
      <c r="H18" s="270"/>
      <c r="I18" s="270"/>
      <c r="J18" s="270"/>
      <c r="K18" s="270"/>
      <c r="L18" s="270"/>
      <c r="M18" s="270"/>
      <c r="N18" s="270"/>
      <c r="O18" s="270"/>
      <c r="P18" s="272"/>
      <c r="Q18" s="270"/>
      <c r="R18" s="272"/>
    </row>
    <row r="19" spans="1:20" s="256" customFormat="1" ht="19.5" customHeight="1">
      <c r="B19" s="273"/>
      <c r="C19" s="273"/>
      <c r="D19" s="273"/>
      <c r="E19" s="273"/>
      <c r="F19" s="273"/>
      <c r="G19" s="273"/>
      <c r="H19" s="273"/>
      <c r="I19" s="273"/>
      <c r="J19" s="255"/>
      <c r="K19" s="255"/>
      <c r="L19" s="255"/>
      <c r="M19" s="255"/>
      <c r="N19" s="255"/>
      <c r="O19" s="255"/>
      <c r="P19" s="255"/>
      <c r="Q19" s="255"/>
      <c r="R19" s="255"/>
    </row>
    <row r="20" spans="1:20" ht="19.5" customHeight="1">
      <c r="A20" s="255" t="s">
        <v>324</v>
      </c>
      <c r="B20" s="274">
        <f ca="1">+LINEST(
OFFSET($B$77,0,0,1,SUM($B$71:$R$71)),
OFFSET($B$76,0,0,1,SUM($B$71:$R$71)),
,
1)</f>
        <v>174.55887985539215</v>
      </c>
      <c r="C20" s="273"/>
      <c r="D20" s="273"/>
      <c r="E20" s="273"/>
      <c r="F20" s="273"/>
      <c r="G20" s="273"/>
      <c r="H20" s="273"/>
      <c r="I20" s="273"/>
    </row>
    <row r="21" spans="1:20" ht="19.5" customHeight="1">
      <c r="A21" s="256" t="s">
        <v>325</v>
      </c>
      <c r="B21" s="273">
        <f ca="1">RSQ(
OFFSET($B$77,0,0,1,SUM($B$71:$R$71)),
OFFSET($B$76,0,0,1,SUM($B$71:$R$71))
)</f>
        <v>0.84616956421078648</v>
      </c>
      <c r="C21" s="274"/>
      <c r="D21" s="274"/>
      <c r="E21" s="274"/>
      <c r="F21" s="274"/>
      <c r="G21" s="274"/>
      <c r="H21" s="274"/>
      <c r="I21" s="274"/>
    </row>
    <row r="22" spans="1:20" ht="19.5" customHeight="1">
      <c r="A22" s="255" t="s">
        <v>273</v>
      </c>
      <c r="B22" s="275">
        <f ca="1">+B20/R15</f>
        <v>2.9915832023203453E-2</v>
      </c>
      <c r="C22" s="273"/>
      <c r="D22" s="273"/>
      <c r="E22" s="273"/>
      <c r="F22" s="273"/>
      <c r="G22" s="273"/>
      <c r="H22" s="273"/>
      <c r="I22" s="273"/>
    </row>
    <row r="23" spans="1:20" ht="19.5" customHeight="1">
      <c r="A23" s="268" t="str">
        <f>+'2) ROR'!$D$46&amp;"-year Growth Rate"</f>
        <v>1-year Growth Rate</v>
      </c>
      <c r="B23" s="293">
        <f ca="1">ROUND(B22*'2) ROR'!$D$46,4)</f>
        <v>2.9899999999999999E-2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v>1</v>
      </c>
      <c r="C71" s="282">
        <v>1</v>
      </c>
      <c r="D71" s="282">
        <v>1</v>
      </c>
      <c r="E71" s="282">
        <v>1</v>
      </c>
      <c r="F71" s="282">
        <v>1</v>
      </c>
      <c r="G71" s="282">
        <v>1</v>
      </c>
      <c r="H71" s="282">
        <v>1</v>
      </c>
      <c r="I71" s="282">
        <v>1</v>
      </c>
      <c r="J71" s="282">
        <v>1</v>
      </c>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1</v>
      </c>
      <c r="C74" s="284">
        <f>+SUM($B71:C$71)</f>
        <v>2</v>
      </c>
      <c r="D74" s="284">
        <f>+SUM($B71:D$71)</f>
        <v>3</v>
      </c>
      <c r="E74" s="284">
        <f>+SUM($B71:E$71)</f>
        <v>4</v>
      </c>
      <c r="F74" s="284">
        <f>+SUM($B71:F$71)</f>
        <v>5</v>
      </c>
      <c r="G74" s="284">
        <f>+SUM($B71:G$71)</f>
        <v>6</v>
      </c>
      <c r="H74" s="284">
        <f>+SUM($B71:H$71)</f>
        <v>7</v>
      </c>
      <c r="I74" s="284">
        <f>+SUM($B71:I$71)</f>
        <v>8</v>
      </c>
      <c r="J74" s="284">
        <f>+SUM($B71:J$71)</f>
        <v>9</v>
      </c>
      <c r="K74" s="284">
        <f>+SUM($B71:K$71)</f>
        <v>10</v>
      </c>
      <c r="L74" s="284">
        <f>+SUM($B71:L$71)</f>
        <v>11</v>
      </c>
      <c r="M74" s="284">
        <f>+SUM($B71:M$71)</f>
        <v>12</v>
      </c>
      <c r="N74" s="284">
        <f>+SUM($B71:N$71)</f>
        <v>13</v>
      </c>
      <c r="O74" s="284">
        <f>+SUM($B71:O$71)</f>
        <v>14</v>
      </c>
      <c r="P74" s="284">
        <f>+SUM($B71:P$71)</f>
        <v>15</v>
      </c>
      <c r="Q74" s="284">
        <f>+SUM($B71:Q$71)</f>
        <v>16</v>
      </c>
      <c r="R74" s="284">
        <f>+SUM($B71:R$71)</f>
        <v>17</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2000</v>
      </c>
      <c r="C76" s="285">
        <f t="shared" ca="1" si="9"/>
        <v>2001</v>
      </c>
      <c r="D76" s="285">
        <f t="shared" ca="1" si="9"/>
        <v>2002</v>
      </c>
      <c r="E76" s="285">
        <f t="shared" ca="1" si="9"/>
        <v>2003</v>
      </c>
      <c r="F76" s="285">
        <f t="shared" ca="1" si="9"/>
        <v>2004</v>
      </c>
      <c r="G76" s="285">
        <f t="shared" ca="1" si="9"/>
        <v>2005</v>
      </c>
      <c r="H76" s="285">
        <f t="shared" ca="1" si="9"/>
        <v>2006</v>
      </c>
      <c r="I76" s="285">
        <f t="shared" ca="1" si="9"/>
        <v>2007</v>
      </c>
      <c r="J76" s="285">
        <f t="shared" ca="1" si="9"/>
        <v>2008</v>
      </c>
      <c r="K76" s="285">
        <f t="shared" ca="1" si="9"/>
        <v>2009</v>
      </c>
      <c r="L76" s="285">
        <f t="shared" ca="1" si="9"/>
        <v>2010</v>
      </c>
      <c r="M76" s="285">
        <f t="shared" ca="1" si="9"/>
        <v>2011</v>
      </c>
      <c r="N76" s="285">
        <f t="shared" ca="1" si="9"/>
        <v>2012</v>
      </c>
      <c r="O76" s="285">
        <f t="shared" ca="1" si="9"/>
        <v>2013</v>
      </c>
      <c r="P76" s="285">
        <f t="shared" ca="1" si="9"/>
        <v>2014</v>
      </c>
      <c r="Q76" s="285">
        <f t="shared" ca="1" si="9"/>
        <v>2015</v>
      </c>
      <c r="R76" s="285">
        <f t="shared" ca="1" si="9"/>
        <v>2016</v>
      </c>
    </row>
    <row r="77" spans="1:21">
      <c r="A77" s="283" t="s">
        <v>280</v>
      </c>
      <c r="B77" s="283">
        <f t="shared" ref="B77:R77" ca="1" si="10">+INDEX(15:15,1,MATCH(B$76,9:9,0))</f>
        <v>2615</v>
      </c>
      <c r="C77" s="283">
        <f t="shared" ca="1" si="10"/>
        <v>3028</v>
      </c>
      <c r="D77" s="283">
        <f t="shared" ca="1" si="10"/>
        <v>3645</v>
      </c>
      <c r="E77" s="283">
        <f t="shared" ca="1" si="10"/>
        <v>3306</v>
      </c>
      <c r="F77" s="283">
        <f t="shared" ca="1" si="10"/>
        <v>3621</v>
      </c>
      <c r="G77" s="283">
        <f t="shared" ca="1" si="10"/>
        <v>3333</v>
      </c>
      <c r="H77" s="283">
        <f t="shared" ca="1" si="10"/>
        <v>3443</v>
      </c>
      <c r="I77" s="283">
        <f t="shared" ca="1" si="10"/>
        <v>3583</v>
      </c>
      <c r="J77" s="283">
        <f t="shared" ca="1" si="10"/>
        <v>3024</v>
      </c>
      <c r="K77" s="283">
        <f t="shared" ca="1" si="10"/>
        <v>3888</v>
      </c>
      <c r="L77" s="283">
        <f t="shared" ca="1" si="10"/>
        <v>4052</v>
      </c>
      <c r="M77" s="283">
        <f t="shared" ca="1" si="10"/>
        <v>4676.6743270000006</v>
      </c>
      <c r="N77" s="283">
        <f t="shared" ca="1" si="10"/>
        <v>4822</v>
      </c>
      <c r="O77" s="283">
        <f t="shared" ca="1" si="10"/>
        <v>5033</v>
      </c>
      <c r="P77" s="283">
        <f t="shared" ca="1" si="10"/>
        <v>5339</v>
      </c>
      <c r="Q77" s="283">
        <f t="shared" ca="1" si="10"/>
        <v>5357</v>
      </c>
      <c r="R77" s="283">
        <f t="shared" ca="1" si="10"/>
        <v>5835</v>
      </c>
    </row>
    <row r="80" spans="1:21">
      <c r="A80" s="286"/>
      <c r="B80" s="287" t="s">
        <v>281</v>
      </c>
      <c r="C80" s="288"/>
    </row>
    <row r="81" spans="1:4">
      <c r="A81" s="286" t="s">
        <v>252</v>
      </c>
      <c r="B81" s="289">
        <f t="array" aca="1" ref="B81:C85" ca="1">+LINEST(
OFFSET($B77,0,0,1,SUM($B71:$R71)),
OFFSET($B76,0,0,1,SUM($B71:$R71)),
,
1)</f>
        <v>174.55887985539215</v>
      </c>
      <c r="C81" s="289">
        <f ca="1"/>
        <v>-346478.89696568629</v>
      </c>
      <c r="D81" s="255" t="s">
        <v>282</v>
      </c>
    </row>
    <row r="82" spans="1:4">
      <c r="A82" s="286" t="s">
        <v>283</v>
      </c>
      <c r="B82" s="289">
        <f ca="1"/>
        <v>19.217139906647681</v>
      </c>
      <c r="C82" s="289">
        <f ca="1"/>
        <v>38588.131775843227</v>
      </c>
      <c r="D82" s="255" t="s">
        <v>284</v>
      </c>
    </row>
    <row r="83" spans="1:4">
      <c r="A83" s="286" t="s">
        <v>285</v>
      </c>
      <c r="B83" s="289">
        <f ca="1"/>
        <v>0.84616956421078593</v>
      </c>
      <c r="C83" s="289">
        <f ca="1"/>
        <v>388.16719877676644</v>
      </c>
      <c r="D83" s="255" t="s">
        <v>286</v>
      </c>
    </row>
    <row r="84" spans="1:4">
      <c r="A84" s="290" t="s">
        <v>287</v>
      </c>
      <c r="B84" s="289">
        <f ca="1"/>
        <v>82.509962336411334</v>
      </c>
      <c r="C84" s="289">
        <f ca="1"/>
        <v>15</v>
      </c>
      <c r="D84" s="255" t="s">
        <v>288</v>
      </c>
    </row>
    <row r="85" spans="1:4">
      <c r="A85" s="290" t="s">
        <v>289</v>
      </c>
      <c r="B85" s="289">
        <f ca="1"/>
        <v>12432087.434838649</v>
      </c>
      <c r="C85" s="289">
        <f ca="1"/>
        <v>2260106.613093026</v>
      </c>
      <c r="D85" s="255" t="s">
        <v>290</v>
      </c>
    </row>
    <row r="86" spans="1:4">
      <c r="A86" s="286"/>
    </row>
    <row r="87" spans="1:4">
      <c r="A87" s="286"/>
    </row>
    <row r="88" spans="1:4">
      <c r="A88" s="286" t="s">
        <v>291</v>
      </c>
      <c r="B88" s="255">
        <f ca="1">+B81/B82</f>
        <v>9.0834994543078675</v>
      </c>
    </row>
    <row r="89" spans="1:4">
      <c r="A89" s="290" t="s">
        <v>292</v>
      </c>
      <c r="B89" s="291">
        <f ca="1">+TDIST(B88,C84,2)</f>
        <v>1.7426482945090054E-7</v>
      </c>
    </row>
  </sheetData>
  <conditionalFormatting sqref="B15:H15 J15:R15">
    <cfRule type="expression" dxfId="17" priority="2">
      <formula>B$71=1</formula>
    </cfRule>
  </conditionalFormatting>
  <conditionalFormatting sqref="B15:I15">
    <cfRule type="expression" dxfId="16"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298</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c r="A11" s="265" t="str">
        <f>+B4</f>
        <v>Customer Accounting and Sales</v>
      </c>
      <c r="B11" s="239">
        <f>+'Cost Trends'!F36+'Cost Trends'!F38</f>
        <v>3878</v>
      </c>
      <c r="C11" s="239">
        <f>+'Cost Trends'!G36+'Cost Trends'!G38</f>
        <v>3812</v>
      </c>
      <c r="D11" s="239">
        <f>+'Cost Trends'!H36+'Cost Trends'!H38</f>
        <v>4483</v>
      </c>
      <c r="E11" s="239">
        <f>+'Cost Trends'!I36+'Cost Trends'!I38</f>
        <v>4613</v>
      </c>
      <c r="F11" s="239">
        <f>+'Cost Trends'!J36+'Cost Trends'!J38</f>
        <v>4764</v>
      </c>
      <c r="G11" s="239">
        <f>+'Cost Trends'!K36+'Cost Trends'!K38</f>
        <v>4569</v>
      </c>
      <c r="H11" s="239">
        <f>+'Cost Trends'!L36+'Cost Trends'!L38</f>
        <v>4721</v>
      </c>
      <c r="I11" s="239">
        <f>+'Cost Trends'!M36+'Cost Trends'!M38</f>
        <v>5003</v>
      </c>
      <c r="J11" s="239">
        <f>+'Cost Trends'!N36+'Cost Trends'!N38</f>
        <v>5134</v>
      </c>
      <c r="K11" s="239">
        <f>+'Cost Trends'!O36+'Cost Trends'!O38</f>
        <v>6083</v>
      </c>
      <c r="L11" s="239">
        <f>+'Cost Trends'!P36+'Cost Trends'!P38</f>
        <v>5339</v>
      </c>
      <c r="M11" s="239">
        <f>+'Cost Trends'!Q36+'Cost Trends'!Q38</f>
        <v>5742.734942</v>
      </c>
      <c r="N11" s="239">
        <f>+'Cost Trends'!R36+'Cost Trends'!R38</f>
        <v>5799</v>
      </c>
      <c r="O11" s="239">
        <f>+'Cost Trends'!S36+'Cost Trends'!S38</f>
        <v>6273</v>
      </c>
      <c r="P11" s="239">
        <f>+'Cost Trends'!T36+'Cost Trends'!T38</f>
        <v>6108</v>
      </c>
      <c r="Q11" s="239">
        <f>+'Cost Trends'!U36+'Cost Trends'!U38</f>
        <v>6632</v>
      </c>
      <c r="R11" s="239">
        <f>+'Cost Trends'!V36+'Cost Trends'!V38</f>
        <v>6811</v>
      </c>
    </row>
    <row r="12" spans="1:21" s="256" customFormat="1">
      <c r="A12" s="265" t="s">
        <v>299</v>
      </c>
      <c r="B12" s="239">
        <f>+SUM('Riders and Gas Cost Revenue'!G35:H35)</f>
        <v>-290</v>
      </c>
      <c r="C12" s="239">
        <f>+SUM('Riders and Gas Cost Revenue'!I35:J35)</f>
        <v>-545</v>
      </c>
      <c r="D12" s="239">
        <f>+SUM('Riders and Gas Cost Revenue'!K35:L35)</f>
        <v>-566</v>
      </c>
      <c r="E12" s="239">
        <f>+SUM('Riders and Gas Cost Revenue'!M35:N35)</f>
        <v>-501</v>
      </c>
      <c r="F12" s="239">
        <f>+SUM('Riders and Gas Cost Revenue'!O35:P35)</f>
        <v>-578</v>
      </c>
      <c r="G12" s="239">
        <f>+SUM('Riders and Gas Cost Revenue'!Q35:R35)</f>
        <v>-674</v>
      </c>
      <c r="H12" s="239">
        <f>+SUM('Riders and Gas Cost Revenue'!S35:T35)</f>
        <v>-757</v>
      </c>
      <c r="I12" s="239">
        <f>+SUM('Riders and Gas Cost Revenue'!U35:W35)</f>
        <v>-807</v>
      </c>
      <c r="J12" s="239">
        <f>+SUM('Riders and Gas Cost Revenue'!X35:Z35)</f>
        <v>-769</v>
      </c>
      <c r="K12" s="239">
        <f>+SUM('Riders and Gas Cost Revenue'!AA35:AC35)</f>
        <v>-650</v>
      </c>
      <c r="L12" s="239">
        <f>+SUM('Riders and Gas Cost Revenue'!AD35:AF35)</f>
        <v>-444</v>
      </c>
      <c r="M12" s="239">
        <f>+SUM('Riders and Gas Cost Revenue'!AG35:AI35)</f>
        <v>-472</v>
      </c>
      <c r="N12" s="239">
        <f>+SUM('Riders and Gas Cost Revenue'!AJ35:AL35)</f>
        <v>-409</v>
      </c>
      <c r="O12" s="239">
        <f>+SUM('Riders and Gas Cost Revenue'!AO35)</f>
        <v>-388</v>
      </c>
      <c r="P12" s="239">
        <f>+'Riders and Gas Cost Revenue'!AR35</f>
        <v>-426</v>
      </c>
      <c r="Q12" s="239">
        <f>+'[8]Riders and Gas Cost Revenue'!$AU$35</f>
        <v>-403</v>
      </c>
      <c r="R12" s="239">
        <f>+'[8]Riders and Gas Cost Revenue'!$AX$35</f>
        <v>-321</v>
      </c>
    </row>
    <row r="13" spans="1:21" s="256" customFormat="1" ht="8.25" customHeight="1">
      <c r="A13" s="255"/>
      <c r="B13" s="264"/>
      <c r="C13" s="264"/>
      <c r="D13" s="264"/>
      <c r="E13" s="264"/>
      <c r="F13" s="264"/>
      <c r="G13" s="264"/>
      <c r="H13" s="264"/>
      <c r="I13" s="264"/>
      <c r="J13" s="264"/>
      <c r="K13" s="264"/>
      <c r="L13" s="264"/>
      <c r="M13" s="264"/>
      <c r="N13" s="264"/>
      <c r="O13" s="264"/>
      <c r="P13" s="264"/>
      <c r="Q13" s="264"/>
      <c r="R13" s="264"/>
    </row>
    <row r="14" spans="1:21" s="256" customFormat="1" ht="8.25" customHeight="1">
      <c r="A14" s="255"/>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s="256" customFormat="1" ht="26.25" customHeight="1">
      <c r="A15" s="266" t="str">
        <f>+"Total "&amp;B4</f>
        <v>Total Customer Accounting and Sales</v>
      </c>
      <c r="B15" s="267">
        <f t="shared" ref="B15:P15" si="1">+SUM(B10:B14)</f>
        <v>3588</v>
      </c>
      <c r="C15" s="267">
        <f t="shared" si="1"/>
        <v>3267</v>
      </c>
      <c r="D15" s="267">
        <f t="shared" si="1"/>
        <v>3917</v>
      </c>
      <c r="E15" s="267">
        <f t="shared" si="1"/>
        <v>4112</v>
      </c>
      <c r="F15" s="267">
        <f t="shared" si="1"/>
        <v>4186</v>
      </c>
      <c r="G15" s="267">
        <f t="shared" si="1"/>
        <v>3895</v>
      </c>
      <c r="H15" s="267">
        <f t="shared" si="1"/>
        <v>3964</v>
      </c>
      <c r="I15" s="267">
        <f t="shared" si="1"/>
        <v>4196</v>
      </c>
      <c r="J15" s="267">
        <f t="shared" si="1"/>
        <v>4365</v>
      </c>
      <c r="K15" s="267">
        <f t="shared" si="1"/>
        <v>5433</v>
      </c>
      <c r="L15" s="267">
        <f t="shared" si="1"/>
        <v>4895</v>
      </c>
      <c r="M15" s="267">
        <f t="shared" si="1"/>
        <v>5270.734942</v>
      </c>
      <c r="N15" s="267">
        <f t="shared" si="1"/>
        <v>5390</v>
      </c>
      <c r="O15" s="267">
        <f t="shared" si="1"/>
        <v>5885</v>
      </c>
      <c r="P15" s="267">
        <f t="shared" si="1"/>
        <v>5682</v>
      </c>
      <c r="Q15" s="267">
        <f t="shared" ref="Q15:R15" si="2">+SUM(Q10:Q14)</f>
        <v>6229</v>
      </c>
      <c r="R15" s="267">
        <f t="shared" si="2"/>
        <v>6490</v>
      </c>
    </row>
    <row r="16" spans="1:21" s="256" customFormat="1">
      <c r="A16" s="255"/>
      <c r="B16" s="255"/>
      <c r="C16" s="255"/>
      <c r="D16" s="255"/>
      <c r="E16" s="255"/>
      <c r="F16" s="255"/>
      <c r="G16" s="255"/>
      <c r="H16" s="255"/>
      <c r="I16" s="255"/>
      <c r="J16" s="255"/>
      <c r="K16" s="255"/>
      <c r="L16" s="255"/>
      <c r="M16" s="255"/>
      <c r="N16" s="255"/>
      <c r="O16" s="255"/>
      <c r="P16" s="268"/>
      <c r="Q16" s="255"/>
      <c r="R16" s="268"/>
    </row>
    <row r="17" spans="1:20" s="256" customFormat="1">
      <c r="A17" s="255"/>
      <c r="B17" s="255"/>
      <c r="C17" s="255"/>
      <c r="D17" s="255"/>
      <c r="E17" s="255"/>
      <c r="F17" s="255"/>
      <c r="G17" s="255"/>
      <c r="H17" s="255"/>
      <c r="I17" s="255"/>
      <c r="J17" s="255"/>
      <c r="K17" s="255"/>
      <c r="L17" s="255"/>
      <c r="M17" s="255"/>
      <c r="N17" s="255"/>
      <c r="O17" s="255"/>
      <c r="P17" s="268"/>
      <c r="Q17" s="255"/>
      <c r="R17" s="268"/>
    </row>
    <row r="18" spans="1:20" s="256" customFormat="1">
      <c r="A18" s="269" t="s">
        <v>272</v>
      </c>
      <c r="B18" s="270"/>
      <c r="C18" s="271"/>
      <c r="D18" s="269" t="s">
        <v>326</v>
      </c>
      <c r="E18" s="269"/>
      <c r="F18" s="270"/>
      <c r="G18" s="270"/>
      <c r="H18" s="270"/>
      <c r="I18" s="270"/>
      <c r="J18" s="270"/>
      <c r="K18" s="270"/>
      <c r="L18" s="270"/>
      <c r="M18" s="270"/>
      <c r="N18" s="270"/>
      <c r="O18" s="270"/>
      <c r="P18" s="272"/>
      <c r="Q18" s="270"/>
      <c r="R18" s="272"/>
    </row>
    <row r="19" spans="1:20" s="256" customFormat="1" ht="19.5" customHeight="1">
      <c r="B19" s="273"/>
      <c r="C19" s="273"/>
      <c r="D19" s="273"/>
      <c r="E19" s="273"/>
      <c r="F19" s="273"/>
      <c r="G19" s="273"/>
      <c r="H19" s="273"/>
      <c r="I19" s="273"/>
      <c r="J19" s="255"/>
      <c r="K19" s="255"/>
      <c r="L19" s="255"/>
      <c r="M19" s="255"/>
      <c r="N19" s="255"/>
      <c r="O19" s="255"/>
      <c r="P19" s="255"/>
      <c r="Q19" s="255"/>
      <c r="R19" s="255"/>
    </row>
    <row r="20" spans="1:20" ht="19.5" customHeight="1">
      <c r="A20" s="255" t="s">
        <v>324</v>
      </c>
      <c r="B20" s="274">
        <f ca="1">+LINEST(
OFFSET($B$77,0,0,1,SUM($B$71:$R$71)),
OFFSET($B$76,0,0,1,SUM($B$71:$R$71)),
,
1)</f>
        <v>188.06899016666665</v>
      </c>
      <c r="C20" s="273"/>
      <c r="D20" s="273"/>
      <c r="E20" s="273"/>
      <c r="F20" s="273"/>
      <c r="G20" s="273"/>
      <c r="H20" s="273"/>
      <c r="I20" s="273"/>
    </row>
    <row r="21" spans="1:20" ht="19.5" customHeight="1">
      <c r="A21" s="256" t="s">
        <v>325</v>
      </c>
      <c r="B21" s="273">
        <f ca="1">RSQ(
OFFSET($B$77,0,0,1,SUM($B$71:$R$71)),
OFFSET($B$76,0,0,1,SUM($B$71:$R$71))
)</f>
        <v>0.77172881102022417</v>
      </c>
      <c r="C21" s="274"/>
      <c r="D21" s="274"/>
      <c r="E21" s="274"/>
      <c r="F21" s="274"/>
      <c r="G21" s="274"/>
      <c r="H21" s="274"/>
      <c r="I21" s="274"/>
    </row>
    <row r="22" spans="1:20" ht="19.5" customHeight="1">
      <c r="A22" s="255" t="s">
        <v>273</v>
      </c>
      <c r="B22" s="275">
        <f ca="1">+B20/R15</f>
        <v>2.8978272752953258E-2</v>
      </c>
      <c r="C22" s="273"/>
      <c r="D22" s="273"/>
      <c r="E22" s="273"/>
      <c r="F22" s="273"/>
      <c r="G22" s="273"/>
      <c r="H22" s="273"/>
      <c r="I22" s="273"/>
    </row>
    <row r="23" spans="1:20" ht="19.5" customHeight="1">
      <c r="A23" s="268" t="str">
        <f>+'2) ROR'!$D$46&amp;"-year Growth Rate"</f>
        <v>1-year Growth Rate</v>
      </c>
      <c r="B23" s="293">
        <f ca="1">ROUND(B22*'2) ROR'!$D$46,4)</f>
        <v>2.9000000000000001E-2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c r="C71" s="282"/>
      <c r="D71" s="282"/>
      <c r="E71" s="282"/>
      <c r="F71" s="282"/>
      <c r="G71" s="282"/>
      <c r="H71" s="282"/>
      <c r="I71" s="282"/>
      <c r="J71" s="282"/>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0</v>
      </c>
      <c r="C74" s="284">
        <f>+SUM($B71:C$71)</f>
        <v>0</v>
      </c>
      <c r="D74" s="284">
        <f>+SUM($B71:D$71)</f>
        <v>0</v>
      </c>
      <c r="E74" s="284">
        <f>+SUM($B71:E$71)</f>
        <v>0</v>
      </c>
      <c r="F74" s="284">
        <f>+SUM($B71:F$71)</f>
        <v>0</v>
      </c>
      <c r="G74" s="284">
        <f>+SUM($B71:G$71)</f>
        <v>0</v>
      </c>
      <c r="H74" s="284">
        <f>+SUM($B71:H$71)</f>
        <v>0</v>
      </c>
      <c r="I74" s="284">
        <f>+SUM($B71:I$71)</f>
        <v>0</v>
      </c>
      <c r="J74" s="284">
        <f>+SUM($B71:J$71)</f>
        <v>0</v>
      </c>
      <c r="K74" s="284">
        <f>+SUM($B71:K$71)</f>
        <v>1</v>
      </c>
      <c r="L74" s="284">
        <f>+SUM($B71:L$71)</f>
        <v>2</v>
      </c>
      <c r="M74" s="284">
        <f>+SUM($B71:M$71)</f>
        <v>3</v>
      </c>
      <c r="N74" s="284">
        <f>+SUM($B71:N$71)</f>
        <v>4</v>
      </c>
      <c r="O74" s="284">
        <f>+SUM($B71:O$71)</f>
        <v>5</v>
      </c>
      <c r="P74" s="284">
        <f>+SUM($B71:P$71)</f>
        <v>6</v>
      </c>
      <c r="Q74" s="284">
        <f>+SUM($B71:Q$71)</f>
        <v>7</v>
      </c>
      <c r="R74" s="284">
        <f>+SUM($B71:R$71)</f>
        <v>8</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2009</v>
      </c>
      <c r="C76" s="285">
        <f t="shared" ca="1" si="9"/>
        <v>2010</v>
      </c>
      <c r="D76" s="285">
        <f t="shared" ca="1" si="9"/>
        <v>2011</v>
      </c>
      <c r="E76" s="285">
        <f t="shared" ca="1" si="9"/>
        <v>2012</v>
      </c>
      <c r="F76" s="285">
        <f t="shared" ca="1" si="9"/>
        <v>2013</v>
      </c>
      <c r="G76" s="285">
        <f t="shared" ca="1" si="9"/>
        <v>2014</v>
      </c>
      <c r="H76" s="285">
        <f t="shared" ca="1" si="9"/>
        <v>2015</v>
      </c>
      <c r="I76" s="285">
        <f t="shared" ca="1" si="9"/>
        <v>2016</v>
      </c>
      <c r="J76" s="285" t="e">
        <f t="shared" ca="1" si="9"/>
        <v>#N/A</v>
      </c>
      <c r="K76" s="285" t="e">
        <f t="shared" ca="1" si="9"/>
        <v>#N/A</v>
      </c>
      <c r="L76" s="285" t="e">
        <f t="shared" ca="1" si="9"/>
        <v>#N/A</v>
      </c>
      <c r="M76" s="285" t="e">
        <f t="shared" ca="1" si="9"/>
        <v>#N/A</v>
      </c>
      <c r="N76" s="285" t="e">
        <f t="shared" ca="1" si="9"/>
        <v>#N/A</v>
      </c>
      <c r="O76" s="285" t="e">
        <f t="shared" ca="1" si="9"/>
        <v>#N/A</v>
      </c>
      <c r="P76" s="285" t="e">
        <f t="shared" ca="1" si="9"/>
        <v>#N/A</v>
      </c>
      <c r="Q76" s="285" t="e">
        <f t="shared" ca="1" si="9"/>
        <v>#N/A</v>
      </c>
      <c r="R76" s="285" t="e">
        <f t="shared" ca="1" si="9"/>
        <v>#N/A</v>
      </c>
    </row>
    <row r="77" spans="1:21">
      <c r="A77" s="283" t="s">
        <v>280</v>
      </c>
      <c r="B77" s="283">
        <f t="shared" ref="B77:R77" ca="1" si="10">+INDEX(15:15,1,MATCH(B$76,9:9,0))</f>
        <v>5433</v>
      </c>
      <c r="C77" s="283">
        <f t="shared" ca="1" si="10"/>
        <v>4895</v>
      </c>
      <c r="D77" s="283">
        <f t="shared" ca="1" si="10"/>
        <v>5270.734942</v>
      </c>
      <c r="E77" s="283">
        <f t="shared" ca="1" si="10"/>
        <v>5390</v>
      </c>
      <c r="F77" s="283">
        <f t="shared" ca="1" si="10"/>
        <v>5885</v>
      </c>
      <c r="G77" s="283">
        <f t="shared" ca="1" si="10"/>
        <v>5682</v>
      </c>
      <c r="H77" s="283">
        <f t="shared" ca="1" si="10"/>
        <v>6229</v>
      </c>
      <c r="I77" s="283">
        <f t="shared" ca="1" si="10"/>
        <v>6490</v>
      </c>
      <c r="J77" s="283" t="e">
        <f t="shared" ca="1" si="10"/>
        <v>#N/A</v>
      </c>
      <c r="K77" s="283" t="e">
        <f t="shared" ca="1" si="10"/>
        <v>#N/A</v>
      </c>
      <c r="L77" s="283" t="e">
        <f t="shared" ca="1" si="10"/>
        <v>#N/A</v>
      </c>
      <c r="M77" s="283" t="e">
        <f t="shared" ca="1" si="10"/>
        <v>#N/A</v>
      </c>
      <c r="N77" s="283" t="e">
        <f t="shared" ca="1" si="10"/>
        <v>#N/A</v>
      </c>
      <c r="O77" s="283" t="e">
        <f t="shared" ca="1" si="10"/>
        <v>#N/A</v>
      </c>
      <c r="P77" s="283" t="e">
        <f t="shared" ca="1" si="10"/>
        <v>#N/A</v>
      </c>
      <c r="Q77" s="283" t="e">
        <f t="shared" ca="1" si="10"/>
        <v>#N/A</v>
      </c>
      <c r="R77" s="283" t="e">
        <f t="shared" ca="1" si="10"/>
        <v>#N/A</v>
      </c>
    </row>
    <row r="80" spans="1:21">
      <c r="A80" s="286"/>
      <c r="B80" s="287" t="s">
        <v>281</v>
      </c>
      <c r="C80" s="288"/>
    </row>
    <row r="81" spans="1:4">
      <c r="A81" s="286" t="s">
        <v>252</v>
      </c>
      <c r="B81" s="289">
        <f t="array" aca="1" ref="B81:C85" ca="1">+LINEST(
OFFSET($B77,0,0,1,SUM($B71:$R71)),
OFFSET($B76,0,0,1,SUM($B71:$R71)),
,
1)</f>
        <v>188.06899016666665</v>
      </c>
      <c r="C81" s="289">
        <f ca="1"/>
        <v>-372829.50084266666</v>
      </c>
      <c r="D81" s="255" t="s">
        <v>282</v>
      </c>
    </row>
    <row r="82" spans="1:4">
      <c r="A82" s="286" t="s">
        <v>283</v>
      </c>
      <c r="B82" s="289">
        <f ca="1"/>
        <v>41.757526061428671</v>
      </c>
      <c r="C82" s="289">
        <f ca="1"/>
        <v>84037.075664945893</v>
      </c>
      <c r="D82" s="255" t="s">
        <v>284</v>
      </c>
    </row>
    <row r="83" spans="1:4">
      <c r="A83" s="286" t="s">
        <v>285</v>
      </c>
      <c r="B83" s="289">
        <f ca="1"/>
        <v>0.77172881102022395</v>
      </c>
      <c r="C83" s="289">
        <f ca="1"/>
        <v>270.61969861112766</v>
      </c>
      <c r="D83" s="255" t="s">
        <v>286</v>
      </c>
    </row>
    <row r="84" spans="1:4">
      <c r="A84" s="290" t="s">
        <v>287</v>
      </c>
      <c r="B84" s="289">
        <f ca="1"/>
        <v>20.284525992159161</v>
      </c>
      <c r="C84" s="289">
        <f ca="1"/>
        <v>6</v>
      </c>
      <c r="D84" s="255" t="s">
        <v>288</v>
      </c>
    </row>
    <row r="85" spans="1:4">
      <c r="A85" s="290" t="s">
        <v>289</v>
      </c>
      <c r="B85" s="289">
        <f ca="1"/>
        <v>1485537.6926170101</v>
      </c>
      <c r="C85" s="289">
        <f ca="1"/>
        <v>439410.12765826547</v>
      </c>
      <c r="D85" s="255" t="s">
        <v>290</v>
      </c>
    </row>
    <row r="86" spans="1:4">
      <c r="A86" s="286"/>
    </row>
    <row r="87" spans="1:4">
      <c r="A87" s="286"/>
    </row>
    <row r="88" spans="1:4">
      <c r="A88" s="286" t="s">
        <v>291</v>
      </c>
      <c r="B88" s="255">
        <f ca="1">+B81/B82</f>
        <v>4.5038345875663728</v>
      </c>
    </row>
    <row r="89" spans="1:4">
      <c r="A89" s="290" t="s">
        <v>292</v>
      </c>
      <c r="B89" s="291">
        <f ca="1">+TDIST(B88,C84,2)</f>
        <v>4.0872142526344078E-3</v>
      </c>
    </row>
  </sheetData>
  <conditionalFormatting sqref="B15:H15 J15:R15">
    <cfRule type="expression" dxfId="15" priority="2">
      <formula>B$71=1</formula>
    </cfRule>
  </conditionalFormatting>
  <conditionalFormatting sqref="B15:I15">
    <cfRule type="expression" dxfId="14"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22</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c r="A11" s="265" t="str">
        <f>+B4</f>
        <v>Customer Service &amp; Information</v>
      </c>
      <c r="B11" s="239">
        <f>+'Cost Trends'!F37</f>
        <v>507</v>
      </c>
      <c r="C11" s="239">
        <f>+'Cost Trends'!G37</f>
        <v>1513</v>
      </c>
      <c r="D11" s="239">
        <f>+'Cost Trends'!H37</f>
        <v>2252</v>
      </c>
      <c r="E11" s="239">
        <f>+'Cost Trends'!I37</f>
        <v>2747</v>
      </c>
      <c r="F11" s="239">
        <f>+'Cost Trends'!J37</f>
        <v>480</v>
      </c>
      <c r="G11" s="239">
        <f>+'Cost Trends'!K37</f>
        <v>3523</v>
      </c>
      <c r="H11" s="239">
        <f>+'Cost Trends'!L37</f>
        <v>1061</v>
      </c>
      <c r="I11" s="239">
        <f>+'Cost Trends'!M37</f>
        <v>4658</v>
      </c>
      <c r="J11" s="239">
        <f>+'Cost Trends'!N37</f>
        <v>5169</v>
      </c>
      <c r="K11" s="239">
        <f>+'Cost Trends'!O37</f>
        <v>7609</v>
      </c>
      <c r="L11" s="239">
        <f>+'Cost Trends'!P37</f>
        <v>9505</v>
      </c>
      <c r="M11" s="239">
        <f>+'Cost Trends'!Q37</f>
        <v>9777</v>
      </c>
      <c r="N11" s="239">
        <f>+'Cost Trends'!R37</f>
        <v>6955</v>
      </c>
      <c r="O11" s="239">
        <f>+'Cost Trends'!S37</f>
        <v>983</v>
      </c>
      <c r="P11" s="239">
        <f>+'Cost Trends'!T37</f>
        <v>865</v>
      </c>
      <c r="Q11" s="239">
        <f>+'Cost Trends'!U37</f>
        <v>837</v>
      </c>
      <c r="R11" s="239">
        <f>+'Cost Trends'!V37</f>
        <v>964</v>
      </c>
    </row>
    <row r="12" spans="1:21" s="256" customFormat="1">
      <c r="A12" s="265" t="s">
        <v>300</v>
      </c>
      <c r="B12" s="239">
        <f>+'Riders and Gas Cost Revenue'!G36</f>
        <v>0</v>
      </c>
      <c r="C12" s="239">
        <f>+'Riders and Gas Cost Revenue'!I36</f>
        <v>-949</v>
      </c>
      <c r="D12" s="239">
        <f>+'Riders and Gas Cost Revenue'!K36</f>
        <v>-1696</v>
      </c>
      <c r="E12" s="239">
        <f>+'Riders and Gas Cost Revenue'!M36</f>
        <v>-2029</v>
      </c>
      <c r="F12" s="239">
        <f>+'Riders and Gas Cost Revenue'!O36</f>
        <v>0</v>
      </c>
      <c r="G12" s="239">
        <f>+'Riders and Gas Cost Revenue'!Q36</f>
        <v>-2842</v>
      </c>
      <c r="H12" s="239">
        <f>+'Riders and Gas Cost Revenue'!S36</f>
        <v>0</v>
      </c>
      <c r="I12" s="239">
        <f>+'Riders and Gas Cost Revenue'!U36</f>
        <v>-3835</v>
      </c>
      <c r="J12" s="239">
        <f>+'Riders and Gas Cost Revenue'!X36</f>
        <v>-4381</v>
      </c>
      <c r="K12" s="239">
        <f>+'Riders and Gas Cost Revenue'!AA36</f>
        <v>-6777</v>
      </c>
      <c r="L12" s="239">
        <f>+'Riders and Gas Cost Revenue'!AD36</f>
        <v>-8416</v>
      </c>
      <c r="M12" s="239">
        <f>+'Riders and Gas Cost Revenue'!AG36</f>
        <v>-8953</v>
      </c>
      <c r="N12" s="239">
        <f>+'Riders and Gas Cost Revenue'!AJ36</f>
        <v>-5942</v>
      </c>
      <c r="O12" s="239"/>
      <c r="P12" s="239"/>
      <c r="Q12" s="239"/>
      <c r="R12" s="239"/>
    </row>
    <row r="13" spans="1:21" s="256" customFormat="1" ht="8.25" customHeight="1">
      <c r="A13" s="255"/>
      <c r="B13" s="264"/>
      <c r="C13" s="264"/>
      <c r="D13" s="264"/>
      <c r="E13" s="264"/>
      <c r="F13" s="264"/>
      <c r="G13" s="264"/>
      <c r="H13" s="264"/>
      <c r="I13" s="264"/>
      <c r="J13" s="264"/>
      <c r="K13" s="264"/>
      <c r="L13" s="264"/>
      <c r="M13" s="264"/>
      <c r="N13" s="264"/>
      <c r="O13" s="264"/>
      <c r="P13" s="264"/>
      <c r="Q13" s="264"/>
      <c r="R13" s="264"/>
    </row>
    <row r="14" spans="1:21" s="256" customFormat="1" ht="8.25" customHeight="1">
      <c r="A14" s="255"/>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s="256" customFormat="1" ht="26.25" customHeight="1">
      <c r="A15" s="266" t="str">
        <f>+"Total "&amp;B4</f>
        <v>Total Customer Service &amp; Information</v>
      </c>
      <c r="B15" s="267">
        <f t="shared" ref="B15:P15" si="1">+SUM(B10:B14)</f>
        <v>507</v>
      </c>
      <c r="C15" s="267">
        <f t="shared" si="1"/>
        <v>564</v>
      </c>
      <c r="D15" s="267">
        <f t="shared" si="1"/>
        <v>556</v>
      </c>
      <c r="E15" s="267">
        <f t="shared" si="1"/>
        <v>718</v>
      </c>
      <c r="F15" s="267">
        <f t="shared" si="1"/>
        <v>480</v>
      </c>
      <c r="G15" s="267">
        <f t="shared" si="1"/>
        <v>681</v>
      </c>
      <c r="H15" s="267">
        <f t="shared" si="1"/>
        <v>1061</v>
      </c>
      <c r="I15" s="267">
        <f t="shared" si="1"/>
        <v>823</v>
      </c>
      <c r="J15" s="267">
        <f t="shared" si="1"/>
        <v>788</v>
      </c>
      <c r="K15" s="267">
        <f t="shared" si="1"/>
        <v>832</v>
      </c>
      <c r="L15" s="267">
        <f t="shared" si="1"/>
        <v>1089</v>
      </c>
      <c r="M15" s="267">
        <f t="shared" si="1"/>
        <v>824</v>
      </c>
      <c r="N15" s="267">
        <f t="shared" si="1"/>
        <v>1013</v>
      </c>
      <c r="O15" s="267">
        <f t="shared" si="1"/>
        <v>983</v>
      </c>
      <c r="P15" s="267">
        <f t="shared" si="1"/>
        <v>865</v>
      </c>
      <c r="Q15" s="267">
        <f t="shared" ref="Q15:R15" si="2">+SUM(Q10:Q14)</f>
        <v>837</v>
      </c>
      <c r="R15" s="267">
        <f t="shared" si="2"/>
        <v>964</v>
      </c>
    </row>
    <row r="16" spans="1:21" s="256" customFormat="1">
      <c r="A16" s="255"/>
      <c r="B16" s="255"/>
      <c r="C16" s="255"/>
      <c r="D16" s="255"/>
      <c r="E16" s="255"/>
      <c r="F16" s="255"/>
      <c r="G16" s="255"/>
      <c r="H16" s="255"/>
      <c r="I16" s="255"/>
      <c r="J16" s="255"/>
      <c r="K16" s="255"/>
      <c r="L16" s="255"/>
      <c r="M16" s="255"/>
      <c r="N16" s="255"/>
      <c r="O16" s="255"/>
      <c r="P16" s="268"/>
      <c r="Q16" s="255"/>
      <c r="R16" s="268"/>
    </row>
    <row r="17" spans="1:20" s="256" customFormat="1">
      <c r="A17" s="255"/>
      <c r="B17" s="255"/>
      <c r="C17" s="255"/>
      <c r="D17" s="255"/>
      <c r="E17" s="255"/>
      <c r="F17" s="255"/>
      <c r="G17" s="255"/>
      <c r="H17" s="255"/>
      <c r="I17" s="255"/>
      <c r="J17" s="255"/>
      <c r="K17" s="255"/>
      <c r="L17" s="255"/>
      <c r="M17" s="255"/>
      <c r="N17" s="255"/>
      <c r="O17" s="255"/>
      <c r="P17" s="268"/>
      <c r="Q17" s="255"/>
      <c r="R17" s="268"/>
    </row>
    <row r="18" spans="1:20" s="256" customFormat="1">
      <c r="A18" s="269" t="s">
        <v>272</v>
      </c>
      <c r="B18" s="270"/>
      <c r="C18" s="271"/>
      <c r="D18" s="269" t="s">
        <v>326</v>
      </c>
      <c r="E18" s="269"/>
      <c r="F18" s="270"/>
      <c r="G18" s="270"/>
      <c r="H18" s="270"/>
      <c r="I18" s="270"/>
      <c r="J18" s="270"/>
      <c r="K18" s="270"/>
      <c r="L18" s="270"/>
      <c r="M18" s="270"/>
      <c r="N18" s="270"/>
      <c r="O18" s="270"/>
      <c r="P18" s="272"/>
      <c r="Q18" s="270"/>
      <c r="R18" s="272"/>
    </row>
    <row r="19" spans="1:20" s="256" customFormat="1" ht="19.5" customHeight="1">
      <c r="B19" s="273"/>
      <c r="C19" s="273"/>
      <c r="D19" s="273"/>
      <c r="E19" s="273"/>
      <c r="F19" s="273"/>
      <c r="G19" s="273"/>
      <c r="H19" s="273"/>
      <c r="I19" s="273"/>
      <c r="J19" s="255"/>
      <c r="K19" s="255"/>
      <c r="L19" s="255"/>
      <c r="M19" s="255"/>
      <c r="N19" s="255"/>
      <c r="O19" s="255"/>
      <c r="P19" s="255"/>
      <c r="Q19" s="255"/>
      <c r="R19" s="255"/>
    </row>
    <row r="20" spans="1:20" ht="19.5" customHeight="1">
      <c r="A20" s="255" t="s">
        <v>324</v>
      </c>
      <c r="B20" s="274">
        <f ca="1">+LINEST(
OFFSET($B$77,0,0,1,SUM($B$71:$R$71)),
OFFSET($B$76,0,0,1,SUM($B$71:$R$71)),
,
1)</f>
        <v>0.25454545454545263</v>
      </c>
      <c r="C20" s="273"/>
      <c r="D20" s="273"/>
      <c r="E20" s="273"/>
      <c r="F20" s="273"/>
      <c r="G20" s="273"/>
      <c r="H20" s="273"/>
      <c r="I20" s="273"/>
    </row>
    <row r="21" spans="1:20" ht="19.5" customHeight="1">
      <c r="A21" s="256" t="s">
        <v>325</v>
      </c>
      <c r="B21" s="273">
        <f ca="1">RSQ(
OFFSET($B$77,0,0,1,SUM($B$71:$R$71)),
OFFSET($B$76,0,0,1,SUM($B$71:$R$71))
)</f>
        <v>6.1151965754899159E-5</v>
      </c>
      <c r="C21" s="274"/>
      <c r="D21" s="274"/>
      <c r="E21" s="274"/>
      <c r="F21" s="274"/>
      <c r="G21" s="274"/>
      <c r="H21" s="274"/>
      <c r="I21" s="274"/>
    </row>
    <row r="22" spans="1:20" ht="19.5" customHeight="1">
      <c r="A22" s="255" t="s">
        <v>273</v>
      </c>
      <c r="B22" s="275">
        <f ca="1">+B20/R15</f>
        <v>2.6405130139569774E-4</v>
      </c>
      <c r="C22" s="273"/>
      <c r="D22" s="273"/>
      <c r="E22" s="273"/>
      <c r="F22" s="273"/>
      <c r="G22" s="273"/>
      <c r="H22" s="273"/>
      <c r="I22" s="273"/>
    </row>
    <row r="23" spans="1:20" ht="19.5" customHeight="1">
      <c r="A23" s="268" t="str">
        <f>+'2) ROR'!$D$46&amp;"-year Growth Rate"</f>
        <v>1-year Growth Rate</v>
      </c>
      <c r="B23" s="293">
        <f ca="1">ROUND(B22*'2) ROR'!$D$46,4)</f>
        <v>2.9999999999999997E-4</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c r="C71" s="282"/>
      <c r="D71" s="282"/>
      <c r="E71" s="282"/>
      <c r="F71" s="282"/>
      <c r="G71" s="282"/>
      <c r="H71" s="282">
        <v>1</v>
      </c>
      <c r="I71" s="282">
        <v>1</v>
      </c>
      <c r="J71" s="282">
        <v>1</v>
      </c>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0</v>
      </c>
      <c r="C74" s="284">
        <f>+SUM($B71:C$71)</f>
        <v>0</v>
      </c>
      <c r="D74" s="284">
        <f>+SUM($B71:D$71)</f>
        <v>0</v>
      </c>
      <c r="E74" s="284">
        <f>+SUM($B71:E$71)</f>
        <v>0</v>
      </c>
      <c r="F74" s="284">
        <f>+SUM($B71:F$71)</f>
        <v>0</v>
      </c>
      <c r="G74" s="284">
        <f>+SUM($B71:G$71)</f>
        <v>0</v>
      </c>
      <c r="H74" s="284">
        <f>+SUM($B71:H$71)</f>
        <v>1</v>
      </c>
      <c r="I74" s="284">
        <f>+SUM($B71:I$71)</f>
        <v>2</v>
      </c>
      <c r="J74" s="284">
        <f>+SUM($B71:J$71)</f>
        <v>3</v>
      </c>
      <c r="K74" s="284">
        <f>+SUM($B71:K$71)</f>
        <v>4</v>
      </c>
      <c r="L74" s="284">
        <f>+SUM($B71:L$71)</f>
        <v>5</v>
      </c>
      <c r="M74" s="284">
        <f>+SUM($B71:M$71)</f>
        <v>6</v>
      </c>
      <c r="N74" s="284">
        <f>+SUM($B71:N$71)</f>
        <v>7</v>
      </c>
      <c r="O74" s="284">
        <f>+SUM($B71:O$71)</f>
        <v>8</v>
      </c>
      <c r="P74" s="284">
        <f>+SUM($B71:P$71)</f>
        <v>9</v>
      </c>
      <c r="Q74" s="284">
        <f>+SUM($B71:Q$71)</f>
        <v>10</v>
      </c>
      <c r="R74" s="284">
        <f>+SUM($B71:R$71)</f>
        <v>11</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2006</v>
      </c>
      <c r="C76" s="285">
        <f t="shared" ca="1" si="9"/>
        <v>2007</v>
      </c>
      <c r="D76" s="285">
        <f t="shared" ca="1" si="9"/>
        <v>2008</v>
      </c>
      <c r="E76" s="285">
        <f t="shared" ca="1" si="9"/>
        <v>2009</v>
      </c>
      <c r="F76" s="285">
        <f t="shared" ca="1" si="9"/>
        <v>2010</v>
      </c>
      <c r="G76" s="285">
        <f t="shared" ca="1" si="9"/>
        <v>2011</v>
      </c>
      <c r="H76" s="285">
        <f t="shared" ca="1" si="9"/>
        <v>2012</v>
      </c>
      <c r="I76" s="285">
        <f t="shared" ca="1" si="9"/>
        <v>2013</v>
      </c>
      <c r="J76" s="285">
        <f t="shared" ca="1" si="9"/>
        <v>2014</v>
      </c>
      <c r="K76" s="285">
        <f t="shared" ca="1" si="9"/>
        <v>2015</v>
      </c>
      <c r="L76" s="285">
        <f t="shared" ca="1" si="9"/>
        <v>2016</v>
      </c>
      <c r="M76" s="285" t="e">
        <f t="shared" ca="1" si="9"/>
        <v>#N/A</v>
      </c>
      <c r="N76" s="285" t="e">
        <f t="shared" ca="1" si="9"/>
        <v>#N/A</v>
      </c>
      <c r="O76" s="285" t="e">
        <f t="shared" ca="1" si="9"/>
        <v>#N/A</v>
      </c>
      <c r="P76" s="285" t="e">
        <f t="shared" ca="1" si="9"/>
        <v>#N/A</v>
      </c>
      <c r="Q76" s="285" t="e">
        <f t="shared" ca="1" si="9"/>
        <v>#N/A</v>
      </c>
      <c r="R76" s="285" t="e">
        <f t="shared" ca="1" si="9"/>
        <v>#N/A</v>
      </c>
    </row>
    <row r="77" spans="1:21">
      <c r="A77" s="283" t="s">
        <v>280</v>
      </c>
      <c r="B77" s="283">
        <f t="shared" ref="B77:R77" ca="1" si="10">+INDEX(15:15,1,MATCH(B$76,9:9,0))</f>
        <v>1061</v>
      </c>
      <c r="C77" s="283">
        <f t="shared" ca="1" si="10"/>
        <v>823</v>
      </c>
      <c r="D77" s="283">
        <f t="shared" ca="1" si="10"/>
        <v>788</v>
      </c>
      <c r="E77" s="283">
        <f t="shared" ca="1" si="10"/>
        <v>832</v>
      </c>
      <c r="F77" s="283">
        <f t="shared" ca="1" si="10"/>
        <v>1089</v>
      </c>
      <c r="G77" s="283">
        <f t="shared" ca="1" si="10"/>
        <v>824</v>
      </c>
      <c r="H77" s="283">
        <f t="shared" ca="1" si="10"/>
        <v>1013</v>
      </c>
      <c r="I77" s="283">
        <f t="shared" ca="1" si="10"/>
        <v>983</v>
      </c>
      <c r="J77" s="283">
        <f t="shared" ca="1" si="10"/>
        <v>865</v>
      </c>
      <c r="K77" s="283">
        <f t="shared" ca="1" si="10"/>
        <v>837</v>
      </c>
      <c r="L77" s="283">
        <f t="shared" ca="1" si="10"/>
        <v>964</v>
      </c>
      <c r="M77" s="283" t="e">
        <f t="shared" ca="1" si="10"/>
        <v>#N/A</v>
      </c>
      <c r="N77" s="283" t="e">
        <f t="shared" ca="1" si="10"/>
        <v>#N/A</v>
      </c>
      <c r="O77" s="283" t="e">
        <f t="shared" ca="1" si="10"/>
        <v>#N/A</v>
      </c>
      <c r="P77" s="283" t="e">
        <f t="shared" ca="1" si="10"/>
        <v>#N/A</v>
      </c>
      <c r="Q77" s="283" t="e">
        <f t="shared" ca="1" si="10"/>
        <v>#N/A</v>
      </c>
      <c r="R77" s="283" t="e">
        <f t="shared" ca="1" si="10"/>
        <v>#N/A</v>
      </c>
    </row>
    <row r="80" spans="1:21">
      <c r="A80" s="286"/>
      <c r="B80" s="287" t="s">
        <v>281</v>
      </c>
      <c r="C80" s="288"/>
    </row>
    <row r="81" spans="1:4">
      <c r="A81" s="286" t="s">
        <v>252</v>
      </c>
      <c r="B81" s="289">
        <f t="array" aca="1" ref="B81:C85" ca="1">+LINEST(
OFFSET($B77,0,0,1,SUM($B71:$R71)),
OFFSET($B76,0,0,1,SUM($B71:$R71)),
,
1)</f>
        <v>0.25454545454545263</v>
      </c>
      <c r="C81" s="289">
        <f ca="1"/>
        <v>404.38181818182198</v>
      </c>
      <c r="D81" s="255" t="s">
        <v>282</v>
      </c>
    </row>
    <row r="82" spans="1:4">
      <c r="A82" s="286" t="s">
        <v>283</v>
      </c>
      <c r="B82" s="289">
        <f ca="1"/>
        <v>10.84989664082662</v>
      </c>
      <c r="C82" s="289">
        <f ca="1"/>
        <v>21819.169121057213</v>
      </c>
      <c r="D82" s="255" t="s">
        <v>284</v>
      </c>
    </row>
    <row r="83" spans="1:4">
      <c r="A83" s="286" t="s">
        <v>285</v>
      </c>
      <c r="B83" s="289">
        <f ca="1"/>
        <v>6.1151965755155694E-5</v>
      </c>
      <c r="C83" s="289">
        <f ca="1"/>
        <v>113.79467598630562</v>
      </c>
      <c r="D83" s="255" t="s">
        <v>286</v>
      </c>
    </row>
    <row r="84" spans="1:4">
      <c r="A84" s="290" t="s">
        <v>287</v>
      </c>
      <c r="B84" s="289">
        <f ca="1"/>
        <v>5.5040134992090308E-4</v>
      </c>
      <c r="C84" s="289">
        <f ca="1"/>
        <v>9</v>
      </c>
      <c r="D84" s="255" t="s">
        <v>288</v>
      </c>
    </row>
    <row r="85" spans="1:4">
      <c r="A85" s="290" t="s">
        <v>289</v>
      </c>
      <c r="B85" s="289">
        <f ca="1"/>
        <v>7.1272727273026248</v>
      </c>
      <c r="C85" s="289">
        <f ca="1"/>
        <v>116543.05454545454</v>
      </c>
      <c r="D85" s="255" t="s">
        <v>290</v>
      </c>
    </row>
    <row r="86" spans="1:4">
      <c r="A86" s="286"/>
    </row>
    <row r="87" spans="1:4">
      <c r="A87" s="286"/>
    </row>
    <row r="88" spans="1:4">
      <c r="A88" s="286" t="s">
        <v>291</v>
      </c>
      <c r="B88" s="255">
        <f ca="1">+B81/B82</f>
        <v>2.3460634047667722E-2</v>
      </c>
    </row>
    <row r="89" spans="1:4">
      <c r="A89" s="290" t="s">
        <v>292</v>
      </c>
      <c r="B89" s="291">
        <f ca="1">+TDIST(B88,C84,2)</f>
        <v>0.98179476558527656</v>
      </c>
    </row>
  </sheetData>
  <conditionalFormatting sqref="B15:H15 J15:R15">
    <cfRule type="expression" dxfId="13" priority="2">
      <formula>B$71=1</formula>
    </cfRule>
  </conditionalFormatting>
  <conditionalFormatting sqref="B15:I15">
    <cfRule type="expression" dxfId="12"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89"/>
  <sheetViews>
    <sheetView showGridLines="0" zoomScale="70" zoomScaleNormal="70" zoomScaleSheetLayoutView="70"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301</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c r="A11" s="265" t="s">
        <v>302</v>
      </c>
      <c r="B11" s="239">
        <f>+'Cost Trends'!F41</f>
        <v>8004</v>
      </c>
      <c r="C11" s="239">
        <f>+'Cost Trends'!G41</f>
        <v>7578</v>
      </c>
      <c r="D11" s="239">
        <f>+'Cost Trends'!H41</f>
        <v>9399</v>
      </c>
      <c r="E11" s="239">
        <f>+'Cost Trends'!I41</f>
        <v>9827</v>
      </c>
      <c r="F11" s="239">
        <f>+'Cost Trends'!J41</f>
        <v>8911</v>
      </c>
      <c r="G11" s="239">
        <f>+'Cost Trends'!K41</f>
        <v>9196</v>
      </c>
      <c r="H11" s="239">
        <f>+'Cost Trends'!L41</f>
        <v>8393</v>
      </c>
      <c r="I11" s="239">
        <f>+'Cost Trends'!M41</f>
        <v>8901</v>
      </c>
      <c r="J11" s="239">
        <f>+'Cost Trends'!N41</f>
        <v>9706</v>
      </c>
      <c r="K11" s="239">
        <f>+'Cost Trends'!O41</f>
        <v>9770</v>
      </c>
      <c r="L11" s="239">
        <f>+'Cost Trends'!P41</f>
        <v>11383</v>
      </c>
      <c r="M11" s="239">
        <f>+'Cost Trends'!Q41</f>
        <v>11585.118</v>
      </c>
      <c r="N11" s="239">
        <f>+'Cost Trends'!R41</f>
        <v>13419</v>
      </c>
      <c r="O11" s="239">
        <f>+'Cost Trends'!S41</f>
        <v>11862</v>
      </c>
      <c r="P11" s="239">
        <f>+'Cost Trends'!T41</f>
        <v>12777</v>
      </c>
      <c r="Q11" s="239">
        <f>+'Cost Trends'!U41</f>
        <v>14007</v>
      </c>
      <c r="R11" s="239">
        <f>+'Cost Trends'!V41</f>
        <v>13267</v>
      </c>
    </row>
    <row r="12" spans="1:21">
      <c r="A12" s="265" t="s">
        <v>303</v>
      </c>
      <c r="B12" s="239">
        <f>+SUM('Riders and Gas Cost Revenue'!G40:H40)</f>
        <v>-120</v>
      </c>
      <c r="C12" s="239">
        <f>+SUM('Riders and Gas Cost Revenue'!I40:J40)</f>
        <v>-226</v>
      </c>
      <c r="D12" s="239">
        <f>+SUM('Riders and Gas Cost Revenue'!K40:L40)</f>
        <v>-235</v>
      </c>
      <c r="E12" s="239">
        <f>+SUM('Riders and Gas Cost Revenue'!M40:N40)</f>
        <v>-207</v>
      </c>
      <c r="F12" s="239">
        <f>+SUM('Riders and Gas Cost Revenue'!O40:P40)</f>
        <v>-240</v>
      </c>
      <c r="G12" s="239">
        <f>+SUM('Riders and Gas Cost Revenue'!Q40:R40)</f>
        <v>-279</v>
      </c>
      <c r="H12" s="239">
        <f>+SUM('Riders and Gas Cost Revenue'!S40:T40)</f>
        <v>-314</v>
      </c>
      <c r="I12" s="239">
        <f>+SUM('Riders and Gas Cost Revenue'!U40:W40)</f>
        <v>-335</v>
      </c>
      <c r="J12" s="239">
        <f>+SUM('Riders and Gas Cost Revenue'!X40:Z40)</f>
        <v>-319</v>
      </c>
      <c r="K12" s="239">
        <f>+SUM('Riders and Gas Cost Revenue'!AA40:AC40)</f>
        <v>-268</v>
      </c>
      <c r="L12" s="239">
        <f>+SUM('Riders and Gas Cost Revenue'!AD40:AF40)</f>
        <v>-184</v>
      </c>
      <c r="M12" s="239">
        <f>+SUM('Riders and Gas Cost Revenue'!AG40:AI40)</f>
        <v>-196</v>
      </c>
      <c r="N12" s="239">
        <f>+SUM('Riders and Gas Cost Revenue'!AJ40:AL40)</f>
        <v>-169</v>
      </c>
      <c r="O12" s="239">
        <f>+SUM('Riders and Gas Cost Revenue'!AO40)</f>
        <v>-161</v>
      </c>
      <c r="P12" s="239">
        <f>+SUM('Riders and Gas Cost Revenue'!AR40)</f>
        <v>-176</v>
      </c>
      <c r="Q12" s="239">
        <f>+'[8]Riders and Gas Cost Revenue'!$AU$40</f>
        <v>-167</v>
      </c>
      <c r="R12" s="239">
        <f>+'[8]Riders and Gas Cost Revenue'!$AX$40</f>
        <v>-133</v>
      </c>
    </row>
    <row r="13" spans="1:21" ht="8.25" customHeight="1">
      <c r="B13" s="264"/>
      <c r="C13" s="264"/>
      <c r="D13" s="264"/>
      <c r="E13" s="264"/>
      <c r="F13" s="264"/>
      <c r="G13" s="264"/>
      <c r="H13" s="264"/>
      <c r="I13" s="264"/>
      <c r="J13" s="264"/>
      <c r="K13" s="264"/>
      <c r="L13" s="264"/>
      <c r="M13" s="264"/>
      <c r="N13" s="264"/>
      <c r="O13" s="264"/>
      <c r="P13" s="264"/>
      <c r="Q13" s="264"/>
      <c r="R13" s="264"/>
    </row>
    <row r="14" spans="1:21" ht="8.25" customHeight="1">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ht="26.25" customHeight="1">
      <c r="A15" s="266" t="str">
        <f>+"Total "&amp;B4</f>
        <v xml:space="preserve">Total Administrative and General Operations Expense </v>
      </c>
      <c r="B15" s="267">
        <f t="shared" ref="B15:P15" si="1">+SUM(B10:B14)</f>
        <v>7884</v>
      </c>
      <c r="C15" s="267">
        <f t="shared" si="1"/>
        <v>7352</v>
      </c>
      <c r="D15" s="267">
        <f t="shared" si="1"/>
        <v>9164</v>
      </c>
      <c r="E15" s="267">
        <f t="shared" si="1"/>
        <v>9620</v>
      </c>
      <c r="F15" s="267">
        <f t="shared" si="1"/>
        <v>8671</v>
      </c>
      <c r="G15" s="267">
        <f t="shared" si="1"/>
        <v>8917</v>
      </c>
      <c r="H15" s="267">
        <f t="shared" si="1"/>
        <v>8079</v>
      </c>
      <c r="I15" s="267">
        <f t="shared" si="1"/>
        <v>8566</v>
      </c>
      <c r="J15" s="267">
        <f t="shared" si="1"/>
        <v>9387</v>
      </c>
      <c r="K15" s="267">
        <f t="shared" si="1"/>
        <v>9502</v>
      </c>
      <c r="L15" s="267">
        <f t="shared" si="1"/>
        <v>11199</v>
      </c>
      <c r="M15" s="267">
        <f t="shared" si="1"/>
        <v>11389.118</v>
      </c>
      <c r="N15" s="267">
        <f t="shared" si="1"/>
        <v>13250</v>
      </c>
      <c r="O15" s="267">
        <f t="shared" si="1"/>
        <v>11701</v>
      </c>
      <c r="P15" s="267">
        <f t="shared" si="1"/>
        <v>12601</v>
      </c>
      <c r="Q15" s="267">
        <f t="shared" ref="Q15:R15" si="2">+SUM(Q10:Q14)</f>
        <v>13840</v>
      </c>
      <c r="R15" s="267">
        <f t="shared" si="2"/>
        <v>13134</v>
      </c>
    </row>
    <row r="16" spans="1:21">
      <c r="P16" s="268"/>
      <c r="R16" s="268"/>
    </row>
    <row r="17" spans="1:20">
      <c r="P17" s="268"/>
      <c r="R17" s="268"/>
    </row>
    <row r="18" spans="1:20">
      <c r="A18" s="269" t="s">
        <v>272</v>
      </c>
      <c r="B18" s="270"/>
      <c r="C18" s="271"/>
      <c r="D18" s="269" t="s">
        <v>326</v>
      </c>
      <c r="E18" s="269"/>
      <c r="F18" s="270"/>
      <c r="G18" s="270"/>
      <c r="H18" s="270"/>
      <c r="I18" s="270"/>
      <c r="J18" s="270"/>
      <c r="K18" s="270"/>
      <c r="L18" s="270"/>
      <c r="M18" s="270"/>
      <c r="N18" s="270"/>
      <c r="O18" s="270"/>
      <c r="P18" s="272"/>
      <c r="Q18" s="270"/>
      <c r="R18" s="272"/>
    </row>
    <row r="19" spans="1:20" ht="19.5" customHeight="1">
      <c r="A19" s="256"/>
      <c r="B19" s="273"/>
      <c r="C19" s="273"/>
      <c r="D19" s="273"/>
      <c r="E19" s="273"/>
      <c r="F19" s="273"/>
      <c r="G19" s="273"/>
      <c r="H19" s="273"/>
      <c r="I19" s="273"/>
    </row>
    <row r="20" spans="1:20" ht="19.5" customHeight="1">
      <c r="A20" s="255" t="s">
        <v>324</v>
      </c>
      <c r="B20" s="274">
        <f ca="1">+LINEST(
OFFSET($B$77,0,0,1,SUM($B$71:$R$71)),
OFFSET($B$76,0,0,1,SUM($B$71:$R$71)),
,
1)</f>
        <v>190.69999999999993</v>
      </c>
      <c r="C20" s="273"/>
      <c r="D20" s="273"/>
      <c r="E20" s="273"/>
      <c r="F20" s="273"/>
      <c r="G20" s="273"/>
      <c r="H20" s="273"/>
      <c r="I20" s="273"/>
    </row>
    <row r="21" spans="1:20" ht="19.5" customHeight="1">
      <c r="A21" s="256" t="s">
        <v>325</v>
      </c>
      <c r="B21" s="273">
        <f ca="1">RSQ(
OFFSET($B$77,0,0,1,SUM($B$71:$R$71)),
OFFSET($B$76,0,0,1,SUM($B$71:$R$71))
)</f>
        <v>0.14053472033403269</v>
      </c>
      <c r="C21" s="274"/>
      <c r="D21" s="274"/>
      <c r="E21" s="274"/>
      <c r="F21" s="274"/>
      <c r="G21" s="274"/>
      <c r="H21" s="274"/>
      <c r="I21" s="274"/>
    </row>
    <row r="22" spans="1:20" ht="19.5" customHeight="1">
      <c r="A22" s="255" t="s">
        <v>273</v>
      </c>
      <c r="B22" s="275">
        <f ca="1">+B20/R15</f>
        <v>1.4519567534642907E-2</v>
      </c>
      <c r="C22" s="273"/>
      <c r="D22" s="273"/>
      <c r="E22" s="273"/>
      <c r="F22" s="273"/>
      <c r="G22" s="273"/>
      <c r="H22" s="273"/>
      <c r="I22" s="273"/>
    </row>
    <row r="23" spans="1:20" ht="19.5" customHeight="1">
      <c r="A23" s="268" t="str">
        <f>+'2) ROR'!$D$46&amp;"-year Growth Rate"</f>
        <v>1-year Growth Rate</v>
      </c>
      <c r="B23" s="293">
        <f ca="1">ROUND(B22*'2) ROR'!$D$46,4)</f>
        <v>1.4500000000000001E-2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c r="C71" s="282"/>
      <c r="D71" s="282"/>
      <c r="E71" s="282"/>
      <c r="F71" s="282"/>
      <c r="G71" s="282"/>
      <c r="H71" s="282"/>
      <c r="I71" s="282"/>
      <c r="J71" s="282"/>
      <c r="K71" s="282"/>
      <c r="L71" s="282"/>
      <c r="M71" s="282"/>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0</v>
      </c>
      <c r="C74" s="284">
        <f>+SUM($B71:C$71)</f>
        <v>0</v>
      </c>
      <c r="D74" s="284">
        <f>+SUM($B71:D$71)</f>
        <v>0</v>
      </c>
      <c r="E74" s="284">
        <f>+SUM($B71:E$71)</f>
        <v>0</v>
      </c>
      <c r="F74" s="284">
        <f>+SUM($B71:F$71)</f>
        <v>0</v>
      </c>
      <c r="G74" s="284">
        <f>+SUM($B71:G$71)</f>
        <v>0</v>
      </c>
      <c r="H74" s="284">
        <f>+SUM($B71:H$71)</f>
        <v>0</v>
      </c>
      <c r="I74" s="284">
        <f>+SUM($B71:I$71)</f>
        <v>0</v>
      </c>
      <c r="J74" s="284">
        <f>+SUM($B71:J$71)</f>
        <v>0</v>
      </c>
      <c r="K74" s="284">
        <f>+SUM($B71:K$71)</f>
        <v>0</v>
      </c>
      <c r="L74" s="284">
        <f>+SUM($B71:L$71)</f>
        <v>0</v>
      </c>
      <c r="M74" s="284">
        <f>+SUM($B71:M$71)</f>
        <v>0</v>
      </c>
      <c r="N74" s="284">
        <f>+SUM($B71:N$71)</f>
        <v>1</v>
      </c>
      <c r="O74" s="284">
        <f>+SUM($B71:O$71)</f>
        <v>2</v>
      </c>
      <c r="P74" s="284">
        <f>+SUM($B71:P$71)</f>
        <v>3</v>
      </c>
      <c r="Q74" s="284">
        <f>+SUM($B71:Q$71)</f>
        <v>4</v>
      </c>
      <c r="R74" s="284">
        <f>+SUM($B71:R$71)</f>
        <v>5</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2012</v>
      </c>
      <c r="C76" s="285">
        <f t="shared" ca="1" si="9"/>
        <v>2013</v>
      </c>
      <c r="D76" s="285">
        <f t="shared" ca="1" si="9"/>
        <v>2014</v>
      </c>
      <c r="E76" s="285">
        <f t="shared" ca="1" si="9"/>
        <v>2015</v>
      </c>
      <c r="F76" s="285">
        <f t="shared" ca="1" si="9"/>
        <v>2016</v>
      </c>
      <c r="G76" s="285" t="e">
        <f t="shared" ca="1" si="9"/>
        <v>#N/A</v>
      </c>
      <c r="H76" s="285" t="e">
        <f t="shared" ca="1" si="9"/>
        <v>#N/A</v>
      </c>
      <c r="I76" s="285" t="e">
        <f t="shared" ca="1" si="9"/>
        <v>#N/A</v>
      </c>
      <c r="J76" s="285" t="e">
        <f t="shared" ca="1" si="9"/>
        <v>#N/A</v>
      </c>
      <c r="K76" s="285" t="e">
        <f t="shared" ca="1" si="9"/>
        <v>#N/A</v>
      </c>
      <c r="L76" s="285" t="e">
        <f t="shared" ca="1" si="9"/>
        <v>#N/A</v>
      </c>
      <c r="M76" s="285" t="e">
        <f t="shared" ca="1" si="9"/>
        <v>#N/A</v>
      </c>
      <c r="N76" s="285" t="e">
        <f t="shared" ca="1" si="9"/>
        <v>#N/A</v>
      </c>
      <c r="O76" s="285" t="e">
        <f t="shared" ca="1" si="9"/>
        <v>#N/A</v>
      </c>
      <c r="P76" s="285" t="e">
        <f t="shared" ca="1" si="9"/>
        <v>#N/A</v>
      </c>
      <c r="Q76" s="285" t="e">
        <f t="shared" ca="1" si="9"/>
        <v>#N/A</v>
      </c>
      <c r="R76" s="285" t="e">
        <f t="shared" ca="1" si="9"/>
        <v>#N/A</v>
      </c>
    </row>
    <row r="77" spans="1:21">
      <c r="A77" s="283" t="s">
        <v>280</v>
      </c>
      <c r="B77" s="283">
        <f t="shared" ref="B77:R77" ca="1" si="10">+INDEX(15:15,1,MATCH(B$76,9:9,0))</f>
        <v>13250</v>
      </c>
      <c r="C77" s="283">
        <f t="shared" ca="1" si="10"/>
        <v>11701</v>
      </c>
      <c r="D77" s="283">
        <f t="shared" ca="1" si="10"/>
        <v>12601</v>
      </c>
      <c r="E77" s="283">
        <f t="shared" ca="1" si="10"/>
        <v>13840</v>
      </c>
      <c r="F77" s="283">
        <f t="shared" ca="1" si="10"/>
        <v>13134</v>
      </c>
      <c r="G77" s="283" t="e">
        <f t="shared" ca="1" si="10"/>
        <v>#N/A</v>
      </c>
      <c r="H77" s="283" t="e">
        <f t="shared" ca="1" si="10"/>
        <v>#N/A</v>
      </c>
      <c r="I77" s="283" t="e">
        <f t="shared" ca="1" si="10"/>
        <v>#N/A</v>
      </c>
      <c r="J77" s="283" t="e">
        <f t="shared" ca="1" si="10"/>
        <v>#N/A</v>
      </c>
      <c r="K77" s="283" t="e">
        <f t="shared" ca="1" si="10"/>
        <v>#N/A</v>
      </c>
      <c r="L77" s="283" t="e">
        <f t="shared" ca="1" si="10"/>
        <v>#N/A</v>
      </c>
      <c r="M77" s="283" t="e">
        <f t="shared" ca="1" si="10"/>
        <v>#N/A</v>
      </c>
      <c r="N77" s="283" t="e">
        <f t="shared" ca="1" si="10"/>
        <v>#N/A</v>
      </c>
      <c r="O77" s="283" t="e">
        <f t="shared" ca="1" si="10"/>
        <v>#N/A</v>
      </c>
      <c r="P77" s="283" t="e">
        <f t="shared" ca="1" si="10"/>
        <v>#N/A</v>
      </c>
      <c r="Q77" s="283" t="e">
        <f t="shared" ca="1" si="10"/>
        <v>#N/A</v>
      </c>
      <c r="R77" s="283" t="e">
        <f t="shared" ca="1" si="10"/>
        <v>#N/A</v>
      </c>
    </row>
    <row r="80" spans="1:21">
      <c r="A80" s="286"/>
      <c r="B80" s="287" t="s">
        <v>281</v>
      </c>
      <c r="C80" s="288"/>
    </row>
    <row r="81" spans="1:4">
      <c r="A81" s="286" t="s">
        <v>252</v>
      </c>
      <c r="B81" s="289">
        <f t="array" aca="1" ref="B81:C85" ca="1">+LINEST(
OFFSET($B77,0,0,1,SUM($B71:$R71)),
OFFSET($B76,0,0,1,SUM($B71:$R71)),
,
1)</f>
        <v>190.69999999999993</v>
      </c>
      <c r="C81" s="289">
        <f ca="1"/>
        <v>-371164.59999999986</v>
      </c>
      <c r="D81" s="255" t="s">
        <v>282</v>
      </c>
    </row>
    <row r="82" spans="1:4">
      <c r="A82" s="286" t="s">
        <v>283</v>
      </c>
      <c r="B82" s="289">
        <f ca="1"/>
        <v>272.27791561809295</v>
      </c>
      <c r="C82" s="289">
        <f ca="1"/>
        <v>548367.857247432</v>
      </c>
      <c r="D82" s="255" t="s">
        <v>284</v>
      </c>
    </row>
    <row r="83" spans="1:4">
      <c r="A83" s="286" t="s">
        <v>285</v>
      </c>
      <c r="B83" s="289">
        <f ca="1"/>
        <v>0.14053472033403266</v>
      </c>
      <c r="C83" s="289">
        <f ca="1"/>
        <v>861.01836991630637</v>
      </c>
      <c r="D83" s="255" t="s">
        <v>286</v>
      </c>
    </row>
    <row r="84" spans="1:4">
      <c r="A84" s="290" t="s">
        <v>287</v>
      </c>
      <c r="B84" s="289">
        <f ca="1"/>
        <v>0.49054239999776972</v>
      </c>
      <c r="C84" s="289">
        <f ca="1"/>
        <v>3</v>
      </c>
      <c r="D84" s="255" t="s">
        <v>288</v>
      </c>
    </row>
    <row r="85" spans="1:4">
      <c r="A85" s="290" t="s">
        <v>289</v>
      </c>
      <c r="B85" s="289">
        <f ca="1"/>
        <v>363664.89999999991</v>
      </c>
      <c r="C85" s="289">
        <f ca="1"/>
        <v>2224057.9</v>
      </c>
      <c r="D85" s="255" t="s">
        <v>290</v>
      </c>
    </row>
    <row r="86" spans="1:4">
      <c r="A86" s="286"/>
    </row>
    <row r="87" spans="1:4">
      <c r="A87" s="286"/>
    </row>
    <row r="88" spans="1:4">
      <c r="A88" s="286" t="s">
        <v>291</v>
      </c>
      <c r="B88" s="255">
        <f ca="1">+B81/B82</f>
        <v>0.70038732141420823</v>
      </c>
    </row>
    <row r="89" spans="1:4">
      <c r="A89" s="290" t="s">
        <v>292</v>
      </c>
      <c r="B89" s="291">
        <f ca="1">+TDIST(B88,C84,2)</f>
        <v>0.53411664701894479</v>
      </c>
    </row>
  </sheetData>
  <conditionalFormatting sqref="B15:H15 J15:R15">
    <cfRule type="expression" dxfId="11" priority="2">
      <formula>B$71=1</formula>
    </cfRule>
  </conditionalFormatting>
  <conditionalFormatting sqref="B15:I15">
    <cfRule type="expression" dxfId="10"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89"/>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304</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0"/>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c r="A11" s="265" t="s">
        <v>305</v>
      </c>
      <c r="B11" s="239">
        <f>+'Cost Trends'!F42</f>
        <v>1027</v>
      </c>
      <c r="C11" s="239">
        <f>+'Cost Trends'!G42</f>
        <v>1020</v>
      </c>
      <c r="D11" s="239">
        <f>+'Cost Trends'!H42</f>
        <v>1275</v>
      </c>
      <c r="E11" s="239">
        <f>+'Cost Trends'!I42</f>
        <v>1363</v>
      </c>
      <c r="F11" s="239">
        <f>+'Cost Trends'!J42</f>
        <v>1180</v>
      </c>
      <c r="G11" s="239">
        <f>+'Cost Trends'!K42</f>
        <v>1343</v>
      </c>
      <c r="H11" s="239">
        <f>+'Cost Trends'!L42</f>
        <v>1282</v>
      </c>
      <c r="I11" s="239">
        <f>+'Cost Trends'!M42</f>
        <v>1498</v>
      </c>
      <c r="J11" s="239">
        <f>+'Cost Trends'!N42</f>
        <v>1803</v>
      </c>
      <c r="K11" s="239">
        <f>+'Cost Trends'!O42</f>
        <v>1999</v>
      </c>
      <c r="L11" s="239">
        <f>+'Cost Trends'!P42</f>
        <v>2412</v>
      </c>
      <c r="M11" s="239">
        <f>+'Cost Trends'!Q42</f>
        <v>2734</v>
      </c>
      <c r="N11" s="239">
        <f>+'Cost Trends'!R42</f>
        <v>3276</v>
      </c>
      <c r="O11" s="239">
        <f>+'Cost Trends'!S42</f>
        <v>3868</v>
      </c>
      <c r="P11" s="239">
        <f>+'Cost Trends'!T42</f>
        <v>4389</v>
      </c>
      <c r="Q11" s="239">
        <f>+'Cost Trends'!U42</f>
        <v>5649</v>
      </c>
      <c r="R11" s="239">
        <f>+'Cost Trends'!V42</f>
        <v>6260</v>
      </c>
    </row>
    <row r="12" spans="1:21" s="256" customFormat="1">
      <c r="A12" s="265" t="s">
        <v>306</v>
      </c>
      <c r="B12" s="239"/>
      <c r="C12" s="239"/>
      <c r="D12" s="239"/>
      <c r="E12" s="239"/>
      <c r="F12" s="239"/>
      <c r="G12" s="239"/>
      <c r="H12" s="239"/>
      <c r="I12" s="239">
        <f>+'Riders and Gas Cost Revenue'!V41</f>
        <v>-85</v>
      </c>
      <c r="J12" s="239">
        <f>+'Riders and Gas Cost Revenue'!Y41</f>
        <v>-432</v>
      </c>
      <c r="K12" s="239">
        <f>+'Riders and Gas Cost Revenue'!AB41</f>
        <v>-710</v>
      </c>
      <c r="L12" s="239">
        <f>+'Riders and Gas Cost Revenue'!AE41</f>
        <v>-494</v>
      </c>
      <c r="M12" s="239">
        <f>+'Riders and Gas Cost Revenue'!AH41</f>
        <v>-494</v>
      </c>
      <c r="N12" s="239">
        <f>+'Riders and Gas Cost Revenue'!AK41</f>
        <v>-183</v>
      </c>
      <c r="O12" s="239"/>
      <c r="P12" s="239"/>
      <c r="Q12" s="239">
        <f>+'Riders and Gas Cost Revenue'!AN41</f>
        <v>0</v>
      </c>
      <c r="R12" s="239"/>
    </row>
    <row r="13" spans="1:21" s="256" customFormat="1" ht="8.25" customHeight="1">
      <c r="A13" s="255"/>
      <c r="B13" s="264"/>
      <c r="C13" s="264"/>
      <c r="D13" s="264"/>
      <c r="E13" s="264"/>
      <c r="F13" s="264"/>
      <c r="G13" s="264"/>
      <c r="H13" s="264"/>
      <c r="I13" s="264"/>
      <c r="J13" s="264"/>
      <c r="K13" s="264"/>
      <c r="L13" s="264"/>
      <c r="M13" s="264"/>
      <c r="N13" s="264"/>
      <c r="O13" s="264"/>
      <c r="P13" s="264"/>
      <c r="Q13" s="264"/>
      <c r="R13" s="264"/>
    </row>
    <row r="14" spans="1:21" s="256" customFormat="1" ht="8.25" customHeight="1">
      <c r="A14" s="255"/>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s="256" customFormat="1" ht="26.25" customHeight="1">
      <c r="A15" s="266" t="str">
        <f>+"Total "&amp;B4</f>
        <v>Total Administrative and General Depreciation Expense</v>
      </c>
      <c r="B15" s="267">
        <f t="shared" ref="B15:P15" si="1">+SUM(B10:B14)</f>
        <v>1027</v>
      </c>
      <c r="C15" s="267">
        <f t="shared" si="1"/>
        <v>1020</v>
      </c>
      <c r="D15" s="267">
        <f t="shared" si="1"/>
        <v>1275</v>
      </c>
      <c r="E15" s="267">
        <f t="shared" si="1"/>
        <v>1363</v>
      </c>
      <c r="F15" s="267">
        <f t="shared" si="1"/>
        <v>1180</v>
      </c>
      <c r="G15" s="267">
        <f t="shared" si="1"/>
        <v>1343</v>
      </c>
      <c r="H15" s="267">
        <f t="shared" si="1"/>
        <v>1282</v>
      </c>
      <c r="I15" s="267">
        <f t="shared" si="1"/>
        <v>1413</v>
      </c>
      <c r="J15" s="267">
        <f t="shared" si="1"/>
        <v>1371</v>
      </c>
      <c r="K15" s="267">
        <f t="shared" si="1"/>
        <v>1289</v>
      </c>
      <c r="L15" s="267">
        <f t="shared" si="1"/>
        <v>1918</v>
      </c>
      <c r="M15" s="267">
        <f t="shared" si="1"/>
        <v>2240</v>
      </c>
      <c r="N15" s="267">
        <f t="shared" si="1"/>
        <v>3093</v>
      </c>
      <c r="O15" s="267">
        <f t="shared" si="1"/>
        <v>3868</v>
      </c>
      <c r="P15" s="267">
        <f t="shared" si="1"/>
        <v>4389</v>
      </c>
      <c r="Q15" s="267">
        <f t="shared" ref="Q15:R15" si="2">+SUM(Q10:Q14)</f>
        <v>5649</v>
      </c>
      <c r="R15" s="267">
        <f t="shared" si="2"/>
        <v>6260</v>
      </c>
    </row>
    <row r="16" spans="1:21" s="256" customFormat="1">
      <c r="A16" s="255"/>
      <c r="B16" s="255"/>
      <c r="C16" s="255"/>
      <c r="D16" s="255"/>
      <c r="E16" s="255"/>
      <c r="F16" s="255"/>
      <c r="G16" s="255"/>
      <c r="H16" s="255"/>
      <c r="I16" s="255"/>
      <c r="J16" s="255"/>
      <c r="K16" s="255"/>
      <c r="L16" s="255"/>
      <c r="M16" s="255"/>
      <c r="N16" s="255"/>
      <c r="O16" s="255"/>
      <c r="P16" s="268"/>
      <c r="Q16" s="255"/>
      <c r="R16" s="255"/>
    </row>
    <row r="17" spans="1:20" s="256" customFormat="1">
      <c r="A17" s="255"/>
      <c r="B17" s="255"/>
      <c r="C17" s="255"/>
      <c r="D17" s="255"/>
      <c r="E17" s="255"/>
      <c r="F17" s="255"/>
      <c r="G17" s="255"/>
      <c r="H17" s="255"/>
      <c r="I17" s="255"/>
      <c r="J17" s="255"/>
      <c r="K17" s="255"/>
      <c r="L17" s="255"/>
      <c r="M17" s="255"/>
      <c r="N17" s="255"/>
      <c r="O17" s="255"/>
      <c r="P17" s="268"/>
      <c r="Q17" s="255"/>
      <c r="R17" s="255"/>
    </row>
    <row r="18" spans="1:20" s="256" customFormat="1">
      <c r="A18" s="269" t="s">
        <v>272</v>
      </c>
      <c r="B18" s="270"/>
      <c r="C18" s="271"/>
      <c r="D18" s="269" t="s">
        <v>326</v>
      </c>
      <c r="E18" s="269"/>
      <c r="F18" s="270"/>
      <c r="G18" s="270"/>
      <c r="H18" s="270"/>
      <c r="I18" s="270"/>
      <c r="J18" s="270"/>
      <c r="K18" s="270"/>
      <c r="L18" s="270"/>
      <c r="M18" s="270"/>
      <c r="N18" s="270"/>
      <c r="O18" s="270"/>
      <c r="P18" s="272"/>
      <c r="Q18" s="270"/>
      <c r="R18" s="270"/>
    </row>
    <row r="19" spans="1:20" s="256" customFormat="1" ht="19.5" customHeight="1">
      <c r="B19" s="273"/>
      <c r="C19" s="273"/>
      <c r="D19" s="273"/>
      <c r="E19" s="273"/>
      <c r="F19" s="273"/>
      <c r="G19" s="273"/>
      <c r="H19" s="273"/>
      <c r="I19" s="273"/>
      <c r="J19" s="255"/>
      <c r="K19" s="255"/>
      <c r="L19" s="255"/>
      <c r="M19" s="255"/>
      <c r="N19" s="255"/>
      <c r="O19" s="255"/>
      <c r="P19" s="255"/>
      <c r="Q19" s="255"/>
      <c r="R19" s="255"/>
    </row>
    <row r="20" spans="1:20" ht="19.5" customHeight="1">
      <c r="A20" s="255" t="s">
        <v>324</v>
      </c>
      <c r="B20" s="274">
        <f ca="1">+LINEST(
OFFSET($B$77,0,0,1,SUM($B$71:$R$71)),
OFFSET($B$76,0,0,1,SUM($B$71:$R$71)),
,
1)</f>
        <v>286.6838235294116</v>
      </c>
      <c r="C20" s="273"/>
      <c r="D20" s="273"/>
      <c r="E20" s="273"/>
      <c r="F20" s="273"/>
      <c r="G20" s="273"/>
      <c r="H20" s="273"/>
      <c r="I20" s="273"/>
    </row>
    <row r="21" spans="1:20" ht="19.5" customHeight="1">
      <c r="A21" s="256" t="s">
        <v>325</v>
      </c>
      <c r="B21" s="273">
        <f ca="1">RSQ(
OFFSET($B$77,0,0,1,SUM($B$71:$R$71)),
OFFSET($B$76,0,0,1,SUM($B$71:$R$71))
)</f>
        <v>0.736674778336739</v>
      </c>
      <c r="C21" s="274"/>
      <c r="D21" s="274"/>
      <c r="E21" s="274"/>
      <c r="F21" s="274"/>
      <c r="G21" s="274"/>
      <c r="H21" s="274"/>
      <c r="I21" s="274"/>
    </row>
    <row r="22" spans="1:20" ht="19.5" customHeight="1">
      <c r="A22" s="255" t="s">
        <v>273</v>
      </c>
      <c r="B22" s="275">
        <f ca="1">+B20/R15</f>
        <v>4.5796137943995466E-2</v>
      </c>
      <c r="C22" s="273"/>
      <c r="D22" s="273"/>
      <c r="E22" s="273"/>
      <c r="F22" s="273"/>
      <c r="G22" s="273"/>
      <c r="H22" s="273"/>
      <c r="I22" s="273"/>
    </row>
    <row r="23" spans="1:20" ht="19.5" customHeight="1">
      <c r="A23" s="268" t="str">
        <f>+'2) ROR'!$D$46&amp;"-year Growth Rate"</f>
        <v>1-year Growth Rate</v>
      </c>
      <c r="B23" s="293">
        <f ca="1">ROUND(B22*'2) ROR'!$D$46,4)</f>
        <v>4.58E-2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2" spans="19:21">
      <c r="S62" s="279"/>
      <c r="T62" s="279"/>
      <c r="U62" s="279"/>
    </row>
    <row r="68" spans="1:21">
      <c r="S68" s="280"/>
      <c r="T68" s="280"/>
      <c r="U68" s="280"/>
    </row>
    <row r="69" spans="1:21">
      <c r="A69" s="281" t="s">
        <v>274</v>
      </c>
      <c r="S69" s="279"/>
      <c r="T69" s="279"/>
      <c r="U69" s="279"/>
    </row>
    <row r="70" spans="1:21">
      <c r="A70" s="281" t="s">
        <v>275</v>
      </c>
      <c r="B70" s="281">
        <f t="shared" ref="B70:P70" si="3">+B9</f>
        <v>2000</v>
      </c>
      <c r="C70" s="281">
        <f t="shared" si="3"/>
        <v>2001</v>
      </c>
      <c r="D70" s="281">
        <f t="shared" si="3"/>
        <v>2002</v>
      </c>
      <c r="E70" s="281">
        <f t="shared" si="3"/>
        <v>2003</v>
      </c>
      <c r="F70" s="281">
        <f t="shared" si="3"/>
        <v>2004</v>
      </c>
      <c r="G70" s="281">
        <f t="shared" si="3"/>
        <v>2005</v>
      </c>
      <c r="H70" s="281">
        <f t="shared" si="3"/>
        <v>2006</v>
      </c>
      <c r="I70" s="281">
        <f t="shared" si="3"/>
        <v>2007</v>
      </c>
      <c r="J70" s="281">
        <f t="shared" si="3"/>
        <v>2008</v>
      </c>
      <c r="K70" s="281">
        <f t="shared" si="3"/>
        <v>2009</v>
      </c>
      <c r="L70" s="281">
        <f t="shared" si="3"/>
        <v>2010</v>
      </c>
      <c r="M70" s="281">
        <f t="shared" si="3"/>
        <v>2011</v>
      </c>
      <c r="N70" s="281">
        <f t="shared" si="3"/>
        <v>2012</v>
      </c>
      <c r="O70" s="281">
        <f t="shared" si="3"/>
        <v>2013</v>
      </c>
      <c r="P70" s="281">
        <f t="shared" si="3"/>
        <v>2014</v>
      </c>
      <c r="Q70" s="281">
        <f t="shared" ref="Q70:R70" si="4">+Q9</f>
        <v>2015</v>
      </c>
      <c r="R70" s="281">
        <f t="shared" si="4"/>
        <v>2016</v>
      </c>
    </row>
    <row r="71" spans="1:21">
      <c r="A71" s="282" t="s">
        <v>276</v>
      </c>
      <c r="B71" s="282">
        <v>1</v>
      </c>
      <c r="C71" s="282">
        <v>1</v>
      </c>
      <c r="D71" s="282">
        <v>1</v>
      </c>
      <c r="E71" s="282">
        <v>1</v>
      </c>
      <c r="F71" s="282">
        <v>1</v>
      </c>
      <c r="G71" s="282">
        <v>1</v>
      </c>
      <c r="H71" s="282">
        <v>1</v>
      </c>
      <c r="I71" s="282">
        <v>1</v>
      </c>
      <c r="J71" s="282">
        <v>1</v>
      </c>
      <c r="K71" s="282">
        <v>1</v>
      </c>
      <c r="L71" s="282">
        <v>1</v>
      </c>
      <c r="M71" s="282">
        <v>1</v>
      </c>
      <c r="N71" s="282">
        <v>1</v>
      </c>
      <c r="O71" s="282">
        <v>1</v>
      </c>
      <c r="P71" s="282">
        <v>1</v>
      </c>
      <c r="Q71" s="282">
        <v>1</v>
      </c>
      <c r="R71" s="282">
        <v>1</v>
      </c>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74"/>
      <c r="B73" s="274"/>
      <c r="C73" s="274"/>
      <c r="D73" s="274"/>
      <c r="E73" s="274"/>
      <c r="F73" s="274"/>
      <c r="G73" s="274"/>
      <c r="H73" s="274"/>
      <c r="I73" s="274"/>
      <c r="J73" s="274"/>
      <c r="K73" s="274"/>
      <c r="L73" s="274"/>
      <c r="M73" s="274"/>
      <c r="N73" s="274"/>
      <c r="O73" s="274"/>
      <c r="P73" s="274"/>
      <c r="Q73" s="274"/>
      <c r="R73" s="274"/>
      <c r="S73" s="274"/>
      <c r="T73" s="274"/>
      <c r="U73" s="274"/>
    </row>
    <row r="74" spans="1:21">
      <c r="A74" s="283" t="s">
        <v>277</v>
      </c>
      <c r="B74" s="284">
        <f>+SUM($B71:B$71)</f>
        <v>1</v>
      </c>
      <c r="C74" s="284">
        <f>+SUM($B71:C$71)</f>
        <v>2</v>
      </c>
      <c r="D74" s="284">
        <f>+SUM($B71:D$71)</f>
        <v>3</v>
      </c>
      <c r="E74" s="284">
        <f>+SUM($B71:E$71)</f>
        <v>4</v>
      </c>
      <c r="F74" s="284">
        <f>+SUM($B71:F$71)</f>
        <v>5</v>
      </c>
      <c r="G74" s="284">
        <f>+SUM($B71:G$71)</f>
        <v>6</v>
      </c>
      <c r="H74" s="284">
        <f>+SUM($B71:H$71)</f>
        <v>7</v>
      </c>
      <c r="I74" s="284">
        <f>+SUM($B71:I$71)</f>
        <v>8</v>
      </c>
      <c r="J74" s="284">
        <f>+SUM($B71:J$71)</f>
        <v>9</v>
      </c>
      <c r="K74" s="284">
        <f>+SUM($B71:K$71)</f>
        <v>10</v>
      </c>
      <c r="L74" s="284">
        <f>+SUM($B71:L$71)</f>
        <v>11</v>
      </c>
      <c r="M74" s="284">
        <f>+SUM($B71:M$71)</f>
        <v>12</v>
      </c>
      <c r="N74" s="284">
        <f>+SUM($B71:N$71)</f>
        <v>13</v>
      </c>
      <c r="O74" s="284">
        <f>+SUM($B71:O$71)</f>
        <v>14</v>
      </c>
      <c r="P74" s="284">
        <f>+SUM($B71:P$71)</f>
        <v>15</v>
      </c>
      <c r="Q74" s="284">
        <f>+SUM($B71:Q$71)</f>
        <v>16</v>
      </c>
      <c r="R74" s="284">
        <f>+SUM($B71:R$71)</f>
        <v>17</v>
      </c>
      <c r="S74" s="274"/>
      <c r="T74" s="274"/>
      <c r="U74" s="274"/>
    </row>
    <row r="75" spans="1:21">
      <c r="A75" s="283" t="s">
        <v>278</v>
      </c>
      <c r="B75" s="285">
        <v>1</v>
      </c>
      <c r="C75" s="285">
        <f t="shared" ref="C75:K75" si="5">+B75+1</f>
        <v>2</v>
      </c>
      <c r="D75" s="285">
        <f t="shared" si="5"/>
        <v>3</v>
      </c>
      <c r="E75" s="285">
        <f t="shared" si="5"/>
        <v>4</v>
      </c>
      <c r="F75" s="285">
        <f t="shared" si="5"/>
        <v>5</v>
      </c>
      <c r="G75" s="285">
        <f t="shared" si="5"/>
        <v>6</v>
      </c>
      <c r="H75" s="285">
        <f t="shared" si="5"/>
        <v>7</v>
      </c>
      <c r="I75" s="285">
        <f t="shared" si="5"/>
        <v>8</v>
      </c>
      <c r="J75" s="285">
        <f t="shared" si="5"/>
        <v>9</v>
      </c>
      <c r="K75" s="285">
        <f t="shared" si="5"/>
        <v>10</v>
      </c>
      <c r="L75" s="285">
        <f>+K75+1</f>
        <v>11</v>
      </c>
      <c r="M75" s="285">
        <f t="shared" ref="M75:P75" si="6">+L75+1</f>
        <v>12</v>
      </c>
      <c r="N75" s="285">
        <f t="shared" si="6"/>
        <v>13</v>
      </c>
      <c r="O75" s="285">
        <f t="shared" si="6"/>
        <v>14</v>
      </c>
      <c r="P75" s="285">
        <f t="shared" si="6"/>
        <v>15</v>
      </c>
      <c r="Q75" s="285">
        <f t="shared" ref="Q75" si="7">+P75+1</f>
        <v>16</v>
      </c>
      <c r="R75" s="285">
        <f t="shared" ref="R75" si="8">+Q75+1</f>
        <v>17</v>
      </c>
    </row>
    <row r="76" spans="1:21">
      <c r="A76" s="283" t="s">
        <v>279</v>
      </c>
      <c r="B76" s="285">
        <f t="shared" ref="B76:R76" ca="1" si="9">+OFFSET($A$70,0,MATCH(B$75,$B$74:$R$74,0))</f>
        <v>2000</v>
      </c>
      <c r="C76" s="285">
        <f t="shared" ca="1" si="9"/>
        <v>2001</v>
      </c>
      <c r="D76" s="285">
        <f t="shared" ca="1" si="9"/>
        <v>2002</v>
      </c>
      <c r="E76" s="285">
        <f t="shared" ca="1" si="9"/>
        <v>2003</v>
      </c>
      <c r="F76" s="285">
        <f t="shared" ca="1" si="9"/>
        <v>2004</v>
      </c>
      <c r="G76" s="285">
        <f t="shared" ca="1" si="9"/>
        <v>2005</v>
      </c>
      <c r="H76" s="285">
        <f t="shared" ca="1" si="9"/>
        <v>2006</v>
      </c>
      <c r="I76" s="285">
        <f t="shared" ca="1" si="9"/>
        <v>2007</v>
      </c>
      <c r="J76" s="285">
        <f t="shared" ca="1" si="9"/>
        <v>2008</v>
      </c>
      <c r="K76" s="285">
        <f t="shared" ca="1" si="9"/>
        <v>2009</v>
      </c>
      <c r="L76" s="285">
        <f t="shared" ca="1" si="9"/>
        <v>2010</v>
      </c>
      <c r="M76" s="285">
        <f t="shared" ca="1" si="9"/>
        <v>2011</v>
      </c>
      <c r="N76" s="285">
        <f t="shared" ca="1" si="9"/>
        <v>2012</v>
      </c>
      <c r="O76" s="285">
        <f t="shared" ca="1" si="9"/>
        <v>2013</v>
      </c>
      <c r="P76" s="285">
        <f t="shared" ca="1" si="9"/>
        <v>2014</v>
      </c>
      <c r="Q76" s="285">
        <f t="shared" ca="1" si="9"/>
        <v>2015</v>
      </c>
      <c r="R76" s="285">
        <f t="shared" ca="1" si="9"/>
        <v>2016</v>
      </c>
    </row>
    <row r="77" spans="1:21">
      <c r="A77" s="283" t="s">
        <v>280</v>
      </c>
      <c r="B77" s="283">
        <f t="shared" ref="B77:R77" ca="1" si="10">+INDEX(15:15,1,MATCH(B$76,9:9,0))</f>
        <v>1027</v>
      </c>
      <c r="C77" s="283">
        <f t="shared" ca="1" si="10"/>
        <v>1020</v>
      </c>
      <c r="D77" s="283">
        <f t="shared" ca="1" si="10"/>
        <v>1275</v>
      </c>
      <c r="E77" s="283">
        <f t="shared" ca="1" si="10"/>
        <v>1363</v>
      </c>
      <c r="F77" s="283">
        <f t="shared" ca="1" si="10"/>
        <v>1180</v>
      </c>
      <c r="G77" s="283">
        <f t="shared" ca="1" si="10"/>
        <v>1343</v>
      </c>
      <c r="H77" s="283">
        <f t="shared" ca="1" si="10"/>
        <v>1282</v>
      </c>
      <c r="I77" s="283">
        <f t="shared" ca="1" si="10"/>
        <v>1413</v>
      </c>
      <c r="J77" s="283">
        <f t="shared" ca="1" si="10"/>
        <v>1371</v>
      </c>
      <c r="K77" s="283">
        <f t="shared" ca="1" si="10"/>
        <v>1289</v>
      </c>
      <c r="L77" s="283">
        <f t="shared" ca="1" si="10"/>
        <v>1918</v>
      </c>
      <c r="M77" s="283">
        <f t="shared" ca="1" si="10"/>
        <v>2240</v>
      </c>
      <c r="N77" s="283">
        <f t="shared" ca="1" si="10"/>
        <v>3093</v>
      </c>
      <c r="O77" s="283">
        <f t="shared" ca="1" si="10"/>
        <v>3868</v>
      </c>
      <c r="P77" s="283">
        <f t="shared" ca="1" si="10"/>
        <v>4389</v>
      </c>
      <c r="Q77" s="283">
        <f t="shared" ca="1" si="10"/>
        <v>5649</v>
      </c>
      <c r="R77" s="283">
        <f t="shared" ca="1" si="10"/>
        <v>6260</v>
      </c>
    </row>
    <row r="80" spans="1:21">
      <c r="A80" s="286"/>
      <c r="B80" s="287" t="s">
        <v>281</v>
      </c>
      <c r="C80" s="288"/>
    </row>
    <row r="81" spans="1:4">
      <c r="A81" s="286" t="s">
        <v>252</v>
      </c>
      <c r="B81" s="289">
        <f t="array" aca="1" ref="B81:C85" ca="1">+LINEST(
OFFSET($B77,0,0,1,SUM($B71:$R71)),
OFFSET($B76,0,0,1,SUM($B71:$R71)),
,
1)</f>
        <v>286.6838235294116</v>
      </c>
      <c r="C81" s="289">
        <f ca="1"/>
        <v>-573309.35294117604</v>
      </c>
      <c r="D81" s="255" t="s">
        <v>282</v>
      </c>
    </row>
    <row r="82" spans="1:4">
      <c r="A82" s="286" t="s">
        <v>283</v>
      </c>
      <c r="B82" s="289">
        <f ca="1"/>
        <v>44.255360947105949</v>
      </c>
      <c r="C82" s="289">
        <f ca="1"/>
        <v>88865.029255663801</v>
      </c>
      <c r="D82" s="255" t="s">
        <v>284</v>
      </c>
    </row>
    <row r="83" spans="1:4">
      <c r="A83" s="286" t="s">
        <v>285</v>
      </c>
      <c r="B83" s="289">
        <f ca="1"/>
        <v>0.73667477833673878</v>
      </c>
      <c r="C83" s="289">
        <f ca="1"/>
        <v>893.91447286858579</v>
      </c>
      <c r="D83" s="255" t="s">
        <v>286</v>
      </c>
    </row>
    <row r="84" spans="1:4">
      <c r="A84" s="290" t="s">
        <v>287</v>
      </c>
      <c r="B84" s="289">
        <f ca="1"/>
        <v>41.963780017935051</v>
      </c>
      <c r="C84" s="289">
        <f ca="1"/>
        <v>15</v>
      </c>
      <c r="D84" s="255" t="s">
        <v>288</v>
      </c>
    </row>
    <row r="85" spans="1:4">
      <c r="A85" s="290" t="s">
        <v>289</v>
      </c>
      <c r="B85" s="289">
        <f ca="1"/>
        <v>33532546.786764704</v>
      </c>
      <c r="C85" s="289">
        <f ca="1"/>
        <v>11986246.272058824</v>
      </c>
      <c r="D85" s="255" t="s">
        <v>290</v>
      </c>
    </row>
    <row r="86" spans="1:4">
      <c r="A86" s="286"/>
    </row>
    <row r="87" spans="1:4">
      <c r="A87" s="286"/>
    </row>
    <row r="88" spans="1:4">
      <c r="A88" s="286" t="s">
        <v>291</v>
      </c>
      <c r="B88" s="255">
        <f ca="1">+B81/B82</f>
        <v>6.4779456633978514</v>
      </c>
    </row>
    <row r="89" spans="1:4">
      <c r="A89" s="290" t="s">
        <v>292</v>
      </c>
      <c r="B89" s="291">
        <f ca="1">+TDIST(B88,C84,2)</f>
        <v>1.0422542875687969E-5</v>
      </c>
    </row>
  </sheetData>
  <conditionalFormatting sqref="B15:H15 J15:R15">
    <cfRule type="expression" dxfId="9" priority="2">
      <formula>B$71=1</formula>
    </cfRule>
  </conditionalFormatting>
  <conditionalFormatting sqref="B15:I15">
    <cfRule type="expression" dxfId="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88"/>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307</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ht="15" customHeight="1">
      <c r="A11" s="265" t="s">
        <v>308</v>
      </c>
      <c r="B11" s="239">
        <f>+'Cost Trends'!F72</f>
        <v>13695</v>
      </c>
      <c r="C11" s="239">
        <f>+'Cost Trends'!G72</f>
        <v>13533</v>
      </c>
      <c r="D11" s="239">
        <f>+'Cost Trends'!H72</f>
        <v>13439</v>
      </c>
      <c r="E11" s="239">
        <f>+'Cost Trends'!I72</f>
        <v>13712</v>
      </c>
      <c r="F11" s="239">
        <f>+'Cost Trends'!J72</f>
        <v>13632</v>
      </c>
      <c r="G11" s="239">
        <f>+'Cost Trends'!K72</f>
        <v>13708</v>
      </c>
      <c r="H11" s="239">
        <f>+'Cost Trends'!L72</f>
        <v>13854</v>
      </c>
      <c r="I11" s="239">
        <f>+'Cost Trends'!M72</f>
        <v>13758</v>
      </c>
      <c r="J11" s="239">
        <f>+'Cost Trends'!N72</f>
        <v>15260</v>
      </c>
      <c r="K11" s="239">
        <f>+'Cost Trends'!O72</f>
        <v>21798</v>
      </c>
      <c r="L11" s="239">
        <f>+'Cost Trends'!P72</f>
        <v>20047</v>
      </c>
      <c r="M11" s="239">
        <f>+'Cost Trends'!Q72</f>
        <v>22008</v>
      </c>
      <c r="N11" s="239">
        <f>+'Cost Trends'!R72</f>
        <v>24365</v>
      </c>
      <c r="O11" s="239">
        <f>+'Cost Trends'!S72</f>
        <v>24711</v>
      </c>
      <c r="P11" s="239">
        <f>+'Cost Trends'!T72</f>
        <v>25235</v>
      </c>
      <c r="Q11" s="239">
        <f>+'Cost Trends'!U72</f>
        <v>25720</v>
      </c>
      <c r="R11" s="239">
        <f>+'Cost Trends'!V72</f>
        <v>26868</v>
      </c>
    </row>
    <row r="12" spans="1:21" s="256" customFormat="1" ht="15" customHeight="1">
      <c r="A12" s="255" t="s">
        <v>309</v>
      </c>
      <c r="B12" s="292">
        <f>-'Cost Trends'!F78</f>
        <v>-6192</v>
      </c>
      <c r="C12" s="292">
        <f>-'Cost Trends'!G78</f>
        <v>-6220</v>
      </c>
      <c r="D12" s="292">
        <f>-'Cost Trends'!H78</f>
        <v>-6115</v>
      </c>
      <c r="E12" s="292">
        <f>-'Cost Trends'!I78</f>
        <v>-6495</v>
      </c>
      <c r="F12" s="292">
        <f>-'Cost Trends'!J78</f>
        <v>-6659</v>
      </c>
      <c r="G12" s="292">
        <f>-'Cost Trends'!K78</f>
        <v>-6924</v>
      </c>
      <c r="H12" s="292">
        <f>-'Cost Trends'!L78</f>
        <v>-7249</v>
      </c>
      <c r="I12" s="292">
        <f>-'Cost Trends'!M78</f>
        <v>-7427</v>
      </c>
      <c r="J12" s="292">
        <f>-'Cost Trends'!N78</f>
        <v>-7581</v>
      </c>
      <c r="K12" s="292">
        <f>-'Cost Trends'!O78</f>
        <v>-7807</v>
      </c>
      <c r="L12" s="292">
        <f>-'Cost Trends'!P78</f>
        <v>-7912</v>
      </c>
      <c r="M12" s="292">
        <f>-'Cost Trends'!Q78</f>
        <v>-8286</v>
      </c>
      <c r="N12" s="292">
        <f>-'Cost Trends'!R78</f>
        <v>-8677</v>
      </c>
      <c r="O12" s="292">
        <f>-'Cost Trends'!S78</f>
        <v>-9088</v>
      </c>
      <c r="P12" s="292">
        <f>-'Cost Trends'!T78</f>
        <v>-9521</v>
      </c>
      <c r="Q12" s="292">
        <f>-'Cost Trends'!U78</f>
        <v>-9906</v>
      </c>
      <c r="R12" s="292">
        <f>-'Cost Trends'!V78</f>
        <v>-10318</v>
      </c>
    </row>
    <row r="13" spans="1:21" s="256" customFormat="1" ht="8.25" customHeight="1">
      <c r="A13" s="255"/>
      <c r="B13" s="264"/>
      <c r="C13" s="264"/>
      <c r="D13" s="264"/>
      <c r="E13" s="264"/>
      <c r="F13" s="264"/>
      <c r="G13" s="264"/>
      <c r="H13" s="264"/>
      <c r="I13" s="264"/>
      <c r="J13" s="264"/>
      <c r="K13" s="264"/>
      <c r="L13" s="264"/>
      <c r="M13" s="264"/>
      <c r="N13" s="264"/>
      <c r="O13" s="264"/>
      <c r="P13" s="264"/>
      <c r="Q13" s="264"/>
      <c r="R13" s="264"/>
    </row>
    <row r="14" spans="1:21" s="256" customFormat="1" ht="8.25" customHeight="1">
      <c r="A14" s="255"/>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s="256" customFormat="1" ht="26.25" customHeight="1">
      <c r="A15" s="266" t="str">
        <f>+"Total "&amp;B4</f>
        <v>Total Undgerground Storage Net Plant</v>
      </c>
      <c r="B15" s="267">
        <f t="shared" ref="B15:P15" si="1">+SUM(B10:B14)</f>
        <v>7503</v>
      </c>
      <c r="C15" s="267">
        <f t="shared" si="1"/>
        <v>7313</v>
      </c>
      <c r="D15" s="267">
        <f t="shared" si="1"/>
        <v>7324</v>
      </c>
      <c r="E15" s="267">
        <f t="shared" si="1"/>
        <v>7217</v>
      </c>
      <c r="F15" s="267">
        <f t="shared" si="1"/>
        <v>6973</v>
      </c>
      <c r="G15" s="267">
        <f t="shared" si="1"/>
        <v>6784</v>
      </c>
      <c r="H15" s="267">
        <f t="shared" si="1"/>
        <v>6605</v>
      </c>
      <c r="I15" s="267">
        <f t="shared" si="1"/>
        <v>6331</v>
      </c>
      <c r="J15" s="267">
        <f t="shared" si="1"/>
        <v>7679</v>
      </c>
      <c r="K15" s="267">
        <f t="shared" si="1"/>
        <v>13991</v>
      </c>
      <c r="L15" s="267">
        <f t="shared" si="1"/>
        <v>12135</v>
      </c>
      <c r="M15" s="267">
        <f t="shared" si="1"/>
        <v>13722</v>
      </c>
      <c r="N15" s="267">
        <f t="shared" si="1"/>
        <v>15688</v>
      </c>
      <c r="O15" s="267">
        <f t="shared" si="1"/>
        <v>15623</v>
      </c>
      <c r="P15" s="267">
        <f t="shared" si="1"/>
        <v>15714</v>
      </c>
      <c r="Q15" s="267">
        <f t="shared" ref="Q15:R15" si="2">+SUM(Q10:Q14)</f>
        <v>15814</v>
      </c>
      <c r="R15" s="267">
        <f t="shared" si="2"/>
        <v>16550</v>
      </c>
    </row>
    <row r="16" spans="1:21" s="256" customFormat="1">
      <c r="A16" s="255"/>
      <c r="B16" s="255"/>
      <c r="C16" s="255"/>
      <c r="D16" s="255"/>
      <c r="E16" s="255"/>
      <c r="F16" s="255"/>
      <c r="G16" s="255"/>
      <c r="H16" s="255"/>
      <c r="I16" s="255"/>
      <c r="J16" s="255"/>
      <c r="K16" s="255"/>
      <c r="L16" s="255"/>
      <c r="M16" s="255"/>
      <c r="N16" s="255"/>
      <c r="O16" s="255"/>
      <c r="P16" s="268"/>
      <c r="Q16" s="255"/>
      <c r="R16" s="268"/>
    </row>
    <row r="17" spans="1:20" s="256" customFormat="1">
      <c r="A17" s="255"/>
      <c r="B17" s="255"/>
      <c r="C17" s="255"/>
      <c r="D17" s="255"/>
      <c r="E17" s="255"/>
      <c r="F17" s="255"/>
      <c r="G17" s="255"/>
      <c r="H17" s="255"/>
      <c r="I17" s="255"/>
      <c r="J17" s="255"/>
      <c r="K17" s="255"/>
      <c r="L17" s="255"/>
      <c r="M17" s="255"/>
      <c r="N17" s="255"/>
      <c r="O17" s="255"/>
      <c r="P17" s="268"/>
      <c r="Q17" s="255"/>
      <c r="R17" s="268"/>
    </row>
    <row r="18" spans="1:20" s="256" customFormat="1">
      <c r="A18" s="269" t="s">
        <v>272</v>
      </c>
      <c r="B18" s="270"/>
      <c r="C18" s="271"/>
      <c r="D18" s="269" t="s">
        <v>326</v>
      </c>
      <c r="E18" s="269"/>
      <c r="F18" s="270"/>
      <c r="G18" s="270"/>
      <c r="H18" s="270"/>
      <c r="I18" s="270"/>
      <c r="J18" s="270"/>
      <c r="K18" s="270"/>
      <c r="L18" s="270"/>
      <c r="M18" s="270"/>
      <c r="N18" s="270"/>
      <c r="O18" s="270"/>
      <c r="P18" s="272"/>
      <c r="Q18" s="270"/>
      <c r="R18" s="272"/>
    </row>
    <row r="19" spans="1:20" s="256" customFormat="1" ht="19.5" customHeight="1">
      <c r="B19" s="273"/>
      <c r="C19" s="273"/>
      <c r="D19" s="273"/>
      <c r="E19" s="273"/>
      <c r="F19" s="273"/>
      <c r="G19" s="273"/>
      <c r="H19" s="273"/>
      <c r="I19" s="273"/>
      <c r="J19" s="255"/>
      <c r="K19" s="255"/>
      <c r="L19" s="255"/>
      <c r="M19" s="255"/>
      <c r="N19" s="255"/>
      <c r="O19" s="255"/>
      <c r="P19" s="255"/>
      <c r="Q19" s="255"/>
      <c r="R19" s="255"/>
    </row>
    <row r="20" spans="1:20" ht="19.5" customHeight="1">
      <c r="A20" s="255" t="s">
        <v>324</v>
      </c>
      <c r="B20" s="274">
        <f ca="1">+LINEST(
OFFSET($B$76,0,0,1,SUM($B$70:$R$70)),
OFFSET($B$75,0,0,1,SUM($B$70:$R$70)),
,
1)</f>
        <v>191.49999999999997</v>
      </c>
      <c r="C20" s="273"/>
      <c r="D20" s="273"/>
      <c r="E20" s="273"/>
      <c r="F20" s="273"/>
      <c r="G20" s="273"/>
      <c r="H20" s="273"/>
      <c r="I20" s="273"/>
    </row>
    <row r="21" spans="1:20" ht="19.5" customHeight="1">
      <c r="A21" s="256" t="s">
        <v>325</v>
      </c>
      <c r="B21" s="273">
        <f ca="1">RSQ(
OFFSET($B$76,0,0,1,SUM($B$70:$R$70)),
OFFSET($B$75,0,0,1,SUM($B$70:$R$70))
)</f>
        <v>0.62827136779665194</v>
      </c>
      <c r="C21" s="274"/>
      <c r="D21" s="274"/>
      <c r="E21" s="274"/>
      <c r="F21" s="274"/>
      <c r="G21" s="274"/>
      <c r="H21" s="274"/>
      <c r="I21" s="274"/>
    </row>
    <row r="22" spans="1:20" ht="19.5" customHeight="1">
      <c r="A22" s="255" t="s">
        <v>273</v>
      </c>
      <c r="B22" s="275">
        <f ca="1">+B20/R15</f>
        <v>1.1570996978851961E-2</v>
      </c>
      <c r="C22" s="273"/>
      <c r="D22" s="273"/>
      <c r="E22" s="273"/>
      <c r="F22" s="273"/>
      <c r="G22" s="273"/>
      <c r="H22" s="273"/>
      <c r="I22" s="273"/>
    </row>
    <row r="23" spans="1:20" ht="19.5" customHeight="1">
      <c r="A23" s="268" t="str">
        <f>+'2) ROR'!$D$46&amp;"-year Growth Rate"</f>
        <v>1-year Growth Rate</v>
      </c>
      <c r="B23" s="293">
        <f ca="1">ROUND(B22*'2) ROR'!$D$46,4)</f>
        <v>1.1599999999999999E-2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7" spans="1:21">
      <c r="S67" s="280"/>
      <c r="T67" s="280"/>
      <c r="U67" s="280"/>
    </row>
    <row r="68" spans="1:21">
      <c r="A68" s="281" t="s">
        <v>274</v>
      </c>
      <c r="S68" s="279"/>
      <c r="T68" s="279"/>
      <c r="U68" s="279"/>
    </row>
    <row r="69" spans="1:21">
      <c r="A69" s="281" t="s">
        <v>275</v>
      </c>
      <c r="B69" s="281">
        <f t="shared" ref="B69:P69" si="3">+B9</f>
        <v>2000</v>
      </c>
      <c r="C69" s="281">
        <f t="shared" si="3"/>
        <v>2001</v>
      </c>
      <c r="D69" s="281">
        <f t="shared" si="3"/>
        <v>2002</v>
      </c>
      <c r="E69" s="281">
        <f t="shared" si="3"/>
        <v>2003</v>
      </c>
      <c r="F69" s="281">
        <f t="shared" si="3"/>
        <v>2004</v>
      </c>
      <c r="G69" s="281">
        <f t="shared" si="3"/>
        <v>2005</v>
      </c>
      <c r="H69" s="281">
        <f t="shared" si="3"/>
        <v>2006</v>
      </c>
      <c r="I69" s="281">
        <f t="shared" si="3"/>
        <v>2007</v>
      </c>
      <c r="J69" s="281">
        <f t="shared" si="3"/>
        <v>2008</v>
      </c>
      <c r="K69" s="281">
        <f t="shared" si="3"/>
        <v>2009</v>
      </c>
      <c r="L69" s="281">
        <f t="shared" si="3"/>
        <v>2010</v>
      </c>
      <c r="M69" s="281">
        <f t="shared" si="3"/>
        <v>2011</v>
      </c>
      <c r="N69" s="281">
        <f t="shared" si="3"/>
        <v>2012</v>
      </c>
      <c r="O69" s="281">
        <f t="shared" si="3"/>
        <v>2013</v>
      </c>
      <c r="P69" s="281">
        <f t="shared" si="3"/>
        <v>2014</v>
      </c>
      <c r="Q69" s="281">
        <f t="shared" ref="Q69:R69" si="4">+Q9</f>
        <v>2015</v>
      </c>
      <c r="R69" s="281">
        <f t="shared" si="4"/>
        <v>2016</v>
      </c>
    </row>
    <row r="70" spans="1:21">
      <c r="A70" s="282" t="s">
        <v>276</v>
      </c>
      <c r="B70" s="282"/>
      <c r="C70" s="282"/>
      <c r="D70" s="282"/>
      <c r="E70" s="282"/>
      <c r="F70" s="282"/>
      <c r="G70" s="282"/>
      <c r="H70" s="282"/>
      <c r="I70" s="282"/>
      <c r="J70" s="282"/>
      <c r="K70" s="282"/>
      <c r="L70" s="282"/>
      <c r="M70" s="282"/>
      <c r="N70" s="282">
        <v>1</v>
      </c>
      <c r="O70" s="282">
        <v>1</v>
      </c>
      <c r="P70" s="282">
        <v>1</v>
      </c>
      <c r="Q70" s="282">
        <v>1</v>
      </c>
      <c r="R70" s="282">
        <v>1</v>
      </c>
    </row>
    <row r="71" spans="1:21">
      <c r="A71" s="274"/>
      <c r="B71" s="274"/>
      <c r="C71" s="274"/>
      <c r="D71" s="274"/>
      <c r="E71" s="274"/>
      <c r="F71" s="274"/>
      <c r="G71" s="274"/>
      <c r="H71" s="274"/>
      <c r="I71" s="274"/>
      <c r="J71" s="274"/>
      <c r="K71" s="274"/>
      <c r="L71" s="274"/>
      <c r="M71" s="274"/>
      <c r="N71" s="274"/>
      <c r="O71" s="274"/>
      <c r="P71" s="274"/>
      <c r="Q71" s="274"/>
      <c r="R71" s="274"/>
      <c r="S71" s="274"/>
      <c r="T71" s="274"/>
      <c r="U71" s="274"/>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83" t="s">
        <v>277</v>
      </c>
      <c r="B73" s="284">
        <f>+SUM($B70:B$70)</f>
        <v>0</v>
      </c>
      <c r="C73" s="284">
        <f>+SUM($B70:C$70)</f>
        <v>0</v>
      </c>
      <c r="D73" s="284">
        <f>+SUM($B70:D$70)</f>
        <v>0</v>
      </c>
      <c r="E73" s="284">
        <f>+SUM($B70:E$70)</f>
        <v>0</v>
      </c>
      <c r="F73" s="284">
        <f>+SUM($B70:F$70)</f>
        <v>0</v>
      </c>
      <c r="G73" s="284">
        <f>+SUM($B70:G$70)</f>
        <v>0</v>
      </c>
      <c r="H73" s="284">
        <f>+SUM($B70:H$70)</f>
        <v>0</v>
      </c>
      <c r="I73" s="284">
        <f>+SUM($B70:I$70)</f>
        <v>0</v>
      </c>
      <c r="J73" s="284">
        <f>+SUM($B70:J$70)</f>
        <v>0</v>
      </c>
      <c r="K73" s="284">
        <f>+SUM($B70:K$70)</f>
        <v>0</v>
      </c>
      <c r="L73" s="284">
        <f>+SUM($B70:L$70)</f>
        <v>0</v>
      </c>
      <c r="M73" s="284">
        <f>+SUM($B70:M$70)</f>
        <v>0</v>
      </c>
      <c r="N73" s="284">
        <f>+SUM($B70:N$70)</f>
        <v>1</v>
      </c>
      <c r="O73" s="284">
        <f>+SUM($B70:O$70)</f>
        <v>2</v>
      </c>
      <c r="P73" s="284">
        <f>+SUM($B70:P$70)</f>
        <v>3</v>
      </c>
      <c r="Q73" s="284">
        <f>+SUM($B70:Q$70)</f>
        <v>4</v>
      </c>
      <c r="R73" s="284">
        <f>+SUM($B70:R$70)</f>
        <v>5</v>
      </c>
      <c r="S73" s="274"/>
      <c r="T73" s="274"/>
      <c r="U73" s="274"/>
    </row>
    <row r="74" spans="1:21">
      <c r="A74" s="283" t="s">
        <v>278</v>
      </c>
      <c r="B74" s="285">
        <v>1</v>
      </c>
      <c r="C74" s="285">
        <f t="shared" ref="C74:K74" si="5">+B74+1</f>
        <v>2</v>
      </c>
      <c r="D74" s="285">
        <f t="shared" si="5"/>
        <v>3</v>
      </c>
      <c r="E74" s="285">
        <f t="shared" si="5"/>
        <v>4</v>
      </c>
      <c r="F74" s="285">
        <f t="shared" si="5"/>
        <v>5</v>
      </c>
      <c r="G74" s="285">
        <f t="shared" si="5"/>
        <v>6</v>
      </c>
      <c r="H74" s="285">
        <f t="shared" si="5"/>
        <v>7</v>
      </c>
      <c r="I74" s="285">
        <f t="shared" si="5"/>
        <v>8</v>
      </c>
      <c r="J74" s="285">
        <f t="shared" si="5"/>
        <v>9</v>
      </c>
      <c r="K74" s="285">
        <f t="shared" si="5"/>
        <v>10</v>
      </c>
      <c r="L74" s="285">
        <f>+K74+1</f>
        <v>11</v>
      </c>
      <c r="M74" s="285">
        <f t="shared" ref="M74:P74" si="6">+L74+1</f>
        <v>12</v>
      </c>
      <c r="N74" s="285">
        <f t="shared" si="6"/>
        <v>13</v>
      </c>
      <c r="O74" s="285">
        <f t="shared" si="6"/>
        <v>14</v>
      </c>
      <c r="P74" s="285">
        <f t="shared" si="6"/>
        <v>15</v>
      </c>
      <c r="Q74" s="285">
        <f t="shared" ref="Q74" si="7">+P74+1</f>
        <v>16</v>
      </c>
      <c r="R74" s="285">
        <f t="shared" ref="R74" si="8">+Q74+1</f>
        <v>17</v>
      </c>
    </row>
    <row r="75" spans="1:21">
      <c r="A75" s="283" t="s">
        <v>279</v>
      </c>
      <c r="B75" s="285">
        <f t="shared" ref="B75:R75" ca="1" si="9">+OFFSET($A$69,0,MATCH(B$74,$B$73:$R$73,0))</f>
        <v>2012</v>
      </c>
      <c r="C75" s="285">
        <f t="shared" ca="1" si="9"/>
        <v>2013</v>
      </c>
      <c r="D75" s="285">
        <f t="shared" ca="1" si="9"/>
        <v>2014</v>
      </c>
      <c r="E75" s="285">
        <f t="shared" ca="1" si="9"/>
        <v>2015</v>
      </c>
      <c r="F75" s="285">
        <f t="shared" ca="1" si="9"/>
        <v>2016</v>
      </c>
      <c r="G75" s="285" t="e">
        <f t="shared" ca="1" si="9"/>
        <v>#N/A</v>
      </c>
      <c r="H75" s="285" t="e">
        <f t="shared" ca="1" si="9"/>
        <v>#N/A</v>
      </c>
      <c r="I75" s="285" t="e">
        <f t="shared" ca="1" si="9"/>
        <v>#N/A</v>
      </c>
      <c r="J75" s="285" t="e">
        <f t="shared" ca="1" si="9"/>
        <v>#N/A</v>
      </c>
      <c r="K75" s="285" t="e">
        <f t="shared" ca="1" si="9"/>
        <v>#N/A</v>
      </c>
      <c r="L75" s="285" t="e">
        <f t="shared" ca="1" si="9"/>
        <v>#N/A</v>
      </c>
      <c r="M75" s="285" t="e">
        <f t="shared" ca="1" si="9"/>
        <v>#N/A</v>
      </c>
      <c r="N75" s="285" t="e">
        <f t="shared" ca="1" si="9"/>
        <v>#N/A</v>
      </c>
      <c r="O75" s="285" t="e">
        <f t="shared" ca="1" si="9"/>
        <v>#N/A</v>
      </c>
      <c r="P75" s="285" t="e">
        <f t="shared" ca="1" si="9"/>
        <v>#N/A</v>
      </c>
      <c r="Q75" s="285" t="e">
        <f t="shared" ca="1" si="9"/>
        <v>#N/A</v>
      </c>
      <c r="R75" s="285" t="e">
        <f t="shared" ca="1" si="9"/>
        <v>#N/A</v>
      </c>
    </row>
    <row r="76" spans="1:21">
      <c r="A76" s="283" t="s">
        <v>280</v>
      </c>
      <c r="B76" s="283">
        <f t="shared" ref="B76:R76" ca="1" si="10">+INDEX(15:15,1,MATCH(B$75,9:9,0))</f>
        <v>15688</v>
      </c>
      <c r="C76" s="283">
        <f t="shared" ca="1" si="10"/>
        <v>15623</v>
      </c>
      <c r="D76" s="283">
        <f t="shared" ca="1" si="10"/>
        <v>15714</v>
      </c>
      <c r="E76" s="283">
        <f t="shared" ca="1" si="10"/>
        <v>15814</v>
      </c>
      <c r="F76" s="283">
        <f t="shared" ca="1" si="10"/>
        <v>16550</v>
      </c>
      <c r="G76" s="283" t="e">
        <f t="shared" ca="1" si="10"/>
        <v>#N/A</v>
      </c>
      <c r="H76" s="283" t="e">
        <f t="shared" ca="1" si="10"/>
        <v>#N/A</v>
      </c>
      <c r="I76" s="283" t="e">
        <f t="shared" ca="1" si="10"/>
        <v>#N/A</v>
      </c>
      <c r="J76" s="283" t="e">
        <f t="shared" ca="1" si="10"/>
        <v>#N/A</v>
      </c>
      <c r="K76" s="283" t="e">
        <f t="shared" ca="1" si="10"/>
        <v>#N/A</v>
      </c>
      <c r="L76" s="283" t="e">
        <f t="shared" ca="1" si="10"/>
        <v>#N/A</v>
      </c>
      <c r="M76" s="283" t="e">
        <f t="shared" ca="1" si="10"/>
        <v>#N/A</v>
      </c>
      <c r="N76" s="283" t="e">
        <f t="shared" ca="1" si="10"/>
        <v>#N/A</v>
      </c>
      <c r="O76" s="283" t="e">
        <f t="shared" ca="1" si="10"/>
        <v>#N/A</v>
      </c>
      <c r="P76" s="283" t="e">
        <f t="shared" ca="1" si="10"/>
        <v>#N/A</v>
      </c>
      <c r="Q76" s="283" t="e">
        <f t="shared" ca="1" si="10"/>
        <v>#N/A</v>
      </c>
      <c r="R76" s="283" t="e">
        <f t="shared" ca="1" si="10"/>
        <v>#N/A</v>
      </c>
    </row>
    <row r="79" spans="1:21">
      <c r="A79" s="286"/>
      <c r="B79" s="287" t="s">
        <v>281</v>
      </c>
      <c r="C79" s="288"/>
    </row>
    <row r="80" spans="1:21">
      <c r="A80" s="286" t="s">
        <v>252</v>
      </c>
      <c r="B80" s="289">
        <f t="array" aca="1" ref="B80:C84" ca="1">+LINEST(
OFFSET($B76,0,0,1,SUM($B70:$R70)),
OFFSET($B75,0,0,1,SUM($B70:$R70)),
,
1)</f>
        <v>191.49999999999997</v>
      </c>
      <c r="C80" s="289">
        <f ca="1"/>
        <v>-369803.19999999995</v>
      </c>
      <c r="D80" s="255" t="s">
        <v>282</v>
      </c>
    </row>
    <row r="81" spans="1:4">
      <c r="A81" s="286" t="s">
        <v>283</v>
      </c>
      <c r="B81" s="289">
        <f ca="1"/>
        <v>85.044752924563198</v>
      </c>
      <c r="C81" s="289">
        <f ca="1"/>
        <v>171280.17461685403</v>
      </c>
      <c r="D81" s="255" t="s">
        <v>284</v>
      </c>
    </row>
    <row r="82" spans="1:4">
      <c r="A82" s="286" t="s">
        <v>285</v>
      </c>
      <c r="B82" s="289">
        <f ca="1"/>
        <v>0.62827136779665194</v>
      </c>
      <c r="C82" s="289">
        <f ca="1"/>
        <v>268.93512228788563</v>
      </c>
      <c r="D82" s="255" t="s">
        <v>286</v>
      </c>
    </row>
    <row r="83" spans="1:4">
      <c r="A83" s="290" t="s">
        <v>287</v>
      </c>
      <c r="B83" s="289">
        <f ca="1"/>
        <v>5.0704033536994251</v>
      </c>
      <c r="C83" s="289">
        <f ca="1"/>
        <v>3</v>
      </c>
      <c r="D83" s="255" t="s">
        <v>288</v>
      </c>
    </row>
    <row r="84" spans="1:4">
      <c r="A84" s="290" t="s">
        <v>289</v>
      </c>
      <c r="B84" s="289">
        <f ca="1"/>
        <v>366722.5</v>
      </c>
      <c r="C84" s="289">
        <f ca="1"/>
        <v>216978.30000000002</v>
      </c>
      <c r="D84" s="255" t="s">
        <v>290</v>
      </c>
    </row>
    <row r="85" spans="1:4">
      <c r="A85" s="286"/>
    </row>
    <row r="86" spans="1:4">
      <c r="A86" s="286"/>
    </row>
    <row r="87" spans="1:4">
      <c r="A87" s="286" t="s">
        <v>291</v>
      </c>
      <c r="B87" s="255">
        <f ca="1">+B80/B81</f>
        <v>2.2517556158916143</v>
      </c>
    </row>
    <row r="88" spans="1:4">
      <c r="A88" s="290" t="s">
        <v>292</v>
      </c>
      <c r="B88" s="291">
        <f ca="1">+TDIST(B87,C83,2)</f>
        <v>0.10975958884604936</v>
      </c>
    </row>
  </sheetData>
  <conditionalFormatting sqref="B15:H15 J15:R15">
    <cfRule type="expression" dxfId="7" priority="2">
      <formula>B$70=1</formula>
    </cfRule>
  </conditionalFormatting>
  <conditionalFormatting sqref="B15:I15">
    <cfRule type="expression" dxfId="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88"/>
  <sheetViews>
    <sheetView showGridLines="0" zoomScale="70" zoomScaleNormal="70" zoomScaleSheetLayoutView="55"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323</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310</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59"/>
      <c r="Q8" s="260"/>
      <c r="R8" s="260"/>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ht="15" customHeight="1">
      <c r="A11" s="265" t="s">
        <v>308</v>
      </c>
      <c r="B11" s="239">
        <f>+'Cost Trends'!F73</f>
        <v>169436</v>
      </c>
      <c r="C11" s="239">
        <f>+'Cost Trends'!G73</f>
        <v>178943</v>
      </c>
      <c r="D11" s="239">
        <f>+'Cost Trends'!H73</f>
        <v>185314</v>
      </c>
      <c r="E11" s="239">
        <f>+'Cost Trends'!I73</f>
        <v>191970</v>
      </c>
      <c r="F11" s="239">
        <f>+'Cost Trends'!J73</f>
        <v>200079</v>
      </c>
      <c r="G11" s="239">
        <f>+'Cost Trends'!K73</f>
        <v>208396</v>
      </c>
      <c r="H11" s="239">
        <f>+'Cost Trends'!L73</f>
        <v>219287</v>
      </c>
      <c r="I11" s="239">
        <f>+'Cost Trends'!M73</f>
        <v>229417</v>
      </c>
      <c r="J11" s="239">
        <f>+'Cost Trends'!N73</f>
        <v>240778</v>
      </c>
      <c r="K11" s="239">
        <f>+'Cost Trends'!O73</f>
        <v>255976</v>
      </c>
      <c r="L11" s="239">
        <f>+'Cost Trends'!P73</f>
        <v>269469</v>
      </c>
      <c r="M11" s="239">
        <f>+'Cost Trends'!Q73</f>
        <v>281279</v>
      </c>
      <c r="N11" s="239">
        <f>+'Cost Trends'!R73</f>
        <v>296152</v>
      </c>
      <c r="O11" s="239">
        <f>+'Cost Trends'!S73</f>
        <v>313469</v>
      </c>
      <c r="P11" s="239">
        <f>+'Cost Trends'!T73</f>
        <v>337894</v>
      </c>
      <c r="Q11" s="239">
        <f>+'Cost Trends'!U73</f>
        <v>360612</v>
      </c>
      <c r="R11" s="239">
        <f>+'Cost Trends'!V73</f>
        <v>390508</v>
      </c>
    </row>
    <row r="12" spans="1:21" s="256" customFormat="1" ht="15" customHeight="1">
      <c r="A12" s="255" t="s">
        <v>309</v>
      </c>
      <c r="B12" s="292">
        <f>-'Cost Trends'!F79</f>
        <v>-47423</v>
      </c>
      <c r="C12" s="292">
        <f>-'Cost Trends'!G79</f>
        <v>-51645</v>
      </c>
      <c r="D12" s="292">
        <f>-'Cost Trends'!H79</f>
        <v>-55845</v>
      </c>
      <c r="E12" s="292">
        <f>-'Cost Trends'!I79</f>
        <v>-60239</v>
      </c>
      <c r="F12" s="292">
        <f>-'Cost Trends'!J79</f>
        <v>-64817</v>
      </c>
      <c r="G12" s="292">
        <f>-'Cost Trends'!K79</f>
        <v>-69428</v>
      </c>
      <c r="H12" s="292">
        <f>-'Cost Trends'!L79</f>
        <v>-74019</v>
      </c>
      <c r="I12" s="292">
        <f>-'Cost Trends'!M79</f>
        <v>-77997</v>
      </c>
      <c r="J12" s="292">
        <f>-'Cost Trends'!N79</f>
        <v>-81405</v>
      </c>
      <c r="K12" s="292">
        <f>-'Cost Trends'!O79</f>
        <v>-84021</v>
      </c>
      <c r="L12" s="292">
        <f>-'Cost Trends'!P79</f>
        <v>-89620</v>
      </c>
      <c r="M12" s="292">
        <f>-'Cost Trends'!Q79</f>
        <v>-97489</v>
      </c>
      <c r="N12" s="292">
        <f>-'Cost Trends'!R79</f>
        <v>-102678</v>
      </c>
      <c r="O12" s="292">
        <f>-'Cost Trends'!S79</f>
        <v>-108662</v>
      </c>
      <c r="P12" s="292">
        <f>-'Cost Trends'!T79</f>
        <v>-114795</v>
      </c>
      <c r="Q12" s="292">
        <f>-'Cost Trends'!U79</f>
        <v>-121623</v>
      </c>
      <c r="R12" s="292">
        <f>-'Cost Trends'!V79</f>
        <v>-129098</v>
      </c>
    </row>
    <row r="13" spans="1:21" s="256" customFormat="1" ht="8.25" customHeight="1">
      <c r="A13" s="255"/>
      <c r="B13" s="264"/>
      <c r="C13" s="264"/>
      <c r="D13" s="264"/>
      <c r="E13" s="264"/>
      <c r="F13" s="264"/>
      <c r="G13" s="264"/>
      <c r="H13" s="264"/>
      <c r="I13" s="264"/>
      <c r="J13" s="264"/>
      <c r="K13" s="264"/>
      <c r="L13" s="264"/>
      <c r="M13" s="264"/>
      <c r="N13" s="264"/>
      <c r="O13" s="264"/>
      <c r="P13" s="264"/>
      <c r="Q13" s="264"/>
      <c r="R13" s="264"/>
    </row>
    <row r="14" spans="1:21" s="256" customFormat="1" ht="8.25" customHeight="1">
      <c r="A14" s="255"/>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s="256" customFormat="1" ht="26.25" customHeight="1">
      <c r="A15" s="266" t="str">
        <f>+"Total "&amp;B4</f>
        <v>Total Distribution Net Plant</v>
      </c>
      <c r="B15" s="267">
        <f t="shared" ref="B15:O15" si="1">+SUM(B10:B14)</f>
        <v>122013</v>
      </c>
      <c r="C15" s="267">
        <f t="shared" si="1"/>
        <v>127298</v>
      </c>
      <c r="D15" s="267">
        <f t="shared" si="1"/>
        <v>129469</v>
      </c>
      <c r="E15" s="267">
        <f t="shared" si="1"/>
        <v>131731</v>
      </c>
      <c r="F15" s="267">
        <f t="shared" si="1"/>
        <v>135262</v>
      </c>
      <c r="G15" s="267">
        <f t="shared" si="1"/>
        <v>138968</v>
      </c>
      <c r="H15" s="267">
        <f t="shared" si="1"/>
        <v>145268</v>
      </c>
      <c r="I15" s="267">
        <f t="shared" si="1"/>
        <v>151420</v>
      </c>
      <c r="J15" s="267">
        <f t="shared" si="1"/>
        <v>159373</v>
      </c>
      <c r="K15" s="267">
        <f t="shared" si="1"/>
        <v>171955</v>
      </c>
      <c r="L15" s="267">
        <f t="shared" si="1"/>
        <v>179849</v>
      </c>
      <c r="M15" s="267">
        <f t="shared" si="1"/>
        <v>183790</v>
      </c>
      <c r="N15" s="267">
        <f t="shared" si="1"/>
        <v>193474</v>
      </c>
      <c r="O15" s="267">
        <f t="shared" si="1"/>
        <v>204807</v>
      </c>
      <c r="P15" s="267">
        <f t="shared" ref="P15:R15" si="2">+SUM(P10:P14)</f>
        <v>223099</v>
      </c>
      <c r="Q15" s="267">
        <f t="shared" si="2"/>
        <v>238989</v>
      </c>
      <c r="R15" s="267">
        <f t="shared" si="2"/>
        <v>261410</v>
      </c>
    </row>
    <row r="16" spans="1:21" s="256" customFormat="1">
      <c r="A16" s="255"/>
      <c r="B16" s="255"/>
      <c r="C16" s="255"/>
      <c r="D16" s="255"/>
      <c r="E16" s="255"/>
      <c r="F16" s="255"/>
      <c r="G16" s="255"/>
      <c r="H16" s="255"/>
      <c r="I16" s="255"/>
      <c r="J16" s="255"/>
      <c r="K16" s="255"/>
      <c r="L16" s="255"/>
      <c r="M16" s="255"/>
      <c r="N16" s="255"/>
      <c r="O16" s="255"/>
      <c r="P16" s="255"/>
      <c r="Q16" s="255"/>
      <c r="R16" s="255"/>
    </row>
    <row r="17" spans="1:20" s="256" customFormat="1">
      <c r="A17" s="255"/>
      <c r="B17" s="255"/>
      <c r="C17" s="255"/>
      <c r="D17" s="255"/>
      <c r="E17" s="255"/>
      <c r="F17" s="255"/>
      <c r="G17" s="255"/>
      <c r="H17" s="255"/>
      <c r="I17" s="255"/>
      <c r="J17" s="255"/>
      <c r="K17" s="255"/>
      <c r="L17" s="255"/>
      <c r="M17" s="255"/>
      <c r="N17" s="255"/>
      <c r="O17" s="255"/>
      <c r="P17" s="255"/>
      <c r="Q17" s="255"/>
      <c r="R17" s="255"/>
    </row>
    <row r="18" spans="1:20" s="256" customFormat="1">
      <c r="A18" s="269" t="s">
        <v>272</v>
      </c>
      <c r="B18" s="270"/>
      <c r="C18" s="271"/>
      <c r="D18" s="269" t="s">
        <v>326</v>
      </c>
      <c r="E18" s="269"/>
      <c r="F18" s="270"/>
      <c r="G18" s="270"/>
      <c r="H18" s="270"/>
      <c r="I18" s="270"/>
      <c r="J18" s="270"/>
      <c r="K18" s="270"/>
      <c r="L18" s="270"/>
      <c r="M18" s="270"/>
      <c r="N18" s="270"/>
      <c r="O18" s="270"/>
      <c r="P18" s="270"/>
      <c r="Q18" s="270"/>
      <c r="R18" s="270"/>
    </row>
    <row r="19" spans="1:20" s="256" customFormat="1" ht="19.5" customHeight="1">
      <c r="B19" s="273"/>
      <c r="C19" s="273"/>
      <c r="D19" s="273"/>
      <c r="E19" s="273"/>
      <c r="F19" s="273"/>
      <c r="G19" s="273"/>
      <c r="H19" s="273"/>
      <c r="I19" s="273"/>
      <c r="J19" s="255"/>
      <c r="K19" s="255"/>
      <c r="L19" s="255"/>
      <c r="M19" s="255"/>
      <c r="N19" s="255"/>
      <c r="O19" s="255"/>
      <c r="P19" s="255"/>
      <c r="Q19" s="255"/>
      <c r="R19" s="255"/>
    </row>
    <row r="20" spans="1:20" ht="19.5" customHeight="1">
      <c r="A20" s="255" t="s">
        <v>324</v>
      </c>
      <c r="B20" s="274">
        <f ca="1">+LINEST(
OFFSET($B$76,0,0,1,SUM($B$70:$R$70)),
OFFSET($B$75,0,0,1,SUM($B$70:$R$70)),
,
1)</f>
        <v>8042.1176470588216</v>
      </c>
      <c r="C20" s="273"/>
      <c r="D20" s="273"/>
      <c r="E20" s="273"/>
      <c r="F20" s="273"/>
      <c r="G20" s="273"/>
      <c r="H20" s="273"/>
      <c r="I20" s="273"/>
    </row>
    <row r="21" spans="1:20" ht="19.5" customHeight="1">
      <c r="A21" s="256" t="s">
        <v>325</v>
      </c>
      <c r="B21" s="273">
        <f ca="1">RSQ(
OFFSET($B$76,0,0,1,SUM($B$70:$R$70)),
OFFSET($B$75,0,0,1,SUM($B$70:$R$70))
)</f>
        <v>0.92726864683205934</v>
      </c>
      <c r="C21" s="274"/>
      <c r="D21" s="274"/>
      <c r="E21" s="274"/>
      <c r="F21" s="274"/>
      <c r="G21" s="274"/>
      <c r="H21" s="274"/>
      <c r="I21" s="274"/>
    </row>
    <row r="22" spans="1:20" ht="19.5" customHeight="1">
      <c r="A22" s="255" t="s">
        <v>273</v>
      </c>
      <c r="B22" s="275">
        <f ca="1">+B20/R15</f>
        <v>3.0764384098002456E-2</v>
      </c>
      <c r="C22" s="273"/>
      <c r="D22" s="273"/>
      <c r="E22" s="273"/>
      <c r="F22" s="273"/>
      <c r="G22" s="273"/>
      <c r="H22" s="273"/>
      <c r="I22" s="273"/>
    </row>
    <row r="23" spans="1:20" ht="19.5" customHeight="1">
      <c r="A23" s="268" t="str">
        <f>+'2) ROR'!$D$46&amp;"-year Growth Rate"</f>
        <v>1-year Growth Rate</v>
      </c>
      <c r="B23" s="293">
        <f ca="1">ROUND(B22*'2) ROR'!$D$46,4)</f>
        <v>3.0800000000000001E-2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7" spans="1:21">
      <c r="S67" s="280"/>
      <c r="T67" s="280"/>
      <c r="U67" s="280"/>
    </row>
    <row r="68" spans="1:21">
      <c r="A68" s="281" t="s">
        <v>274</v>
      </c>
      <c r="S68" s="279"/>
      <c r="T68" s="279"/>
      <c r="U68" s="279"/>
    </row>
    <row r="69" spans="1:21">
      <c r="A69" s="281" t="s">
        <v>275</v>
      </c>
      <c r="B69" s="281">
        <f t="shared" ref="B69:O69" si="3">+B9</f>
        <v>2000</v>
      </c>
      <c r="C69" s="281">
        <f t="shared" si="3"/>
        <v>2001</v>
      </c>
      <c r="D69" s="281">
        <f t="shared" si="3"/>
        <v>2002</v>
      </c>
      <c r="E69" s="281">
        <f t="shared" si="3"/>
        <v>2003</v>
      </c>
      <c r="F69" s="281">
        <f t="shared" si="3"/>
        <v>2004</v>
      </c>
      <c r="G69" s="281">
        <f t="shared" si="3"/>
        <v>2005</v>
      </c>
      <c r="H69" s="281">
        <f t="shared" si="3"/>
        <v>2006</v>
      </c>
      <c r="I69" s="281">
        <f t="shared" si="3"/>
        <v>2007</v>
      </c>
      <c r="J69" s="281">
        <f t="shared" si="3"/>
        <v>2008</v>
      </c>
      <c r="K69" s="281">
        <f t="shared" si="3"/>
        <v>2009</v>
      </c>
      <c r="L69" s="281">
        <f t="shared" si="3"/>
        <v>2010</v>
      </c>
      <c r="M69" s="281">
        <f t="shared" si="3"/>
        <v>2011</v>
      </c>
      <c r="N69" s="281">
        <f t="shared" si="3"/>
        <v>2012</v>
      </c>
      <c r="O69" s="281">
        <f t="shared" si="3"/>
        <v>2013</v>
      </c>
      <c r="P69" s="281">
        <f t="shared" ref="P69:R69" si="4">+P9</f>
        <v>2014</v>
      </c>
      <c r="Q69" s="281">
        <f t="shared" si="4"/>
        <v>2015</v>
      </c>
      <c r="R69" s="281">
        <f t="shared" si="4"/>
        <v>2016</v>
      </c>
    </row>
    <row r="70" spans="1:21">
      <c r="A70" s="282" t="s">
        <v>276</v>
      </c>
      <c r="B70" s="282">
        <v>1</v>
      </c>
      <c r="C70" s="282">
        <v>1</v>
      </c>
      <c r="D70" s="282">
        <v>1</v>
      </c>
      <c r="E70" s="282">
        <v>1</v>
      </c>
      <c r="F70" s="282">
        <v>1</v>
      </c>
      <c r="G70" s="282">
        <v>1</v>
      </c>
      <c r="H70" s="282">
        <v>1</v>
      </c>
      <c r="I70" s="282">
        <v>1</v>
      </c>
      <c r="J70" s="282">
        <v>1</v>
      </c>
      <c r="K70" s="282">
        <v>1</v>
      </c>
      <c r="L70" s="282">
        <v>1</v>
      </c>
      <c r="M70" s="282">
        <v>1</v>
      </c>
      <c r="N70" s="282">
        <v>1</v>
      </c>
      <c r="O70" s="282">
        <v>1</v>
      </c>
      <c r="P70" s="282">
        <v>1</v>
      </c>
      <c r="Q70" s="282">
        <v>1</v>
      </c>
      <c r="R70" s="282">
        <v>1</v>
      </c>
    </row>
    <row r="71" spans="1:21">
      <c r="A71" s="274"/>
      <c r="B71" s="274"/>
      <c r="C71" s="274"/>
      <c r="D71" s="274"/>
      <c r="E71" s="274"/>
      <c r="F71" s="274"/>
      <c r="G71" s="274"/>
      <c r="H71" s="274"/>
      <c r="I71" s="274"/>
      <c r="J71" s="274"/>
      <c r="K71" s="274"/>
      <c r="L71" s="274"/>
      <c r="M71" s="274"/>
      <c r="N71" s="274"/>
      <c r="O71" s="274"/>
      <c r="P71" s="274"/>
      <c r="Q71" s="274"/>
      <c r="R71" s="274"/>
      <c r="S71" s="274"/>
      <c r="T71" s="274"/>
      <c r="U71" s="274"/>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83" t="s">
        <v>277</v>
      </c>
      <c r="B73" s="284">
        <f>+SUM($B70:B$70)</f>
        <v>1</v>
      </c>
      <c r="C73" s="284">
        <f>+SUM($B70:C$70)</f>
        <v>2</v>
      </c>
      <c r="D73" s="284">
        <f>+SUM($B70:D$70)</f>
        <v>3</v>
      </c>
      <c r="E73" s="284">
        <f>+SUM($B70:E$70)</f>
        <v>4</v>
      </c>
      <c r="F73" s="284">
        <f>+SUM($B70:F$70)</f>
        <v>5</v>
      </c>
      <c r="G73" s="284">
        <f>+SUM($B70:G$70)</f>
        <v>6</v>
      </c>
      <c r="H73" s="284">
        <f>+SUM($B70:H$70)</f>
        <v>7</v>
      </c>
      <c r="I73" s="284">
        <f>+SUM($B70:I$70)</f>
        <v>8</v>
      </c>
      <c r="J73" s="284">
        <f>+SUM($B70:J$70)</f>
        <v>9</v>
      </c>
      <c r="K73" s="284">
        <f>+SUM($B70:K$70)</f>
        <v>10</v>
      </c>
      <c r="L73" s="284">
        <f>+SUM($B70:L$70)</f>
        <v>11</v>
      </c>
      <c r="M73" s="284">
        <f>+SUM($B70:M$70)</f>
        <v>12</v>
      </c>
      <c r="N73" s="284">
        <f>+SUM($B70:N$70)</f>
        <v>13</v>
      </c>
      <c r="O73" s="284">
        <f>+SUM($B70:O$70)</f>
        <v>14</v>
      </c>
      <c r="P73" s="284">
        <f>+SUM($B70:P$70)</f>
        <v>15</v>
      </c>
      <c r="Q73" s="284">
        <f>+SUM($B70:Q$70)</f>
        <v>16</v>
      </c>
      <c r="R73" s="284">
        <f>+SUM($B70:R$70)</f>
        <v>17</v>
      </c>
      <c r="S73" s="274"/>
      <c r="T73" s="274"/>
      <c r="U73" s="274"/>
    </row>
    <row r="74" spans="1:21">
      <c r="A74" s="283" t="s">
        <v>278</v>
      </c>
      <c r="B74" s="285">
        <v>1</v>
      </c>
      <c r="C74" s="285">
        <f t="shared" ref="C74:K74" si="5">+B74+1</f>
        <v>2</v>
      </c>
      <c r="D74" s="285">
        <f t="shared" si="5"/>
        <v>3</v>
      </c>
      <c r="E74" s="285">
        <f t="shared" si="5"/>
        <v>4</v>
      </c>
      <c r="F74" s="285">
        <f t="shared" si="5"/>
        <v>5</v>
      </c>
      <c r="G74" s="285">
        <f t="shared" si="5"/>
        <v>6</v>
      </c>
      <c r="H74" s="285">
        <f t="shared" si="5"/>
        <v>7</v>
      </c>
      <c r="I74" s="285">
        <f t="shared" si="5"/>
        <v>8</v>
      </c>
      <c r="J74" s="285">
        <f t="shared" si="5"/>
        <v>9</v>
      </c>
      <c r="K74" s="285">
        <f t="shared" si="5"/>
        <v>10</v>
      </c>
      <c r="L74" s="285">
        <f>+K74+1</f>
        <v>11</v>
      </c>
      <c r="M74" s="285">
        <f t="shared" ref="M74:O74" si="6">+L74+1</f>
        <v>12</v>
      </c>
      <c r="N74" s="285">
        <f t="shared" si="6"/>
        <v>13</v>
      </c>
      <c r="O74" s="285">
        <f t="shared" si="6"/>
        <v>14</v>
      </c>
      <c r="P74" s="285">
        <f t="shared" ref="P74" si="7">+O74+1</f>
        <v>15</v>
      </c>
      <c r="Q74" s="285">
        <f t="shared" ref="Q74" si="8">+P74+1</f>
        <v>16</v>
      </c>
      <c r="R74" s="285">
        <f t="shared" ref="R74" si="9">+Q74+1</f>
        <v>17</v>
      </c>
    </row>
    <row r="75" spans="1:21">
      <c r="A75" s="283" t="s">
        <v>279</v>
      </c>
      <c r="B75" s="285">
        <f t="shared" ref="B75:R75" ca="1" si="10">+OFFSET($A$69,0,MATCH(B$74,$B$73:$R$73,0))</f>
        <v>2000</v>
      </c>
      <c r="C75" s="285">
        <f t="shared" ca="1" si="10"/>
        <v>2001</v>
      </c>
      <c r="D75" s="285">
        <f t="shared" ca="1" si="10"/>
        <v>2002</v>
      </c>
      <c r="E75" s="285">
        <f t="shared" ca="1" si="10"/>
        <v>2003</v>
      </c>
      <c r="F75" s="285">
        <f t="shared" ca="1" si="10"/>
        <v>2004</v>
      </c>
      <c r="G75" s="285">
        <f t="shared" ca="1" si="10"/>
        <v>2005</v>
      </c>
      <c r="H75" s="285">
        <f t="shared" ca="1" si="10"/>
        <v>2006</v>
      </c>
      <c r="I75" s="285">
        <f t="shared" ca="1" si="10"/>
        <v>2007</v>
      </c>
      <c r="J75" s="285">
        <f t="shared" ca="1" si="10"/>
        <v>2008</v>
      </c>
      <c r="K75" s="285">
        <f t="shared" ca="1" si="10"/>
        <v>2009</v>
      </c>
      <c r="L75" s="285">
        <f t="shared" ca="1" si="10"/>
        <v>2010</v>
      </c>
      <c r="M75" s="285">
        <f t="shared" ca="1" si="10"/>
        <v>2011</v>
      </c>
      <c r="N75" s="285">
        <f t="shared" ca="1" si="10"/>
        <v>2012</v>
      </c>
      <c r="O75" s="285">
        <f t="shared" ca="1" si="10"/>
        <v>2013</v>
      </c>
      <c r="P75" s="285">
        <f t="shared" ca="1" si="10"/>
        <v>2014</v>
      </c>
      <c r="Q75" s="285">
        <f t="shared" ca="1" si="10"/>
        <v>2015</v>
      </c>
      <c r="R75" s="285">
        <f t="shared" ca="1" si="10"/>
        <v>2016</v>
      </c>
    </row>
    <row r="76" spans="1:21">
      <c r="A76" s="283" t="s">
        <v>280</v>
      </c>
      <c r="B76" s="283">
        <f t="shared" ref="B76:R76" ca="1" si="11">+INDEX(15:15,1,MATCH(B$75,9:9,0))</f>
        <v>122013</v>
      </c>
      <c r="C76" s="283">
        <f t="shared" ca="1" si="11"/>
        <v>127298</v>
      </c>
      <c r="D76" s="283">
        <f t="shared" ca="1" si="11"/>
        <v>129469</v>
      </c>
      <c r="E76" s="283">
        <f t="shared" ca="1" si="11"/>
        <v>131731</v>
      </c>
      <c r="F76" s="283">
        <f t="shared" ca="1" si="11"/>
        <v>135262</v>
      </c>
      <c r="G76" s="283">
        <f t="shared" ca="1" si="11"/>
        <v>138968</v>
      </c>
      <c r="H76" s="283">
        <f t="shared" ca="1" si="11"/>
        <v>145268</v>
      </c>
      <c r="I76" s="283">
        <f t="shared" ca="1" si="11"/>
        <v>151420</v>
      </c>
      <c r="J76" s="283">
        <f t="shared" ca="1" si="11"/>
        <v>159373</v>
      </c>
      <c r="K76" s="283">
        <f t="shared" ca="1" si="11"/>
        <v>171955</v>
      </c>
      <c r="L76" s="283">
        <f t="shared" ca="1" si="11"/>
        <v>179849</v>
      </c>
      <c r="M76" s="283">
        <f t="shared" ca="1" si="11"/>
        <v>183790</v>
      </c>
      <c r="N76" s="283">
        <f t="shared" ca="1" si="11"/>
        <v>193474</v>
      </c>
      <c r="O76" s="283">
        <f t="shared" ca="1" si="11"/>
        <v>204807</v>
      </c>
      <c r="P76" s="283">
        <f t="shared" ca="1" si="11"/>
        <v>223099</v>
      </c>
      <c r="Q76" s="283">
        <f t="shared" ca="1" si="11"/>
        <v>238989</v>
      </c>
      <c r="R76" s="283">
        <f t="shared" ca="1" si="11"/>
        <v>261410</v>
      </c>
    </row>
    <row r="79" spans="1:21">
      <c r="A79" s="286"/>
      <c r="B79" s="287" t="s">
        <v>281</v>
      </c>
      <c r="C79" s="288"/>
    </row>
    <row r="80" spans="1:21">
      <c r="A80" s="286" t="s">
        <v>252</v>
      </c>
      <c r="B80" s="289">
        <f t="array" aca="1" ref="B80:C84" ca="1">+LINEST(
OFFSET($B76,0,0,1,SUM($B70:$R70)),
OFFSET($B75,0,0,1,SUM($B70:$R70)),
,
1)</f>
        <v>8042.1176470588216</v>
      </c>
      <c r="C80" s="289">
        <f ca="1"/>
        <v>-15978091.352941172</v>
      </c>
      <c r="D80" s="255" t="s">
        <v>282</v>
      </c>
    </row>
    <row r="81" spans="1:4">
      <c r="A81" s="286" t="s">
        <v>283</v>
      </c>
      <c r="B81" s="289">
        <f ca="1"/>
        <v>581.54434723157681</v>
      </c>
      <c r="C81" s="289">
        <f ca="1"/>
        <v>1167744.5246004597</v>
      </c>
      <c r="D81" s="255" t="s">
        <v>284</v>
      </c>
    </row>
    <row r="82" spans="1:4">
      <c r="A82" s="286" t="s">
        <v>285</v>
      </c>
      <c r="B82" s="289">
        <f ca="1"/>
        <v>0.9272686468320589</v>
      </c>
      <c r="C82" s="289">
        <f ca="1"/>
        <v>11746.620013483725</v>
      </c>
      <c r="D82" s="255" t="s">
        <v>286</v>
      </c>
    </row>
    <row r="83" spans="1:4">
      <c r="A83" s="290" t="s">
        <v>287</v>
      </c>
      <c r="B83" s="289">
        <f ca="1"/>
        <v>191.23842877450784</v>
      </c>
      <c r="C83" s="289">
        <f ca="1"/>
        <v>15</v>
      </c>
      <c r="D83" s="255" t="s">
        <v>288</v>
      </c>
    </row>
    <row r="84" spans="1:4">
      <c r="A84" s="290" t="s">
        <v>289</v>
      </c>
      <c r="B84" s="289">
        <f ca="1"/>
        <v>26387667749.647057</v>
      </c>
      <c r="C84" s="289">
        <f ca="1"/>
        <v>2069746226.1176457</v>
      </c>
      <c r="D84" s="255" t="s">
        <v>290</v>
      </c>
    </row>
    <row r="85" spans="1:4">
      <c r="A85" s="286"/>
    </row>
    <row r="86" spans="1:4">
      <c r="A86" s="286"/>
    </row>
    <row r="87" spans="1:4">
      <c r="A87" s="286" t="s">
        <v>291</v>
      </c>
      <c r="B87" s="255">
        <f ca="1">+B80/B81</f>
        <v>13.82889832107055</v>
      </c>
    </row>
    <row r="88" spans="1:4">
      <c r="A88" s="290" t="s">
        <v>292</v>
      </c>
      <c r="B88" s="291">
        <f ca="1">+TDIST(B87,C83,2)</f>
        <v>6.0811721268827541E-10</v>
      </c>
    </row>
  </sheetData>
  <conditionalFormatting sqref="B15:H15 J15:R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88"/>
  <sheetViews>
    <sheetView showGridLines="0" zoomScale="70" zoomScaleNormal="70" zoomScaleSheetLayoutView="70"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311</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1"/>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ht="15" customHeight="1">
      <c r="A11" s="265" t="s">
        <v>308</v>
      </c>
      <c r="B11" s="239">
        <f>+'Cost Trends'!F74</f>
        <v>14347</v>
      </c>
      <c r="C11" s="239">
        <f>+'Cost Trends'!G74</f>
        <v>15060</v>
      </c>
      <c r="D11" s="239">
        <f>+'Cost Trends'!H74</f>
        <v>15368</v>
      </c>
      <c r="E11" s="239">
        <f>+'Cost Trends'!I74</f>
        <v>16112</v>
      </c>
      <c r="F11" s="239">
        <f>+'Cost Trends'!J74</f>
        <v>16499</v>
      </c>
      <c r="G11" s="239">
        <f>+'Cost Trends'!K74</f>
        <v>17878</v>
      </c>
      <c r="H11" s="239">
        <f>+'Cost Trends'!L74</f>
        <v>20791</v>
      </c>
      <c r="I11" s="239">
        <f>+'Cost Trends'!M74</f>
        <v>21708</v>
      </c>
      <c r="J11" s="239">
        <f>+'Cost Trends'!N74</f>
        <v>24256</v>
      </c>
      <c r="K11" s="239">
        <f>+'Cost Trends'!O74</f>
        <v>27747</v>
      </c>
      <c r="L11" s="239">
        <f>+'Cost Trends'!P74</f>
        <v>33401</v>
      </c>
      <c r="M11" s="239">
        <f>+'Cost Trends'!Q74</f>
        <v>38971</v>
      </c>
      <c r="N11" s="239">
        <f>+'Cost Trends'!R74</f>
        <v>44809</v>
      </c>
      <c r="O11" s="239">
        <f>+'Cost Trends'!S74</f>
        <v>52223</v>
      </c>
      <c r="P11" s="239">
        <f>+'Cost Trends'!T74</f>
        <v>59169</v>
      </c>
      <c r="Q11" s="239">
        <f>+'Cost Trends'!U74</f>
        <v>75514</v>
      </c>
      <c r="R11" s="239">
        <f>+'Cost Trends'!V74</f>
        <v>82624</v>
      </c>
    </row>
    <row r="12" spans="1:21" s="256" customFormat="1" ht="15" customHeight="1">
      <c r="A12" s="255" t="s">
        <v>309</v>
      </c>
      <c r="B12" s="292">
        <f>-'Cost Trends'!F80</f>
        <v>-5661</v>
      </c>
      <c r="C12" s="292">
        <f>-'Cost Trends'!G80</f>
        <v>-5695</v>
      </c>
      <c r="D12" s="292">
        <f>-'Cost Trends'!H80</f>
        <v>-6442</v>
      </c>
      <c r="E12" s="292">
        <f>-'Cost Trends'!I80</f>
        <v>-7446</v>
      </c>
      <c r="F12" s="292">
        <f>-'Cost Trends'!J80</f>
        <v>-6984</v>
      </c>
      <c r="G12" s="292">
        <f>-'Cost Trends'!K80</f>
        <v>-7208</v>
      </c>
      <c r="H12" s="292">
        <f>-'Cost Trends'!L80</f>
        <v>-7230</v>
      </c>
      <c r="I12" s="292">
        <f>-'Cost Trends'!M80</f>
        <v>-7136</v>
      </c>
      <c r="J12" s="292">
        <f>-'Cost Trends'!N80</f>
        <v>-8309</v>
      </c>
      <c r="K12" s="292">
        <f>-'Cost Trends'!O80</f>
        <v>-8882</v>
      </c>
      <c r="L12" s="292">
        <f>-'Cost Trends'!P80</f>
        <v>-10722</v>
      </c>
      <c r="M12" s="292">
        <f>-'Cost Trends'!Q80</f>
        <v>-10926</v>
      </c>
      <c r="N12" s="292">
        <f>-'Cost Trends'!R80</f>
        <v>-12186</v>
      </c>
      <c r="O12" s="292">
        <f>-'Cost Trends'!S80</f>
        <v>-14724</v>
      </c>
      <c r="P12" s="292">
        <f>-'Cost Trends'!T80</f>
        <v>-17429</v>
      </c>
      <c r="Q12" s="292">
        <f>-'Cost Trends'!U80</f>
        <v>-20741</v>
      </c>
      <c r="R12" s="292">
        <f>-'Cost Trends'!V80</f>
        <v>-23473</v>
      </c>
    </row>
    <row r="13" spans="1:21" s="256" customFormat="1" ht="8.25" customHeight="1">
      <c r="A13" s="255"/>
      <c r="B13" s="264"/>
      <c r="C13" s="264"/>
      <c r="D13" s="264"/>
      <c r="E13" s="264"/>
      <c r="F13" s="264"/>
      <c r="G13" s="264"/>
      <c r="H13" s="264"/>
      <c r="I13" s="264"/>
      <c r="J13" s="264"/>
      <c r="K13" s="264"/>
      <c r="L13" s="264"/>
      <c r="M13" s="264"/>
      <c r="N13" s="264"/>
      <c r="O13" s="264"/>
      <c r="P13" s="264"/>
      <c r="Q13" s="264"/>
      <c r="R13" s="264"/>
    </row>
    <row r="14" spans="1:21" s="256" customFormat="1" ht="8.25" customHeight="1">
      <c r="A14" s="255"/>
      <c r="B14" s="264" t="s">
        <v>270</v>
      </c>
      <c r="C14" s="264" t="s">
        <v>270</v>
      </c>
      <c r="D14" s="264" t="s">
        <v>270</v>
      </c>
      <c r="E14" s="264" t="s">
        <v>270</v>
      </c>
      <c r="F14" s="264" t="s">
        <v>270</v>
      </c>
      <c r="G14" s="264" t="s">
        <v>270</v>
      </c>
      <c r="H14" s="264" t="s">
        <v>270</v>
      </c>
      <c r="I14" s="264" t="s">
        <v>270</v>
      </c>
      <c r="J14" s="264" t="s">
        <v>270</v>
      </c>
      <c r="K14" s="264" t="s">
        <v>270</v>
      </c>
      <c r="L14" s="264" t="s">
        <v>270</v>
      </c>
      <c r="M14" s="264" t="s">
        <v>270</v>
      </c>
      <c r="N14" s="264" t="s">
        <v>270</v>
      </c>
      <c r="O14" s="264" t="s">
        <v>270</v>
      </c>
      <c r="P14" s="264" t="s">
        <v>270</v>
      </c>
      <c r="Q14" s="264" t="s">
        <v>270</v>
      </c>
      <c r="R14" s="264" t="s">
        <v>270</v>
      </c>
    </row>
    <row r="15" spans="1:21" s="256" customFormat="1" ht="26.25" customHeight="1">
      <c r="A15" s="266" t="str">
        <f>+"Total "&amp;B4</f>
        <v>Total General Net Plant</v>
      </c>
      <c r="B15" s="267">
        <f t="shared" ref="B15:P15" si="1">+SUM(B10:B14)</f>
        <v>8686</v>
      </c>
      <c r="C15" s="267">
        <f t="shared" si="1"/>
        <v>9365</v>
      </c>
      <c r="D15" s="267">
        <f t="shared" si="1"/>
        <v>8926</v>
      </c>
      <c r="E15" s="267">
        <f t="shared" si="1"/>
        <v>8666</v>
      </c>
      <c r="F15" s="267">
        <f t="shared" si="1"/>
        <v>9515</v>
      </c>
      <c r="G15" s="267">
        <f t="shared" si="1"/>
        <v>10670</v>
      </c>
      <c r="H15" s="267">
        <f t="shared" si="1"/>
        <v>13561</v>
      </c>
      <c r="I15" s="267">
        <f t="shared" si="1"/>
        <v>14572</v>
      </c>
      <c r="J15" s="267">
        <f t="shared" si="1"/>
        <v>15947</v>
      </c>
      <c r="K15" s="267">
        <f t="shared" si="1"/>
        <v>18865</v>
      </c>
      <c r="L15" s="267">
        <f t="shared" si="1"/>
        <v>22679</v>
      </c>
      <c r="M15" s="267">
        <f t="shared" si="1"/>
        <v>28045</v>
      </c>
      <c r="N15" s="267">
        <f t="shared" si="1"/>
        <v>32623</v>
      </c>
      <c r="O15" s="267">
        <f t="shared" si="1"/>
        <v>37499</v>
      </c>
      <c r="P15" s="267">
        <f t="shared" si="1"/>
        <v>41740</v>
      </c>
      <c r="Q15" s="267">
        <f t="shared" ref="Q15:R15" si="2">+SUM(Q10:Q14)</f>
        <v>54773</v>
      </c>
      <c r="R15" s="267">
        <f t="shared" si="2"/>
        <v>59151</v>
      </c>
    </row>
    <row r="16" spans="1:21" s="256" customFormat="1">
      <c r="A16" s="255"/>
      <c r="B16" s="255"/>
      <c r="C16" s="255"/>
      <c r="D16" s="255"/>
      <c r="E16" s="255"/>
      <c r="F16" s="255"/>
      <c r="G16" s="255"/>
      <c r="H16" s="255"/>
      <c r="I16" s="255"/>
      <c r="J16" s="255"/>
      <c r="K16" s="255"/>
      <c r="L16" s="255"/>
      <c r="M16" s="255"/>
      <c r="N16" s="255"/>
      <c r="O16" s="255"/>
      <c r="P16" s="268"/>
      <c r="Q16" s="255"/>
      <c r="R16" s="268"/>
    </row>
    <row r="17" spans="1:20" s="256" customFormat="1">
      <c r="A17" s="255"/>
      <c r="B17" s="255"/>
      <c r="C17" s="255"/>
      <c r="D17" s="255"/>
      <c r="E17" s="255"/>
      <c r="F17" s="255"/>
      <c r="G17" s="255"/>
      <c r="H17" s="255"/>
      <c r="I17" s="255"/>
      <c r="J17" s="255"/>
      <c r="K17" s="255"/>
      <c r="L17" s="255"/>
      <c r="M17" s="255"/>
      <c r="N17" s="255"/>
      <c r="O17" s="255"/>
      <c r="P17" s="268"/>
      <c r="Q17" s="255"/>
      <c r="R17" s="268"/>
    </row>
    <row r="18" spans="1:20" s="256" customFormat="1">
      <c r="A18" s="269" t="s">
        <v>272</v>
      </c>
      <c r="B18" s="270"/>
      <c r="C18" s="271"/>
      <c r="D18" s="269" t="s">
        <v>326</v>
      </c>
      <c r="E18" s="269"/>
      <c r="F18" s="270"/>
      <c r="G18" s="270"/>
      <c r="H18" s="270"/>
      <c r="I18" s="270"/>
      <c r="J18" s="270"/>
      <c r="K18" s="270"/>
      <c r="L18" s="270"/>
      <c r="M18" s="270"/>
      <c r="N18" s="270"/>
      <c r="O18" s="270"/>
      <c r="P18" s="272"/>
      <c r="Q18" s="270"/>
      <c r="R18" s="272"/>
    </row>
    <row r="19" spans="1:20" s="256" customFormat="1" ht="19.5" customHeight="1">
      <c r="B19" s="273"/>
      <c r="C19" s="273"/>
      <c r="D19" s="273"/>
      <c r="E19" s="273"/>
      <c r="F19" s="273"/>
      <c r="G19" s="273"/>
      <c r="H19" s="273"/>
      <c r="I19" s="273"/>
      <c r="J19" s="255"/>
      <c r="K19" s="255"/>
      <c r="L19" s="255"/>
      <c r="M19" s="255"/>
      <c r="N19" s="255"/>
      <c r="O19" s="255"/>
      <c r="P19" s="255"/>
      <c r="Q19" s="255"/>
      <c r="R19" s="255"/>
    </row>
    <row r="20" spans="1:20" ht="19.5" customHeight="1">
      <c r="A20" s="255" t="s">
        <v>324</v>
      </c>
      <c r="B20" s="274">
        <f ca="1">+LINEST(
OFFSET($B$76,0,0,1,SUM($B$70:$R$70)),
OFFSET($B$75,0,0,1,SUM($B$70:$R$70)),
,
1)</f>
        <v>3013.9975490196075</v>
      </c>
      <c r="C20" s="273"/>
      <c r="D20" s="273"/>
      <c r="E20" s="273"/>
      <c r="F20" s="273"/>
      <c r="G20" s="273"/>
      <c r="H20" s="273"/>
      <c r="I20" s="273"/>
    </row>
    <row r="21" spans="1:20" ht="19.5" customHeight="1">
      <c r="A21" s="256" t="s">
        <v>325</v>
      </c>
      <c r="B21" s="273">
        <f ca="1">RSQ(
OFFSET($B$76,0,0,1,SUM($B$70:$R$70)),
OFFSET($B$75,0,0,1,SUM($B$70:$R$70))
)</f>
        <v>0.8520153380502189</v>
      </c>
      <c r="C21" s="274"/>
      <c r="D21" s="274"/>
      <c r="E21" s="274"/>
      <c r="F21" s="274"/>
      <c r="G21" s="274"/>
      <c r="H21" s="274"/>
      <c r="I21" s="274"/>
    </row>
    <row r="22" spans="1:20" ht="19.5" customHeight="1">
      <c r="A22" s="255" t="s">
        <v>273</v>
      </c>
      <c r="B22" s="275">
        <f ca="1">+B20/R15</f>
        <v>5.0954295768788481E-2</v>
      </c>
      <c r="C22" s="273"/>
      <c r="D22" s="273"/>
      <c r="E22" s="273"/>
      <c r="F22" s="273"/>
      <c r="G22" s="273"/>
      <c r="H22" s="273"/>
      <c r="I22" s="273"/>
    </row>
    <row r="23" spans="1:20" ht="19.5" customHeight="1">
      <c r="A23" s="268" t="str">
        <f>+'2) ROR'!$D$46&amp;"-year Growth Rate"</f>
        <v>1-year Growth Rate</v>
      </c>
      <c r="B23" s="293">
        <f ca="1">ROUND(B22*'2) ROR'!$D$46,4)</f>
        <v>5.0999999999999997E-2</v>
      </c>
      <c r="C23" s="275"/>
      <c r="D23" s="275"/>
      <c r="E23" s="275"/>
      <c r="F23" s="275"/>
      <c r="G23" s="275"/>
      <c r="H23" s="275"/>
      <c r="I23" s="275"/>
    </row>
    <row r="24" spans="1:20" ht="19.5" customHeight="1">
      <c r="C24" s="276"/>
      <c r="D24" s="276"/>
      <c r="E24" s="276"/>
      <c r="F24" s="276"/>
      <c r="G24" s="276"/>
      <c r="H24" s="276"/>
      <c r="I24" s="276"/>
      <c r="L24" s="277"/>
    </row>
    <row r="26" spans="1:20">
      <c r="S26" s="278"/>
      <c r="T26" s="278"/>
    </row>
    <row r="27" spans="1:20">
      <c r="S27" s="279"/>
      <c r="T27" s="279"/>
    </row>
    <row r="28" spans="1:20">
      <c r="S28" s="279"/>
      <c r="T28" s="279"/>
    </row>
    <row r="29" spans="1:20">
      <c r="S29" s="279"/>
      <c r="T29" s="279"/>
    </row>
    <row r="30" spans="1:20">
      <c r="S30" s="279"/>
      <c r="T30" s="279"/>
    </row>
    <row r="31" spans="1:20">
      <c r="S31" s="279"/>
      <c r="T31" s="279"/>
    </row>
    <row r="34" spans="19:21">
      <c r="S34" s="280"/>
      <c r="T34" s="280"/>
      <c r="U34" s="280"/>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7" spans="19:21">
      <c r="S57" s="279"/>
      <c r="T57" s="279"/>
      <c r="U57" s="279"/>
    </row>
    <row r="59" spans="19:21">
      <c r="S59" s="280"/>
      <c r="T59" s="280"/>
      <c r="U59" s="280"/>
    </row>
    <row r="60" spans="19:21">
      <c r="S60" s="279"/>
      <c r="T60" s="279"/>
      <c r="U60" s="279"/>
    </row>
    <row r="61" spans="19:21">
      <c r="S61" s="279"/>
      <c r="T61" s="279"/>
      <c r="U61" s="279"/>
    </row>
    <row r="67" spans="1:21">
      <c r="S67" s="280"/>
      <c r="T67" s="280"/>
      <c r="U67" s="280"/>
    </row>
    <row r="68" spans="1:21">
      <c r="A68" s="281" t="s">
        <v>274</v>
      </c>
      <c r="S68" s="279"/>
      <c r="T68" s="279"/>
      <c r="U68" s="279"/>
    </row>
    <row r="69" spans="1:21">
      <c r="A69" s="281" t="s">
        <v>275</v>
      </c>
      <c r="B69" s="281">
        <f t="shared" ref="B69:P69" si="3">+B9</f>
        <v>2000</v>
      </c>
      <c r="C69" s="281">
        <f t="shared" si="3"/>
        <v>2001</v>
      </c>
      <c r="D69" s="281">
        <f t="shared" si="3"/>
        <v>2002</v>
      </c>
      <c r="E69" s="281">
        <f t="shared" si="3"/>
        <v>2003</v>
      </c>
      <c r="F69" s="281">
        <f t="shared" si="3"/>
        <v>2004</v>
      </c>
      <c r="G69" s="281">
        <f t="shared" si="3"/>
        <v>2005</v>
      </c>
      <c r="H69" s="281">
        <f t="shared" si="3"/>
        <v>2006</v>
      </c>
      <c r="I69" s="281">
        <f t="shared" si="3"/>
        <v>2007</v>
      </c>
      <c r="J69" s="281">
        <f t="shared" si="3"/>
        <v>2008</v>
      </c>
      <c r="K69" s="281">
        <f t="shared" si="3"/>
        <v>2009</v>
      </c>
      <c r="L69" s="281">
        <f t="shared" si="3"/>
        <v>2010</v>
      </c>
      <c r="M69" s="281">
        <f t="shared" si="3"/>
        <v>2011</v>
      </c>
      <c r="N69" s="281">
        <f t="shared" si="3"/>
        <v>2012</v>
      </c>
      <c r="O69" s="281">
        <f t="shared" si="3"/>
        <v>2013</v>
      </c>
      <c r="P69" s="281">
        <f t="shared" si="3"/>
        <v>2014</v>
      </c>
      <c r="Q69" s="281">
        <f t="shared" ref="Q69:R69" si="4">+Q9</f>
        <v>2015</v>
      </c>
      <c r="R69" s="281">
        <f t="shared" si="4"/>
        <v>2016</v>
      </c>
    </row>
    <row r="70" spans="1:21">
      <c r="A70" s="282" t="s">
        <v>276</v>
      </c>
      <c r="B70" s="282">
        <v>1</v>
      </c>
      <c r="C70" s="282">
        <v>1</v>
      </c>
      <c r="D70" s="282">
        <v>1</v>
      </c>
      <c r="E70" s="282">
        <v>1</v>
      </c>
      <c r="F70" s="282">
        <v>1</v>
      </c>
      <c r="G70" s="282">
        <v>1</v>
      </c>
      <c r="H70" s="282">
        <v>1</v>
      </c>
      <c r="I70" s="282">
        <v>1</v>
      </c>
      <c r="J70" s="282">
        <v>1</v>
      </c>
      <c r="K70" s="282">
        <v>1</v>
      </c>
      <c r="L70" s="282">
        <v>1</v>
      </c>
      <c r="M70" s="282">
        <v>1</v>
      </c>
      <c r="N70" s="282">
        <v>1</v>
      </c>
      <c r="O70" s="282">
        <v>1</v>
      </c>
      <c r="P70" s="282">
        <v>1</v>
      </c>
      <c r="Q70" s="282">
        <v>1</v>
      </c>
      <c r="R70" s="282">
        <v>1</v>
      </c>
    </row>
    <row r="71" spans="1:21">
      <c r="A71" s="274"/>
      <c r="B71" s="274"/>
      <c r="C71" s="274"/>
      <c r="D71" s="274"/>
      <c r="E71" s="274"/>
      <c r="F71" s="274"/>
      <c r="G71" s="274"/>
      <c r="H71" s="274"/>
      <c r="I71" s="274"/>
      <c r="J71" s="274"/>
      <c r="K71" s="274"/>
      <c r="L71" s="274"/>
      <c r="M71" s="274"/>
      <c r="N71" s="274"/>
      <c r="O71" s="274"/>
      <c r="P71" s="274"/>
      <c r="Q71" s="274"/>
      <c r="R71" s="274"/>
      <c r="S71" s="274"/>
      <c r="T71" s="274"/>
      <c r="U71" s="274"/>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83" t="s">
        <v>277</v>
      </c>
      <c r="B73" s="284">
        <f>+SUM($B70:B$70)</f>
        <v>1</v>
      </c>
      <c r="C73" s="284">
        <f>+SUM($B70:C$70)</f>
        <v>2</v>
      </c>
      <c r="D73" s="284">
        <f>+SUM($B70:D$70)</f>
        <v>3</v>
      </c>
      <c r="E73" s="284">
        <f>+SUM($B70:E$70)</f>
        <v>4</v>
      </c>
      <c r="F73" s="284">
        <f>+SUM($B70:F$70)</f>
        <v>5</v>
      </c>
      <c r="G73" s="284">
        <f>+SUM($B70:G$70)</f>
        <v>6</v>
      </c>
      <c r="H73" s="284">
        <f>+SUM($B70:H$70)</f>
        <v>7</v>
      </c>
      <c r="I73" s="284">
        <f>+SUM($B70:I$70)</f>
        <v>8</v>
      </c>
      <c r="J73" s="284">
        <f>+SUM($B70:J$70)</f>
        <v>9</v>
      </c>
      <c r="K73" s="284">
        <f>+SUM($B70:K$70)</f>
        <v>10</v>
      </c>
      <c r="L73" s="284">
        <f>+SUM($B70:L$70)</f>
        <v>11</v>
      </c>
      <c r="M73" s="284">
        <f>+SUM($B70:M$70)</f>
        <v>12</v>
      </c>
      <c r="N73" s="284">
        <f>+SUM($B70:N$70)</f>
        <v>13</v>
      </c>
      <c r="O73" s="284">
        <f>+SUM($B70:O$70)</f>
        <v>14</v>
      </c>
      <c r="P73" s="284">
        <f>+SUM($B70:P$70)</f>
        <v>15</v>
      </c>
      <c r="Q73" s="284">
        <f>+SUM($B70:Q$70)</f>
        <v>16</v>
      </c>
      <c r="R73" s="284">
        <f>+SUM($B70:R$70)</f>
        <v>17</v>
      </c>
      <c r="S73" s="274"/>
      <c r="T73" s="274"/>
      <c r="U73" s="274"/>
    </row>
    <row r="74" spans="1:21">
      <c r="A74" s="283" t="s">
        <v>278</v>
      </c>
      <c r="B74" s="285">
        <v>1</v>
      </c>
      <c r="C74" s="285">
        <f t="shared" ref="C74:K74" si="5">+B74+1</f>
        <v>2</v>
      </c>
      <c r="D74" s="285">
        <f t="shared" si="5"/>
        <v>3</v>
      </c>
      <c r="E74" s="285">
        <f t="shared" si="5"/>
        <v>4</v>
      </c>
      <c r="F74" s="285">
        <f t="shared" si="5"/>
        <v>5</v>
      </c>
      <c r="G74" s="285">
        <f t="shared" si="5"/>
        <v>6</v>
      </c>
      <c r="H74" s="285">
        <f t="shared" si="5"/>
        <v>7</v>
      </c>
      <c r="I74" s="285">
        <f t="shared" si="5"/>
        <v>8</v>
      </c>
      <c r="J74" s="285">
        <f t="shared" si="5"/>
        <v>9</v>
      </c>
      <c r="K74" s="285">
        <f t="shared" si="5"/>
        <v>10</v>
      </c>
      <c r="L74" s="285">
        <f>+K74+1</f>
        <v>11</v>
      </c>
      <c r="M74" s="285">
        <f t="shared" ref="M74:P74" si="6">+L74+1</f>
        <v>12</v>
      </c>
      <c r="N74" s="285">
        <f t="shared" si="6"/>
        <v>13</v>
      </c>
      <c r="O74" s="285">
        <f t="shared" si="6"/>
        <v>14</v>
      </c>
      <c r="P74" s="285">
        <f t="shared" si="6"/>
        <v>15</v>
      </c>
      <c r="Q74" s="285">
        <f t="shared" ref="Q74" si="7">+P74+1</f>
        <v>16</v>
      </c>
      <c r="R74" s="285">
        <f t="shared" ref="R74" si="8">+Q74+1</f>
        <v>17</v>
      </c>
    </row>
    <row r="75" spans="1:21">
      <c r="A75" s="283" t="s">
        <v>279</v>
      </c>
      <c r="B75" s="285">
        <f t="shared" ref="B75:R75" ca="1" si="9">+OFFSET($A$69,0,MATCH(B$74,$B$73:$R$73,0))</f>
        <v>2000</v>
      </c>
      <c r="C75" s="285">
        <f t="shared" ca="1" si="9"/>
        <v>2001</v>
      </c>
      <c r="D75" s="285">
        <f t="shared" ca="1" si="9"/>
        <v>2002</v>
      </c>
      <c r="E75" s="285">
        <f t="shared" ca="1" si="9"/>
        <v>2003</v>
      </c>
      <c r="F75" s="285">
        <f t="shared" ca="1" si="9"/>
        <v>2004</v>
      </c>
      <c r="G75" s="285">
        <f t="shared" ca="1" si="9"/>
        <v>2005</v>
      </c>
      <c r="H75" s="285">
        <f t="shared" ca="1" si="9"/>
        <v>2006</v>
      </c>
      <c r="I75" s="285">
        <f t="shared" ca="1" si="9"/>
        <v>2007</v>
      </c>
      <c r="J75" s="285">
        <f t="shared" ca="1" si="9"/>
        <v>2008</v>
      </c>
      <c r="K75" s="285">
        <f t="shared" ca="1" si="9"/>
        <v>2009</v>
      </c>
      <c r="L75" s="285">
        <f t="shared" ca="1" si="9"/>
        <v>2010</v>
      </c>
      <c r="M75" s="285">
        <f t="shared" ca="1" si="9"/>
        <v>2011</v>
      </c>
      <c r="N75" s="285">
        <f t="shared" ca="1" si="9"/>
        <v>2012</v>
      </c>
      <c r="O75" s="285">
        <f t="shared" ca="1" si="9"/>
        <v>2013</v>
      </c>
      <c r="P75" s="285">
        <f t="shared" ca="1" si="9"/>
        <v>2014</v>
      </c>
      <c r="Q75" s="285">
        <f t="shared" ca="1" si="9"/>
        <v>2015</v>
      </c>
      <c r="R75" s="285">
        <f t="shared" ca="1" si="9"/>
        <v>2016</v>
      </c>
    </row>
    <row r="76" spans="1:21">
      <c r="A76" s="283" t="s">
        <v>280</v>
      </c>
      <c r="B76" s="283">
        <f t="shared" ref="B76:R76" ca="1" si="10">+INDEX(15:15,1,MATCH(B$75,9:9,0))</f>
        <v>8686</v>
      </c>
      <c r="C76" s="283">
        <f t="shared" ca="1" si="10"/>
        <v>9365</v>
      </c>
      <c r="D76" s="283">
        <f t="shared" ca="1" si="10"/>
        <v>8926</v>
      </c>
      <c r="E76" s="283">
        <f t="shared" ca="1" si="10"/>
        <v>8666</v>
      </c>
      <c r="F76" s="283">
        <f t="shared" ca="1" si="10"/>
        <v>9515</v>
      </c>
      <c r="G76" s="283">
        <f t="shared" ca="1" si="10"/>
        <v>10670</v>
      </c>
      <c r="H76" s="283">
        <f t="shared" ca="1" si="10"/>
        <v>13561</v>
      </c>
      <c r="I76" s="283">
        <f t="shared" ca="1" si="10"/>
        <v>14572</v>
      </c>
      <c r="J76" s="283">
        <f t="shared" ca="1" si="10"/>
        <v>15947</v>
      </c>
      <c r="K76" s="283">
        <f t="shared" ca="1" si="10"/>
        <v>18865</v>
      </c>
      <c r="L76" s="283">
        <f t="shared" ca="1" si="10"/>
        <v>22679</v>
      </c>
      <c r="M76" s="283">
        <f t="shared" ca="1" si="10"/>
        <v>28045</v>
      </c>
      <c r="N76" s="283">
        <f t="shared" ca="1" si="10"/>
        <v>32623</v>
      </c>
      <c r="O76" s="283">
        <f t="shared" ca="1" si="10"/>
        <v>37499</v>
      </c>
      <c r="P76" s="283">
        <f t="shared" ca="1" si="10"/>
        <v>41740</v>
      </c>
      <c r="Q76" s="283">
        <f t="shared" ca="1" si="10"/>
        <v>54773</v>
      </c>
      <c r="R76" s="283">
        <f t="shared" ca="1" si="10"/>
        <v>59151</v>
      </c>
    </row>
    <row r="79" spans="1:21">
      <c r="A79" s="286"/>
      <c r="B79" s="287" t="s">
        <v>281</v>
      </c>
      <c r="C79" s="288"/>
    </row>
    <row r="80" spans="1:21">
      <c r="A80" s="286" t="s">
        <v>252</v>
      </c>
      <c r="B80" s="289">
        <f t="array" aca="1" ref="B80:C84" ca="1">+LINEST(
OFFSET($B76,0,0,1,SUM($B70:$R70)),
OFFSET($B75,0,0,1,SUM($B70:$R70)),
,
1)</f>
        <v>3013.9975490196075</v>
      </c>
      <c r="C80" s="289">
        <f ca="1"/>
        <v>-6028855.1372549012</v>
      </c>
      <c r="D80" s="255" t="s">
        <v>282</v>
      </c>
    </row>
    <row r="81" spans="1:4">
      <c r="A81" s="286" t="s">
        <v>283</v>
      </c>
      <c r="B81" s="289">
        <f ca="1"/>
        <v>324.32610851300643</v>
      </c>
      <c r="C81" s="289">
        <f ca="1"/>
        <v>651248.76409506856</v>
      </c>
      <c r="D81" s="255" t="s">
        <v>284</v>
      </c>
    </row>
    <row r="82" spans="1:4">
      <c r="A82" s="286" t="s">
        <v>285</v>
      </c>
      <c r="B82" s="289">
        <f ca="1"/>
        <v>0.85201533805021912</v>
      </c>
      <c r="C82" s="289">
        <f ca="1"/>
        <v>6551.0662691337293</v>
      </c>
      <c r="D82" s="255" t="s">
        <v>286</v>
      </c>
    </row>
    <row r="83" spans="1:4">
      <c r="A83" s="290" t="s">
        <v>287</v>
      </c>
      <c r="B83" s="289">
        <f ca="1"/>
        <v>86.361856035393032</v>
      </c>
      <c r="C83" s="289">
        <f ca="1"/>
        <v>15</v>
      </c>
      <c r="D83" s="255" t="s">
        <v>288</v>
      </c>
    </row>
    <row r="84" spans="1:4">
      <c r="A84" s="290" t="s">
        <v>289</v>
      </c>
      <c r="B84" s="289">
        <f ca="1"/>
        <v>3706345940.0024519</v>
      </c>
      <c r="C84" s="289">
        <f ca="1"/>
        <v>643747038.93872571</v>
      </c>
      <c r="D84" s="255" t="s">
        <v>290</v>
      </c>
    </row>
    <row r="85" spans="1:4">
      <c r="A85" s="286"/>
    </row>
    <row r="86" spans="1:4">
      <c r="A86" s="286"/>
    </row>
    <row r="87" spans="1:4">
      <c r="A87" s="286" t="s">
        <v>291</v>
      </c>
      <c r="B87" s="255">
        <f ca="1">+B80/B81</f>
        <v>9.2931079857813454</v>
      </c>
    </row>
    <row r="88" spans="1:4">
      <c r="A88" s="290" t="s">
        <v>292</v>
      </c>
      <c r="B88" s="291">
        <f ca="1">+TDIST(B87,C83,2)</f>
        <v>1.299335247428548E-7</v>
      </c>
    </row>
  </sheetData>
  <conditionalFormatting sqref="B15:H15 J15:R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88"/>
  <sheetViews>
    <sheetView showGridLines="0" zoomScale="70" zoomScaleNormal="70" workbookViewId="0"/>
  </sheetViews>
  <sheetFormatPr defaultRowHeight="12.75"/>
  <cols>
    <col min="1" max="1" width="36.5703125" style="255" customWidth="1"/>
    <col min="2" max="18" width="11.28515625" style="255" customWidth="1"/>
    <col min="19" max="21" width="9.140625" style="256"/>
    <col min="22" max="16384" width="9.140625" style="255"/>
  </cols>
  <sheetData>
    <row r="1" spans="1:21" s="254" customFormat="1" ht="15.75">
      <c r="A1" s="412" t="s">
        <v>347</v>
      </c>
      <c r="S1" s="397"/>
      <c r="T1" s="397"/>
      <c r="U1" s="397"/>
    </row>
    <row r="2" spans="1:21" s="254" customFormat="1" ht="15.75">
      <c r="A2" s="253" t="s">
        <v>314</v>
      </c>
      <c r="S2" s="397"/>
      <c r="T2" s="397"/>
      <c r="U2" s="397"/>
    </row>
    <row r="3" spans="1:21" s="254" customFormat="1" ht="15.75">
      <c r="A3" s="253"/>
      <c r="C3" s="396"/>
      <c r="D3" s="396"/>
      <c r="E3" s="396"/>
      <c r="F3" s="396"/>
      <c r="G3" s="396"/>
      <c r="H3" s="396"/>
      <c r="I3" s="396"/>
      <c r="S3" s="397"/>
      <c r="T3" s="397"/>
      <c r="U3" s="397"/>
    </row>
    <row r="4" spans="1:21" s="254" customFormat="1" ht="15.75">
      <c r="A4" s="393" t="s">
        <v>269</v>
      </c>
      <c r="B4" s="396" t="s">
        <v>312</v>
      </c>
      <c r="S4" s="397"/>
      <c r="T4" s="397"/>
      <c r="U4" s="397"/>
    </row>
    <row r="5" spans="1:21" s="254" customFormat="1" ht="15">
      <c r="A5" s="394"/>
      <c r="S5" s="397"/>
      <c r="T5" s="397"/>
      <c r="U5" s="397"/>
    </row>
    <row r="6" spans="1:21" s="254" customFormat="1" ht="15">
      <c r="A6" s="395" t="s">
        <v>322</v>
      </c>
      <c r="S6" s="397"/>
      <c r="T6" s="397"/>
      <c r="U6" s="397"/>
    </row>
    <row r="8" spans="1:21">
      <c r="A8" s="257"/>
      <c r="B8" s="258"/>
      <c r="C8" s="258"/>
      <c r="D8" s="258"/>
      <c r="E8" s="258"/>
      <c r="F8" s="258"/>
      <c r="G8" s="258"/>
      <c r="H8" s="258"/>
      <c r="I8" s="258"/>
      <c r="J8" s="259"/>
      <c r="K8" s="259"/>
      <c r="L8" s="259"/>
      <c r="M8" s="259"/>
      <c r="N8" s="260"/>
      <c r="O8" s="260"/>
      <c r="P8" s="261"/>
      <c r="Q8" s="260"/>
      <c r="R8" s="260"/>
    </row>
    <row r="9" spans="1:21">
      <c r="B9" s="262">
        <f t="shared" ref="B9:H9" si="0">+C9-1</f>
        <v>2000</v>
      </c>
      <c r="C9" s="262">
        <f t="shared" si="0"/>
        <v>2001</v>
      </c>
      <c r="D9" s="262">
        <f t="shared" si="0"/>
        <v>2002</v>
      </c>
      <c r="E9" s="262">
        <f t="shared" si="0"/>
        <v>2003</v>
      </c>
      <c r="F9" s="262">
        <f t="shared" si="0"/>
        <v>2004</v>
      </c>
      <c r="G9" s="262">
        <f t="shared" si="0"/>
        <v>2005</v>
      </c>
      <c r="H9" s="262">
        <f t="shared" si="0"/>
        <v>2006</v>
      </c>
      <c r="I9" s="262">
        <f>+J9-1</f>
        <v>2007</v>
      </c>
      <c r="J9" s="262">
        <v>2008</v>
      </c>
      <c r="K9" s="263">
        <v>2009</v>
      </c>
      <c r="L9" s="263">
        <v>2010</v>
      </c>
      <c r="M9" s="263">
        <v>2011</v>
      </c>
      <c r="N9" s="263">
        <v>2012</v>
      </c>
      <c r="O9" s="263">
        <v>2013</v>
      </c>
      <c r="P9" s="263">
        <v>2014</v>
      </c>
      <c r="Q9" s="263">
        <v>2015</v>
      </c>
      <c r="R9" s="263">
        <v>2016</v>
      </c>
    </row>
    <row r="10" spans="1:21" ht="8.25" customHeight="1">
      <c r="B10" s="264" t="s">
        <v>270</v>
      </c>
      <c r="C10" s="264" t="s">
        <v>270</v>
      </c>
      <c r="D10" s="264" t="s">
        <v>270</v>
      </c>
      <c r="E10" s="264" t="s">
        <v>270</v>
      </c>
      <c r="F10" s="264" t="s">
        <v>270</v>
      </c>
      <c r="G10" s="264" t="s">
        <v>270</v>
      </c>
      <c r="H10" s="264" t="s">
        <v>270</v>
      </c>
      <c r="I10" s="264" t="s">
        <v>270</v>
      </c>
      <c r="J10" s="264" t="s">
        <v>270</v>
      </c>
      <c r="K10" s="264" t="s">
        <v>270</v>
      </c>
      <c r="L10" s="264" t="s">
        <v>270</v>
      </c>
      <c r="M10" s="264" t="s">
        <v>270</v>
      </c>
      <c r="N10" s="264" t="s">
        <v>270</v>
      </c>
      <c r="O10" s="264" t="s">
        <v>270</v>
      </c>
      <c r="P10" s="264" t="s">
        <v>270</v>
      </c>
      <c r="Q10" s="264" t="s">
        <v>270</v>
      </c>
      <c r="R10" s="264" t="s">
        <v>270</v>
      </c>
    </row>
    <row r="11" spans="1:21" s="256" customFormat="1" ht="15" customHeight="1">
      <c r="A11" s="265" t="s">
        <v>312</v>
      </c>
      <c r="B11" s="239">
        <f>-'Cost Trends'!F83</f>
        <v>13317</v>
      </c>
      <c r="C11" s="239">
        <f>-'Cost Trends'!G83</f>
        <v>14476</v>
      </c>
      <c r="D11" s="239">
        <f>-'Cost Trends'!H83</f>
        <v>15979</v>
      </c>
      <c r="E11" s="239">
        <f>-'Cost Trends'!I83</f>
        <v>22570</v>
      </c>
      <c r="F11" s="239">
        <f>-'Cost Trends'!J83</f>
        <v>26800</v>
      </c>
      <c r="G11" s="239">
        <f>-'Cost Trends'!K83</f>
        <v>23805</v>
      </c>
      <c r="H11" s="239">
        <f>-'Cost Trends'!L83</f>
        <v>24645</v>
      </c>
      <c r="I11" s="239">
        <f>-'Cost Trends'!M83</f>
        <v>26823</v>
      </c>
      <c r="J11" s="239">
        <f>-'Cost Trends'!N83</f>
        <v>28945</v>
      </c>
      <c r="K11" s="239">
        <f>-'Cost Trends'!O83</f>
        <v>31005</v>
      </c>
      <c r="L11" s="239">
        <f>-'Cost Trends'!P83</f>
        <v>36762</v>
      </c>
      <c r="M11" s="239">
        <f>-'Cost Trends'!Q83</f>
        <v>42004</v>
      </c>
      <c r="N11" s="239">
        <f>-'Cost Trends'!R83</f>
        <v>46498</v>
      </c>
      <c r="O11" s="239">
        <f>-'Cost Trends'!S83</f>
        <v>50170</v>
      </c>
      <c r="P11" s="239">
        <f>-'Cost Trends'!T83</f>
        <v>54652</v>
      </c>
      <c r="Q11" s="239">
        <f>-'Cost Trends'!U83</f>
        <v>64929</v>
      </c>
      <c r="R11" s="239">
        <f>-'Cost Trends'!V83</f>
        <v>74181</v>
      </c>
    </row>
    <row r="12" spans="1:21" s="256" customFormat="1" ht="8.25" customHeight="1">
      <c r="A12" s="255"/>
      <c r="B12" s="264"/>
      <c r="C12" s="264"/>
      <c r="D12" s="264"/>
      <c r="E12" s="264"/>
      <c r="F12" s="264"/>
      <c r="G12" s="264"/>
      <c r="H12" s="264"/>
      <c r="I12" s="264"/>
      <c r="J12" s="264"/>
      <c r="K12" s="264"/>
      <c r="L12" s="264"/>
      <c r="M12" s="264"/>
      <c r="N12" s="264"/>
      <c r="O12" s="264"/>
      <c r="P12" s="264"/>
      <c r="Q12" s="264"/>
      <c r="R12" s="264"/>
    </row>
    <row r="13" spans="1:21" s="256" customFormat="1" ht="8.25" customHeight="1">
      <c r="A13" s="255"/>
      <c r="B13" s="264" t="s">
        <v>270</v>
      </c>
      <c r="C13" s="264" t="s">
        <v>270</v>
      </c>
      <c r="D13" s="264" t="s">
        <v>270</v>
      </c>
      <c r="E13" s="264" t="s">
        <v>270</v>
      </c>
      <c r="F13" s="264" t="s">
        <v>270</v>
      </c>
      <c r="G13" s="264" t="s">
        <v>270</v>
      </c>
      <c r="H13" s="264" t="s">
        <v>270</v>
      </c>
      <c r="I13" s="264" t="s">
        <v>270</v>
      </c>
      <c r="J13" s="264" t="s">
        <v>270</v>
      </c>
      <c r="K13" s="264" t="s">
        <v>270</v>
      </c>
      <c r="L13" s="264" t="s">
        <v>270</v>
      </c>
      <c r="M13" s="264" t="s">
        <v>270</v>
      </c>
      <c r="N13" s="264" t="s">
        <v>270</v>
      </c>
      <c r="O13" s="264" t="s">
        <v>270</v>
      </c>
      <c r="P13" s="264" t="s">
        <v>270</v>
      </c>
      <c r="Q13" s="264" t="s">
        <v>270</v>
      </c>
      <c r="R13" s="264" t="s">
        <v>270</v>
      </c>
    </row>
    <row r="14" spans="1:21" s="256" customFormat="1" ht="26.25" customHeight="1">
      <c r="A14" s="266" t="str">
        <f>+"Total "&amp;B4</f>
        <v>Total Accumulated Deferred Income Taxes</v>
      </c>
      <c r="B14" s="267">
        <f t="shared" ref="B14:P14" si="1">+SUM(B10:B13)</f>
        <v>13317</v>
      </c>
      <c r="C14" s="267">
        <f t="shared" si="1"/>
        <v>14476</v>
      </c>
      <c r="D14" s="267">
        <f t="shared" si="1"/>
        <v>15979</v>
      </c>
      <c r="E14" s="267">
        <f t="shared" si="1"/>
        <v>22570</v>
      </c>
      <c r="F14" s="267">
        <f t="shared" si="1"/>
        <v>26800</v>
      </c>
      <c r="G14" s="267">
        <f t="shared" si="1"/>
        <v>23805</v>
      </c>
      <c r="H14" s="267">
        <f t="shared" si="1"/>
        <v>24645</v>
      </c>
      <c r="I14" s="267">
        <f t="shared" si="1"/>
        <v>26823</v>
      </c>
      <c r="J14" s="267">
        <f t="shared" si="1"/>
        <v>28945</v>
      </c>
      <c r="K14" s="267">
        <f t="shared" si="1"/>
        <v>31005</v>
      </c>
      <c r="L14" s="267">
        <f t="shared" si="1"/>
        <v>36762</v>
      </c>
      <c r="M14" s="267">
        <f t="shared" si="1"/>
        <v>42004</v>
      </c>
      <c r="N14" s="267">
        <f t="shared" si="1"/>
        <v>46498</v>
      </c>
      <c r="O14" s="267">
        <f t="shared" si="1"/>
        <v>50170</v>
      </c>
      <c r="P14" s="267">
        <f t="shared" si="1"/>
        <v>54652</v>
      </c>
      <c r="Q14" s="267">
        <f t="shared" ref="Q14:R14" si="2">+SUM(Q10:Q13)</f>
        <v>64929</v>
      </c>
      <c r="R14" s="267">
        <f t="shared" si="2"/>
        <v>74181</v>
      </c>
    </row>
    <row r="15" spans="1:21" s="256" customFormat="1">
      <c r="A15" s="255"/>
      <c r="B15" s="255"/>
      <c r="C15" s="255"/>
      <c r="D15" s="255"/>
      <c r="E15" s="255"/>
      <c r="F15" s="255"/>
      <c r="G15" s="255"/>
      <c r="H15" s="255"/>
      <c r="I15" s="255"/>
      <c r="J15" s="255"/>
      <c r="K15" s="255"/>
      <c r="L15" s="255"/>
      <c r="M15" s="255"/>
      <c r="N15" s="255"/>
      <c r="O15" s="255"/>
      <c r="P15" s="268"/>
      <c r="Q15" s="255"/>
      <c r="R15" s="255"/>
    </row>
    <row r="16" spans="1:21" s="256" customFormat="1">
      <c r="A16" s="255"/>
      <c r="B16" s="255"/>
      <c r="C16" s="255"/>
      <c r="D16" s="255"/>
      <c r="E16" s="255"/>
      <c r="F16" s="255"/>
      <c r="G16" s="255"/>
      <c r="H16" s="255"/>
      <c r="I16" s="255"/>
      <c r="J16" s="255"/>
      <c r="K16" s="255"/>
      <c r="L16" s="255"/>
      <c r="M16" s="255"/>
      <c r="N16" s="255"/>
      <c r="O16" s="255"/>
      <c r="P16" s="268"/>
      <c r="Q16" s="255"/>
      <c r="R16" s="255"/>
    </row>
    <row r="17" spans="1:20" s="256" customFormat="1">
      <c r="A17" s="269" t="s">
        <v>272</v>
      </c>
      <c r="B17" s="270"/>
      <c r="C17" s="271"/>
      <c r="D17" s="269" t="s">
        <v>326</v>
      </c>
      <c r="E17" s="269"/>
      <c r="F17" s="270"/>
      <c r="G17" s="270"/>
      <c r="H17" s="270"/>
      <c r="I17" s="270"/>
      <c r="J17" s="270"/>
      <c r="K17" s="270"/>
      <c r="L17" s="270"/>
      <c r="M17" s="270"/>
      <c r="N17" s="270"/>
      <c r="O17" s="270"/>
      <c r="P17" s="272"/>
      <c r="Q17" s="270"/>
      <c r="R17" s="270"/>
    </row>
    <row r="18" spans="1:20" s="256" customFormat="1" ht="19.5" customHeight="1">
      <c r="B18" s="273"/>
      <c r="C18" s="273"/>
      <c r="D18" s="273"/>
      <c r="E18" s="273"/>
      <c r="F18" s="273"/>
      <c r="G18" s="273"/>
      <c r="H18" s="273"/>
      <c r="I18" s="273"/>
      <c r="J18" s="255"/>
      <c r="K18" s="255"/>
      <c r="L18" s="255"/>
      <c r="M18" s="255"/>
      <c r="N18" s="255"/>
      <c r="O18" s="255"/>
      <c r="P18" s="255"/>
      <c r="Q18" s="255"/>
      <c r="R18" s="255"/>
    </row>
    <row r="19" spans="1:20" ht="19.5" customHeight="1">
      <c r="A19" s="255" t="s">
        <v>324</v>
      </c>
      <c r="B19" s="274">
        <f ca="1">+LINEST(
OFFSET($B$76,0,0,1,SUM($B$70:$R$70)),
OFFSET($B$75,0,0,1,SUM($B$70:$R$70)),
,
1)</f>
        <v>5770.0357142857156</v>
      </c>
      <c r="C19" s="273"/>
      <c r="D19" s="273"/>
      <c r="E19" s="273"/>
      <c r="F19" s="273"/>
      <c r="G19" s="273"/>
      <c r="H19" s="273"/>
      <c r="I19" s="273"/>
    </row>
    <row r="20" spans="1:20" ht="19.5" customHeight="1">
      <c r="A20" s="256" t="s">
        <v>325</v>
      </c>
      <c r="B20" s="273">
        <f ca="1">RSQ(
OFFSET($B$76,0,0,1,SUM($B$70:$R$70)),
OFFSET($B$75,0,0,1,SUM($B$70:$R$70))
)</f>
        <v>0.97003408116437206</v>
      </c>
      <c r="C20" s="274"/>
      <c r="D20" s="274"/>
      <c r="E20" s="274"/>
      <c r="F20" s="274"/>
      <c r="G20" s="274"/>
      <c r="H20" s="274"/>
      <c r="I20" s="274"/>
    </row>
    <row r="21" spans="1:20" ht="19.5" customHeight="1">
      <c r="A21" s="255" t="s">
        <v>273</v>
      </c>
      <c r="B21" s="275">
        <f ca="1">+B19/R14</f>
        <v>7.7783202090639325E-2</v>
      </c>
      <c r="C21" s="273"/>
      <c r="D21" s="273"/>
      <c r="E21" s="273"/>
      <c r="F21" s="273"/>
      <c r="G21" s="273"/>
      <c r="H21" s="273"/>
      <c r="I21" s="273"/>
    </row>
    <row r="22" spans="1:20" ht="19.5" customHeight="1">
      <c r="A22" s="268" t="str">
        <f>+'2) ROR'!$D$46&amp;"-year Growth Rate"</f>
        <v>1-year Growth Rate</v>
      </c>
      <c r="B22" s="293">
        <f ca="1">ROUND(B21*'2) ROR'!$D$46,4)</f>
        <v>7.7799999999999994E-2</v>
      </c>
      <c r="C22" s="275"/>
      <c r="D22" s="275"/>
      <c r="E22" s="275"/>
      <c r="F22" s="275"/>
      <c r="G22" s="275"/>
      <c r="H22" s="275"/>
      <c r="I22" s="275"/>
    </row>
    <row r="23" spans="1:20" ht="19.5" customHeight="1">
      <c r="C23" s="276"/>
      <c r="D23" s="276"/>
      <c r="E23" s="276"/>
      <c r="F23" s="276"/>
      <c r="G23" s="276"/>
      <c r="H23" s="276"/>
      <c r="I23" s="276"/>
      <c r="L23" s="277"/>
    </row>
    <row r="25" spans="1:20">
      <c r="S25" s="278"/>
      <c r="T25" s="278"/>
    </row>
    <row r="26" spans="1:20">
      <c r="S26" s="279"/>
      <c r="T26" s="279"/>
    </row>
    <row r="27" spans="1:20">
      <c r="S27" s="279"/>
      <c r="T27" s="279"/>
    </row>
    <row r="28" spans="1:20">
      <c r="S28" s="279"/>
      <c r="T28" s="279"/>
    </row>
    <row r="29" spans="1:20">
      <c r="S29" s="279"/>
      <c r="T29" s="279"/>
    </row>
    <row r="30" spans="1:20">
      <c r="S30" s="279"/>
      <c r="T30" s="279"/>
    </row>
    <row r="33" spans="19:21">
      <c r="S33" s="280"/>
      <c r="T33" s="280"/>
      <c r="U33" s="280"/>
    </row>
    <row r="34" spans="19:21">
      <c r="S34" s="279"/>
      <c r="T34" s="279"/>
      <c r="U34" s="279"/>
    </row>
    <row r="35" spans="19:21">
      <c r="S35" s="279"/>
      <c r="T35" s="279"/>
      <c r="U35" s="279"/>
    </row>
    <row r="36" spans="19:21">
      <c r="S36" s="279"/>
      <c r="T36" s="279"/>
      <c r="U36" s="279"/>
    </row>
    <row r="37" spans="19:21">
      <c r="S37" s="279"/>
      <c r="T37" s="279"/>
      <c r="U37" s="279"/>
    </row>
    <row r="38" spans="19:21">
      <c r="S38" s="279"/>
      <c r="T38" s="279"/>
      <c r="U38" s="279"/>
    </row>
    <row r="39" spans="19:21">
      <c r="S39" s="279"/>
      <c r="T39" s="279"/>
      <c r="U39" s="279"/>
    </row>
    <row r="40" spans="19:21">
      <c r="S40" s="279"/>
      <c r="T40" s="279"/>
      <c r="U40" s="279"/>
    </row>
    <row r="41" spans="19:21">
      <c r="S41" s="279"/>
      <c r="T41" s="279"/>
      <c r="U41" s="279"/>
    </row>
    <row r="42" spans="19:21">
      <c r="S42" s="279"/>
      <c r="T42" s="279"/>
      <c r="U42" s="279"/>
    </row>
    <row r="43" spans="19:21">
      <c r="S43" s="279"/>
      <c r="T43" s="279"/>
      <c r="U43" s="279"/>
    </row>
    <row r="44" spans="19:21">
      <c r="S44" s="279"/>
      <c r="T44" s="279"/>
      <c r="U44" s="279"/>
    </row>
    <row r="45" spans="19:21">
      <c r="S45" s="279"/>
      <c r="T45" s="279"/>
      <c r="U45" s="279"/>
    </row>
    <row r="46" spans="19:21">
      <c r="S46" s="279"/>
      <c r="T46" s="279"/>
      <c r="U46" s="279"/>
    </row>
    <row r="47" spans="19:21">
      <c r="S47" s="279"/>
      <c r="T47" s="279"/>
      <c r="U47" s="279"/>
    </row>
    <row r="48" spans="19:21">
      <c r="S48" s="279"/>
      <c r="T48" s="279"/>
      <c r="U48" s="279"/>
    </row>
    <row r="49" spans="19:21">
      <c r="S49" s="279"/>
      <c r="T49" s="279"/>
      <c r="U49" s="279"/>
    </row>
    <row r="50" spans="19:21">
      <c r="S50" s="279"/>
      <c r="T50" s="279"/>
      <c r="U50" s="279"/>
    </row>
    <row r="51" spans="19:21">
      <c r="S51" s="279"/>
      <c r="T51" s="279"/>
      <c r="U51" s="279"/>
    </row>
    <row r="52" spans="19:21">
      <c r="S52" s="279"/>
      <c r="T52" s="279"/>
      <c r="U52" s="279"/>
    </row>
    <row r="53" spans="19:21">
      <c r="S53" s="279"/>
      <c r="T53" s="279"/>
      <c r="U53" s="279"/>
    </row>
    <row r="54" spans="19:21">
      <c r="S54" s="279"/>
      <c r="T54" s="279"/>
      <c r="U54" s="279"/>
    </row>
    <row r="55" spans="19:21">
      <c r="S55" s="279"/>
      <c r="T55" s="279"/>
      <c r="U55" s="279"/>
    </row>
    <row r="56" spans="19:21">
      <c r="S56" s="279"/>
      <c r="T56" s="279"/>
      <c r="U56" s="279"/>
    </row>
    <row r="58" spans="19:21">
      <c r="S58" s="280"/>
      <c r="T58" s="280"/>
      <c r="U58" s="280"/>
    </row>
    <row r="59" spans="19:21">
      <c r="S59" s="279"/>
      <c r="T59" s="279"/>
      <c r="U59" s="279"/>
    </row>
    <row r="60" spans="19:21">
      <c r="S60" s="279"/>
      <c r="T60" s="279"/>
      <c r="U60" s="279"/>
    </row>
    <row r="61" spans="19:21">
      <c r="S61" s="279"/>
      <c r="T61" s="279"/>
      <c r="U61" s="279"/>
    </row>
    <row r="67" spans="1:21">
      <c r="S67" s="280"/>
      <c r="T67" s="280"/>
      <c r="U67" s="280"/>
    </row>
    <row r="68" spans="1:21">
      <c r="A68" s="281" t="s">
        <v>274</v>
      </c>
      <c r="S68" s="279"/>
      <c r="T68" s="279"/>
      <c r="U68" s="279"/>
    </row>
    <row r="69" spans="1:21">
      <c r="A69" s="281" t="s">
        <v>275</v>
      </c>
      <c r="B69" s="281">
        <f t="shared" ref="B69:P69" si="3">+B9</f>
        <v>2000</v>
      </c>
      <c r="C69" s="281">
        <f t="shared" si="3"/>
        <v>2001</v>
      </c>
      <c r="D69" s="281">
        <f t="shared" si="3"/>
        <v>2002</v>
      </c>
      <c r="E69" s="281">
        <f t="shared" si="3"/>
        <v>2003</v>
      </c>
      <c r="F69" s="281">
        <f t="shared" si="3"/>
        <v>2004</v>
      </c>
      <c r="G69" s="281">
        <f t="shared" si="3"/>
        <v>2005</v>
      </c>
      <c r="H69" s="281">
        <f t="shared" si="3"/>
        <v>2006</v>
      </c>
      <c r="I69" s="281">
        <f t="shared" si="3"/>
        <v>2007</v>
      </c>
      <c r="J69" s="281">
        <f t="shared" si="3"/>
        <v>2008</v>
      </c>
      <c r="K69" s="281">
        <f t="shared" si="3"/>
        <v>2009</v>
      </c>
      <c r="L69" s="281">
        <f t="shared" si="3"/>
        <v>2010</v>
      </c>
      <c r="M69" s="281">
        <f t="shared" si="3"/>
        <v>2011</v>
      </c>
      <c r="N69" s="281">
        <f t="shared" si="3"/>
        <v>2012</v>
      </c>
      <c r="O69" s="281">
        <f t="shared" si="3"/>
        <v>2013</v>
      </c>
      <c r="P69" s="281">
        <f t="shared" si="3"/>
        <v>2014</v>
      </c>
      <c r="Q69" s="281">
        <f t="shared" ref="Q69:R69" si="4">+Q9</f>
        <v>2015</v>
      </c>
      <c r="R69" s="281">
        <f t="shared" si="4"/>
        <v>2016</v>
      </c>
    </row>
    <row r="70" spans="1:21">
      <c r="A70" s="282" t="s">
        <v>276</v>
      </c>
      <c r="B70" s="282"/>
      <c r="C70" s="282"/>
      <c r="D70" s="282"/>
      <c r="E70" s="282"/>
      <c r="F70" s="282"/>
      <c r="G70" s="282"/>
      <c r="H70" s="282"/>
      <c r="I70" s="282"/>
      <c r="J70" s="282"/>
      <c r="K70" s="282">
        <v>1</v>
      </c>
      <c r="L70" s="282">
        <v>1</v>
      </c>
      <c r="M70" s="282">
        <v>1</v>
      </c>
      <c r="N70" s="282">
        <v>1</v>
      </c>
      <c r="O70" s="282">
        <v>1</v>
      </c>
      <c r="P70" s="282">
        <v>1</v>
      </c>
      <c r="Q70" s="282">
        <v>1</v>
      </c>
      <c r="R70" s="282">
        <v>1</v>
      </c>
    </row>
    <row r="71" spans="1:21">
      <c r="A71" s="274"/>
      <c r="B71" s="274"/>
      <c r="C71" s="274"/>
      <c r="D71" s="274"/>
      <c r="E71" s="274"/>
      <c r="F71" s="274"/>
      <c r="G71" s="274"/>
      <c r="H71" s="274"/>
      <c r="I71" s="274"/>
      <c r="J71" s="274"/>
      <c r="K71" s="274"/>
      <c r="L71" s="274"/>
      <c r="M71" s="274"/>
      <c r="N71" s="274"/>
      <c r="O71" s="274"/>
      <c r="P71" s="274"/>
      <c r="Q71" s="274"/>
      <c r="R71" s="274"/>
      <c r="S71" s="274"/>
      <c r="T71" s="274"/>
      <c r="U71" s="274"/>
    </row>
    <row r="72" spans="1:21">
      <c r="A72" s="274"/>
      <c r="B72" s="274"/>
      <c r="C72" s="274"/>
      <c r="D72" s="274"/>
      <c r="E72" s="274"/>
      <c r="F72" s="274"/>
      <c r="G72" s="274"/>
      <c r="H72" s="274"/>
      <c r="I72" s="274"/>
      <c r="J72" s="274"/>
      <c r="K72" s="274"/>
      <c r="L72" s="274"/>
      <c r="M72" s="274"/>
      <c r="N72" s="274"/>
      <c r="O72" s="274"/>
      <c r="P72" s="274"/>
      <c r="Q72" s="274"/>
      <c r="R72" s="274"/>
      <c r="S72" s="274"/>
      <c r="T72" s="274"/>
      <c r="U72" s="274"/>
    </row>
    <row r="73" spans="1:21">
      <c r="A73" s="283" t="s">
        <v>277</v>
      </c>
      <c r="B73" s="284">
        <f>+SUM($B70:B$70)</f>
        <v>0</v>
      </c>
      <c r="C73" s="284">
        <f>+SUM($B70:C$70)</f>
        <v>0</v>
      </c>
      <c r="D73" s="284">
        <f>+SUM($B70:D$70)</f>
        <v>0</v>
      </c>
      <c r="E73" s="284">
        <f>+SUM($B70:E$70)</f>
        <v>0</v>
      </c>
      <c r="F73" s="284">
        <f>+SUM($B70:F$70)</f>
        <v>0</v>
      </c>
      <c r="G73" s="284">
        <f>+SUM($B70:G$70)</f>
        <v>0</v>
      </c>
      <c r="H73" s="284">
        <f>+SUM($B70:H$70)</f>
        <v>0</v>
      </c>
      <c r="I73" s="284">
        <f>+SUM($B70:I$70)</f>
        <v>0</v>
      </c>
      <c r="J73" s="284">
        <f>+SUM($B70:J$70)</f>
        <v>0</v>
      </c>
      <c r="K73" s="284">
        <f>+SUM($B70:K$70)</f>
        <v>1</v>
      </c>
      <c r="L73" s="284">
        <f>+SUM($B70:L$70)</f>
        <v>2</v>
      </c>
      <c r="M73" s="284">
        <f>+SUM($B70:M$70)</f>
        <v>3</v>
      </c>
      <c r="N73" s="284">
        <f>+SUM($B70:N$70)</f>
        <v>4</v>
      </c>
      <c r="O73" s="284">
        <f>+SUM($B70:O$70)</f>
        <v>5</v>
      </c>
      <c r="P73" s="284">
        <f>+SUM($B70:P$70)</f>
        <v>6</v>
      </c>
      <c r="Q73" s="284">
        <f>+SUM($B70:Q$70)</f>
        <v>7</v>
      </c>
      <c r="R73" s="284">
        <f>+SUM($B70:R$70)</f>
        <v>8</v>
      </c>
      <c r="S73" s="274"/>
      <c r="T73" s="274"/>
      <c r="U73" s="274"/>
    </row>
    <row r="74" spans="1:21">
      <c r="A74" s="283" t="s">
        <v>278</v>
      </c>
      <c r="B74" s="285">
        <v>1</v>
      </c>
      <c r="C74" s="285">
        <f t="shared" ref="C74:K74" si="5">+B74+1</f>
        <v>2</v>
      </c>
      <c r="D74" s="285">
        <f t="shared" si="5"/>
        <v>3</v>
      </c>
      <c r="E74" s="285">
        <f t="shared" si="5"/>
        <v>4</v>
      </c>
      <c r="F74" s="285">
        <f t="shared" si="5"/>
        <v>5</v>
      </c>
      <c r="G74" s="285">
        <f t="shared" si="5"/>
        <v>6</v>
      </c>
      <c r="H74" s="285">
        <f t="shared" si="5"/>
        <v>7</v>
      </c>
      <c r="I74" s="285">
        <f t="shared" si="5"/>
        <v>8</v>
      </c>
      <c r="J74" s="285">
        <f t="shared" si="5"/>
        <v>9</v>
      </c>
      <c r="K74" s="285">
        <f t="shared" si="5"/>
        <v>10</v>
      </c>
      <c r="L74" s="285">
        <f>+K74+1</f>
        <v>11</v>
      </c>
      <c r="M74" s="285">
        <f t="shared" ref="M74:P74" si="6">+L74+1</f>
        <v>12</v>
      </c>
      <c r="N74" s="285">
        <f t="shared" si="6"/>
        <v>13</v>
      </c>
      <c r="O74" s="285">
        <f t="shared" si="6"/>
        <v>14</v>
      </c>
      <c r="P74" s="285">
        <f t="shared" si="6"/>
        <v>15</v>
      </c>
      <c r="Q74" s="285">
        <f t="shared" ref="Q74" si="7">+P74+1</f>
        <v>16</v>
      </c>
      <c r="R74" s="285">
        <f t="shared" ref="R74" si="8">+Q74+1</f>
        <v>17</v>
      </c>
    </row>
    <row r="75" spans="1:21">
      <c r="A75" s="283" t="s">
        <v>279</v>
      </c>
      <c r="B75" s="285">
        <f t="shared" ref="B75:R75" ca="1" si="9">+OFFSET($A$69,0,MATCH(B$74,$B$73:$R$73,0))</f>
        <v>2009</v>
      </c>
      <c r="C75" s="285">
        <f t="shared" ca="1" si="9"/>
        <v>2010</v>
      </c>
      <c r="D75" s="285">
        <f t="shared" ca="1" si="9"/>
        <v>2011</v>
      </c>
      <c r="E75" s="285">
        <f t="shared" ca="1" si="9"/>
        <v>2012</v>
      </c>
      <c r="F75" s="285">
        <f t="shared" ca="1" si="9"/>
        <v>2013</v>
      </c>
      <c r="G75" s="285">
        <f t="shared" ca="1" si="9"/>
        <v>2014</v>
      </c>
      <c r="H75" s="285">
        <f t="shared" ca="1" si="9"/>
        <v>2015</v>
      </c>
      <c r="I75" s="285">
        <f t="shared" ca="1" si="9"/>
        <v>2016</v>
      </c>
      <c r="J75" s="285" t="e">
        <f t="shared" ca="1" si="9"/>
        <v>#N/A</v>
      </c>
      <c r="K75" s="285" t="e">
        <f t="shared" ca="1" si="9"/>
        <v>#N/A</v>
      </c>
      <c r="L75" s="285" t="e">
        <f t="shared" ca="1" si="9"/>
        <v>#N/A</v>
      </c>
      <c r="M75" s="285" t="e">
        <f t="shared" ca="1" si="9"/>
        <v>#N/A</v>
      </c>
      <c r="N75" s="285" t="e">
        <f t="shared" ca="1" si="9"/>
        <v>#N/A</v>
      </c>
      <c r="O75" s="285" t="e">
        <f t="shared" ca="1" si="9"/>
        <v>#N/A</v>
      </c>
      <c r="P75" s="285" t="e">
        <f t="shared" ca="1" si="9"/>
        <v>#N/A</v>
      </c>
      <c r="Q75" s="285" t="e">
        <f t="shared" ca="1" si="9"/>
        <v>#N/A</v>
      </c>
      <c r="R75" s="285" t="e">
        <f t="shared" ca="1" si="9"/>
        <v>#N/A</v>
      </c>
    </row>
    <row r="76" spans="1:21">
      <c r="A76" s="283" t="s">
        <v>280</v>
      </c>
      <c r="B76" s="283">
        <f t="shared" ref="B76:R76" ca="1" si="10">+INDEX(14:14,1,MATCH(B$75,9:9,0))</f>
        <v>31005</v>
      </c>
      <c r="C76" s="283">
        <f t="shared" ca="1" si="10"/>
        <v>36762</v>
      </c>
      <c r="D76" s="283">
        <f t="shared" ca="1" si="10"/>
        <v>42004</v>
      </c>
      <c r="E76" s="283">
        <f t="shared" ca="1" si="10"/>
        <v>46498</v>
      </c>
      <c r="F76" s="283">
        <f t="shared" ca="1" si="10"/>
        <v>50170</v>
      </c>
      <c r="G76" s="283">
        <f t="shared" ca="1" si="10"/>
        <v>54652</v>
      </c>
      <c r="H76" s="283">
        <f t="shared" ca="1" si="10"/>
        <v>64929</v>
      </c>
      <c r="I76" s="283">
        <f t="shared" ca="1" si="10"/>
        <v>74181</v>
      </c>
      <c r="J76" s="283" t="e">
        <f t="shared" ca="1" si="10"/>
        <v>#N/A</v>
      </c>
      <c r="K76" s="283" t="e">
        <f t="shared" ca="1" si="10"/>
        <v>#N/A</v>
      </c>
      <c r="L76" s="283" t="e">
        <f t="shared" ca="1" si="10"/>
        <v>#N/A</v>
      </c>
      <c r="M76" s="283" t="e">
        <f t="shared" ca="1" si="10"/>
        <v>#N/A</v>
      </c>
      <c r="N76" s="283" t="e">
        <f t="shared" ca="1" si="10"/>
        <v>#N/A</v>
      </c>
      <c r="O76" s="283" t="e">
        <f t="shared" ca="1" si="10"/>
        <v>#N/A</v>
      </c>
      <c r="P76" s="283" t="e">
        <f t="shared" ca="1" si="10"/>
        <v>#N/A</v>
      </c>
      <c r="Q76" s="283" t="e">
        <f t="shared" ca="1" si="10"/>
        <v>#N/A</v>
      </c>
      <c r="R76" s="283" t="e">
        <f t="shared" ca="1" si="10"/>
        <v>#N/A</v>
      </c>
    </row>
    <row r="79" spans="1:21">
      <c r="A79" s="286"/>
      <c r="B79" s="287" t="s">
        <v>281</v>
      </c>
      <c r="C79" s="288"/>
    </row>
    <row r="80" spans="1:21">
      <c r="A80" s="286" t="s">
        <v>252</v>
      </c>
      <c r="B80" s="289">
        <f t="array" aca="1" ref="B80:C84" ca="1">+LINEST(
OFFSET($B76,0,0,1,SUM($B70:$R70)),
OFFSET($B75,0,0,1,SUM($B70:$R70)),
,
1)</f>
        <v>5770.0357142857156</v>
      </c>
      <c r="C80" s="289">
        <f ca="1"/>
        <v>-11562171.750000002</v>
      </c>
      <c r="D80" s="255" t="s">
        <v>282</v>
      </c>
    </row>
    <row r="81" spans="1:4">
      <c r="A81" s="286" t="s">
        <v>283</v>
      </c>
      <c r="B81" s="289">
        <f ca="1"/>
        <v>414.02177125020967</v>
      </c>
      <c r="C81" s="289">
        <f ca="1"/>
        <v>833219.35466926917</v>
      </c>
      <c r="D81" s="255" t="s">
        <v>284</v>
      </c>
    </row>
    <row r="82" spans="1:4">
      <c r="A82" s="286" t="s">
        <v>285</v>
      </c>
      <c r="B82" s="289">
        <f ca="1"/>
        <v>0.97003408116437195</v>
      </c>
      <c r="C82" s="289">
        <f ca="1"/>
        <v>2683.1677429681431</v>
      </c>
      <c r="D82" s="255" t="s">
        <v>286</v>
      </c>
    </row>
    <row r="83" spans="1:4">
      <c r="A83" s="290" t="s">
        <v>287</v>
      </c>
      <c r="B83" s="289">
        <f ca="1"/>
        <v>194.22746617288038</v>
      </c>
      <c r="C83" s="289">
        <f ca="1"/>
        <v>6</v>
      </c>
      <c r="D83" s="255" t="s">
        <v>288</v>
      </c>
    </row>
    <row r="84" spans="1:4">
      <c r="A84" s="290" t="s">
        <v>289</v>
      </c>
      <c r="B84" s="289">
        <f ca="1"/>
        <v>1398319110.0535715</v>
      </c>
      <c r="C84" s="289">
        <f ca="1"/>
        <v>43196334.821428552</v>
      </c>
      <c r="D84" s="255" t="s">
        <v>290</v>
      </c>
    </row>
    <row r="85" spans="1:4">
      <c r="A85" s="286"/>
    </row>
    <row r="86" spans="1:4">
      <c r="A86" s="286"/>
    </row>
    <row r="87" spans="1:4">
      <c r="A87" s="286" t="s">
        <v>291</v>
      </c>
      <c r="B87" s="255">
        <f ca="1">+B80/B81</f>
        <v>13.936551444775729</v>
      </c>
    </row>
    <row r="88" spans="1:4">
      <c r="A88" s="290" t="s">
        <v>292</v>
      </c>
      <c r="B88" s="291">
        <f ca="1">+TDIST(B87,C83,2)</f>
        <v>8.5050030210074968E-6</v>
      </c>
    </row>
  </sheetData>
  <conditionalFormatting sqref="B14:H14 J14:R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view="pageBreakPreview" zoomScaleNormal="100" zoomScaleSheetLayoutView="100" workbookViewId="0">
      <selection sqref="A1:R1"/>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199" customWidth="1"/>
    <col min="23" max="16384" width="10.7109375" style="3"/>
  </cols>
  <sheetData>
    <row r="1" spans="1:22" ht="21" customHeight="1">
      <c r="A1" s="531"/>
      <c r="B1" s="531"/>
      <c r="C1" s="531"/>
      <c r="D1" s="531"/>
      <c r="E1" s="531"/>
      <c r="F1" s="531"/>
      <c r="G1" s="531"/>
      <c r="H1" s="531"/>
      <c r="I1" s="531"/>
      <c r="J1" s="531"/>
      <c r="K1" s="531"/>
      <c r="L1" s="531"/>
      <c r="M1" s="531"/>
      <c r="N1" s="531"/>
      <c r="O1" s="531"/>
      <c r="P1" s="531"/>
      <c r="Q1" s="531"/>
      <c r="R1" s="531"/>
    </row>
    <row r="2" spans="1:22" ht="28.9" customHeight="1">
      <c r="A2" s="532" t="s">
        <v>267</v>
      </c>
      <c r="B2" s="532"/>
      <c r="C2" s="532"/>
      <c r="D2" s="532"/>
      <c r="E2" s="532"/>
      <c r="F2" s="532"/>
      <c r="G2" s="532"/>
      <c r="H2" s="532"/>
      <c r="I2" s="532"/>
      <c r="J2" s="532"/>
      <c r="K2" s="532"/>
      <c r="L2" s="532"/>
      <c r="M2" s="532"/>
      <c r="N2" s="532"/>
      <c r="O2" s="532"/>
      <c r="P2" s="532"/>
      <c r="Q2" s="532"/>
      <c r="R2" s="532"/>
    </row>
    <row r="3" spans="1:22" ht="37.15" customHeight="1">
      <c r="A3" s="176" t="s">
        <v>43</v>
      </c>
      <c r="F3" s="157"/>
      <c r="G3" s="157"/>
      <c r="H3" s="157"/>
      <c r="I3" s="157"/>
      <c r="J3" s="157"/>
      <c r="K3" s="157"/>
      <c r="L3" s="157"/>
      <c r="M3" s="157"/>
      <c r="N3" s="157"/>
      <c r="O3" s="157"/>
      <c r="P3" s="157"/>
      <c r="Q3" s="157"/>
      <c r="R3" s="157"/>
    </row>
    <row r="4" spans="1:22" ht="13.5" customHeight="1">
      <c r="A4" s="176" t="s">
        <v>48</v>
      </c>
      <c r="E4" s="534" t="s">
        <v>152</v>
      </c>
      <c r="F4" s="534"/>
      <c r="G4" s="534"/>
      <c r="H4" s="534"/>
      <c r="I4" s="534"/>
      <c r="J4" s="534"/>
      <c r="K4" s="534"/>
      <c r="L4" s="534"/>
      <c r="M4" s="534"/>
      <c r="N4" s="534"/>
      <c r="O4" s="534"/>
      <c r="P4" s="534"/>
      <c r="Q4" s="534"/>
      <c r="R4" s="534"/>
    </row>
    <row r="5" spans="1:22" ht="5.25" customHeight="1">
      <c r="A5" s="173"/>
    </row>
    <row r="6" spans="1:22" s="6" customFormat="1" ht="11.45" customHeight="1">
      <c r="A6" s="176" t="s">
        <v>39</v>
      </c>
      <c r="B6" s="2"/>
      <c r="C6" s="2"/>
      <c r="D6" s="2"/>
      <c r="E6" s="2"/>
      <c r="F6" s="4"/>
      <c r="G6" s="4"/>
      <c r="H6" s="4"/>
      <c r="I6" s="4"/>
      <c r="J6" s="4"/>
      <c r="K6" s="4"/>
      <c r="L6" s="4"/>
      <c r="M6" s="4"/>
      <c r="N6" s="4"/>
      <c r="O6" s="4"/>
      <c r="P6" s="4"/>
      <c r="Q6" s="4"/>
      <c r="R6" s="3"/>
      <c r="S6" s="24"/>
      <c r="T6" s="222"/>
      <c r="U6" s="222"/>
      <c r="V6" s="243"/>
    </row>
    <row r="7" spans="1:22" s="6" customFormat="1" ht="3.75" customHeight="1">
      <c r="A7" s="5"/>
      <c r="F7" s="7"/>
      <c r="G7" s="7"/>
      <c r="H7" s="7"/>
      <c r="I7" s="7"/>
      <c r="J7" s="7"/>
      <c r="K7" s="7"/>
      <c r="L7" s="7"/>
      <c r="M7" s="7"/>
      <c r="N7" s="7"/>
      <c r="O7" s="7"/>
      <c r="P7" s="7"/>
      <c r="Q7" s="7"/>
      <c r="U7" s="222"/>
      <c r="V7" s="243"/>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455">
        <v>12.201499999999999</v>
      </c>
      <c r="V8" s="39">
        <v>2016</v>
      </c>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456" t="s">
        <v>1</v>
      </c>
      <c r="V9" s="16" t="s">
        <v>1</v>
      </c>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457" t="s">
        <v>5</v>
      </c>
      <c r="V10" s="21" t="s">
        <v>5</v>
      </c>
    </row>
    <row r="11" spans="1:22">
      <c r="B11" s="3" t="s">
        <v>6</v>
      </c>
      <c r="R11" s="4"/>
      <c r="S11" s="4"/>
      <c r="T11" s="4"/>
      <c r="U11" s="458"/>
      <c r="V11" s="193"/>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459">
        <v>149865</v>
      </c>
      <c r="V12" s="189">
        <v>150970</v>
      </c>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460">
        <v>4054</v>
      </c>
      <c r="V13" s="188">
        <v>4477</v>
      </c>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461">
        <v>7129</v>
      </c>
      <c r="V14" s="190">
        <v>1020</v>
      </c>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c r="U15" s="460">
        <v>161048</v>
      </c>
      <c r="V15" s="188">
        <f>SUM(V12:V14)</f>
        <v>156467</v>
      </c>
    </row>
    <row r="16" spans="1:22">
      <c r="C16" s="24"/>
      <c r="D16" s="24"/>
      <c r="E16" s="24"/>
      <c r="F16" s="32"/>
      <c r="G16" s="32"/>
      <c r="H16" s="32"/>
      <c r="I16" s="32"/>
      <c r="J16" s="32"/>
      <c r="K16" s="32"/>
      <c r="L16" s="32"/>
      <c r="M16" s="32"/>
      <c r="N16" s="32"/>
      <c r="O16" s="32"/>
      <c r="P16" s="32"/>
      <c r="Q16" s="32"/>
      <c r="R16" s="32"/>
      <c r="S16" s="32"/>
      <c r="T16" s="32"/>
      <c r="U16" s="460"/>
      <c r="V16" s="188"/>
    </row>
    <row r="17" spans="1:22">
      <c r="B17" s="3" t="s">
        <v>11</v>
      </c>
      <c r="C17" s="24"/>
      <c r="D17" s="24"/>
      <c r="E17" s="24"/>
      <c r="F17" s="32"/>
      <c r="G17" s="32"/>
      <c r="H17" s="32"/>
      <c r="I17" s="32"/>
      <c r="J17" s="32"/>
      <c r="K17" s="32"/>
      <c r="L17" s="32"/>
      <c r="M17" s="32"/>
      <c r="N17" s="32"/>
      <c r="O17" s="32"/>
      <c r="P17" s="32"/>
      <c r="Q17" s="32"/>
      <c r="R17" s="32"/>
      <c r="S17" s="32"/>
      <c r="T17" s="32"/>
      <c r="U17" s="460"/>
      <c r="V17" s="188"/>
    </row>
    <row r="18" spans="1:22">
      <c r="B18" s="24" t="s">
        <v>51</v>
      </c>
      <c r="D18" s="24"/>
      <c r="E18" s="24"/>
      <c r="F18" s="32"/>
      <c r="G18" s="32"/>
      <c r="H18" s="32"/>
      <c r="I18" s="32"/>
      <c r="J18" s="32"/>
      <c r="K18" s="32"/>
      <c r="L18" s="32"/>
      <c r="M18" s="32"/>
      <c r="N18" s="32"/>
      <c r="O18" s="32"/>
      <c r="P18" s="32"/>
      <c r="Q18" s="32"/>
      <c r="R18" s="32"/>
      <c r="S18" s="32"/>
      <c r="T18" s="32"/>
      <c r="U18" s="460"/>
      <c r="V18" s="188"/>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460">
        <v>79634</v>
      </c>
      <c r="V19" s="188">
        <v>63460</v>
      </c>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460">
        <v>840</v>
      </c>
      <c r="V20" s="188">
        <v>994</v>
      </c>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461">
        <v>0</v>
      </c>
      <c r="V21" s="190">
        <v>1</v>
      </c>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c r="U22" s="460">
        <v>80474</v>
      </c>
      <c r="V22" s="188">
        <f t="shared" ref="V22" si="4">SUM(V19:V21)</f>
        <v>64455</v>
      </c>
    </row>
    <row r="23" spans="1:22">
      <c r="B23" s="24"/>
      <c r="C23" s="24"/>
      <c r="F23" s="32"/>
      <c r="G23" s="32"/>
      <c r="H23" s="32"/>
      <c r="I23" s="32"/>
      <c r="J23" s="32"/>
      <c r="K23" s="32"/>
      <c r="L23" s="32"/>
      <c r="M23" s="32"/>
      <c r="N23" s="32"/>
      <c r="O23" s="32"/>
      <c r="P23" s="32"/>
      <c r="Q23" s="32"/>
      <c r="R23" s="32"/>
      <c r="S23" s="32"/>
      <c r="T23" s="32"/>
      <c r="U23" s="460"/>
      <c r="V23" s="188"/>
    </row>
    <row r="24" spans="1:22">
      <c r="B24" s="24" t="s">
        <v>16</v>
      </c>
      <c r="D24" s="24"/>
      <c r="E24" s="24"/>
      <c r="F24" s="32"/>
      <c r="G24" s="32"/>
      <c r="H24" s="32"/>
      <c r="I24" s="32"/>
      <c r="J24" s="32"/>
      <c r="K24" s="32"/>
      <c r="L24" s="32"/>
      <c r="M24" s="32"/>
      <c r="N24" s="32"/>
      <c r="O24" s="32"/>
      <c r="P24" s="32"/>
      <c r="Q24" s="32"/>
      <c r="R24" s="32"/>
      <c r="S24" s="32"/>
      <c r="T24" s="32"/>
      <c r="U24" s="460"/>
      <c r="V24" s="188"/>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460">
        <v>857</v>
      </c>
      <c r="V25" s="188">
        <v>974</v>
      </c>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460">
        <v>439</v>
      </c>
      <c r="V26" s="188">
        <v>492</v>
      </c>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461">
        <v>196</v>
      </c>
      <c r="V27" s="190">
        <v>210</v>
      </c>
    </row>
    <row r="28" spans="1:22">
      <c r="A28" s="22">
        <v>12</v>
      </c>
      <c r="B28" s="24" t="s">
        <v>18</v>
      </c>
      <c r="C28" s="24"/>
      <c r="F28" s="32">
        <f t="shared" ref="F28:S28" si="5">SUM(F25:F27)</f>
        <v>737</v>
      </c>
      <c r="G28" s="32">
        <f t="shared" si="5"/>
        <v>744</v>
      </c>
      <c r="H28" s="32">
        <f t="shared" si="5"/>
        <v>774</v>
      </c>
      <c r="I28" s="32">
        <f t="shared" si="5"/>
        <v>769</v>
      </c>
      <c r="J28" s="32">
        <f t="shared" si="5"/>
        <v>810</v>
      </c>
      <c r="K28" s="32">
        <f t="shared" si="5"/>
        <v>875</v>
      </c>
      <c r="L28" s="32">
        <f t="shared" si="5"/>
        <v>926</v>
      </c>
      <c r="M28" s="32">
        <f t="shared" si="5"/>
        <v>856</v>
      </c>
      <c r="N28" s="32">
        <f t="shared" si="5"/>
        <v>825</v>
      </c>
      <c r="O28" s="32">
        <f t="shared" si="5"/>
        <v>917</v>
      </c>
      <c r="P28" s="32">
        <f t="shared" si="5"/>
        <v>844</v>
      </c>
      <c r="Q28" s="32">
        <f t="shared" si="5"/>
        <v>999</v>
      </c>
      <c r="R28" s="32">
        <f t="shared" si="5"/>
        <v>1167</v>
      </c>
      <c r="S28" s="32">
        <f t="shared" si="5"/>
        <v>1358</v>
      </c>
      <c r="T28" s="32">
        <f t="shared" ref="T28" si="6">SUM(T25:T27)</f>
        <v>1479</v>
      </c>
      <c r="U28" s="460">
        <v>1492</v>
      </c>
      <c r="V28" s="188">
        <f t="shared" ref="V28" si="7">SUM(V25:V27)</f>
        <v>1676</v>
      </c>
    </row>
    <row r="29" spans="1:22">
      <c r="B29" s="24"/>
      <c r="C29" s="24"/>
      <c r="F29" s="32"/>
      <c r="G29" s="32"/>
      <c r="H29" s="32"/>
      <c r="I29" s="32"/>
      <c r="J29" s="32"/>
      <c r="K29" s="32"/>
      <c r="L29" s="32"/>
      <c r="M29" s="32"/>
      <c r="N29" s="32"/>
      <c r="O29" s="32"/>
      <c r="P29" s="32"/>
      <c r="Q29" s="32"/>
      <c r="R29" s="32"/>
      <c r="S29" s="32"/>
      <c r="T29" s="32"/>
      <c r="U29" s="460"/>
      <c r="V29" s="188"/>
    </row>
    <row r="30" spans="1:22" ht="11.25" customHeight="1">
      <c r="B30" s="24" t="s">
        <v>19</v>
      </c>
      <c r="D30" s="24"/>
      <c r="E30" s="24"/>
      <c r="F30" s="32"/>
      <c r="G30" s="32"/>
      <c r="H30" s="32"/>
      <c r="I30" s="32"/>
      <c r="J30" s="32"/>
      <c r="K30" s="32"/>
      <c r="L30" s="32"/>
      <c r="M30" s="32"/>
      <c r="N30" s="32"/>
      <c r="O30" s="32"/>
      <c r="P30" s="32"/>
      <c r="Q30" s="32"/>
      <c r="R30" s="32"/>
      <c r="S30" s="32"/>
      <c r="T30" s="32"/>
      <c r="U30" s="460"/>
      <c r="V30" s="188"/>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460">
        <v>12315</v>
      </c>
      <c r="V31" s="188">
        <v>12050</v>
      </c>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460">
        <v>9088</v>
      </c>
      <c r="V32" s="188">
        <v>9866</v>
      </c>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461">
        <v>8554</v>
      </c>
      <c r="V33" s="190">
        <v>8383</v>
      </c>
    </row>
    <row r="34" spans="1:22" ht="12.95" customHeight="1">
      <c r="A34" s="22">
        <v>16</v>
      </c>
      <c r="B34" s="24" t="s">
        <v>20</v>
      </c>
      <c r="C34" s="194"/>
      <c r="F34" s="32">
        <f t="shared" ref="F34:S34" si="8">SUM(F31:F33)</f>
        <v>13059</v>
      </c>
      <c r="G34" s="32">
        <f t="shared" si="8"/>
        <v>16360</v>
      </c>
      <c r="H34" s="32">
        <f t="shared" si="8"/>
        <v>18048</v>
      </c>
      <c r="I34" s="32">
        <f t="shared" si="8"/>
        <v>17674</v>
      </c>
      <c r="J34" s="32">
        <f t="shared" si="8"/>
        <v>19073</v>
      </c>
      <c r="K34" s="32">
        <f t="shared" si="8"/>
        <v>19745</v>
      </c>
      <c r="L34" s="32">
        <f t="shared" si="8"/>
        <v>21185</v>
      </c>
      <c r="M34" s="32">
        <f t="shared" si="8"/>
        <v>21916</v>
      </c>
      <c r="N34" s="32">
        <f t="shared" si="8"/>
        <v>20737</v>
      </c>
      <c r="O34" s="32">
        <f t="shared" si="8"/>
        <v>22510</v>
      </c>
      <c r="P34" s="32">
        <f t="shared" si="8"/>
        <v>21286</v>
      </c>
      <c r="Q34" s="32">
        <f t="shared" si="8"/>
        <v>23553.674327000001</v>
      </c>
      <c r="R34" s="32">
        <f t="shared" si="8"/>
        <v>24314</v>
      </c>
      <c r="S34" s="32">
        <f t="shared" si="8"/>
        <v>26861</v>
      </c>
      <c r="T34" s="32">
        <f t="shared" ref="T34" si="9">SUM(T31:T33)</f>
        <v>27936</v>
      </c>
      <c r="U34" s="460">
        <v>29957</v>
      </c>
      <c r="V34" s="188">
        <f t="shared" ref="V34" si="10">SUM(V31:V33)</f>
        <v>30299</v>
      </c>
    </row>
    <row r="35" spans="1:22">
      <c r="C35" s="24"/>
      <c r="D35" s="24"/>
      <c r="E35" s="24"/>
      <c r="F35" s="32"/>
      <c r="G35" s="32"/>
      <c r="H35" s="32"/>
      <c r="I35" s="32"/>
      <c r="J35" s="32"/>
      <c r="K35" s="32"/>
      <c r="L35" s="32"/>
      <c r="M35" s="32"/>
      <c r="N35" s="32"/>
      <c r="O35" s="32"/>
      <c r="P35" s="32"/>
      <c r="Q35" s="32"/>
      <c r="R35" s="32"/>
      <c r="S35" s="32"/>
      <c r="T35" s="32"/>
      <c r="U35" s="460"/>
      <c r="V35" s="188"/>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460">
        <v>6632</v>
      </c>
      <c r="V36" s="188">
        <v>6811</v>
      </c>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460">
        <v>837</v>
      </c>
      <c r="V37" s="188">
        <v>964</v>
      </c>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460">
        <v>0</v>
      </c>
      <c r="V38" s="188">
        <v>0</v>
      </c>
    </row>
    <row r="39" spans="1:22">
      <c r="C39" s="24"/>
      <c r="D39" s="24"/>
      <c r="E39" s="24"/>
      <c r="F39" s="32"/>
      <c r="G39" s="32"/>
      <c r="H39" s="32"/>
      <c r="I39" s="32"/>
      <c r="J39" s="32"/>
      <c r="K39" s="32"/>
      <c r="L39" s="32"/>
      <c r="M39" s="32"/>
      <c r="N39" s="32"/>
      <c r="O39" s="32"/>
      <c r="P39" s="32"/>
      <c r="Q39" s="32"/>
      <c r="R39" s="32"/>
      <c r="S39" s="32"/>
      <c r="T39" s="32"/>
      <c r="U39" s="460"/>
      <c r="V39" s="188"/>
    </row>
    <row r="40" spans="1:22">
      <c r="B40" s="3" t="s">
        <v>24</v>
      </c>
      <c r="C40" s="24"/>
      <c r="D40" s="24"/>
      <c r="E40" s="24"/>
      <c r="F40" s="32"/>
      <c r="G40" s="32"/>
      <c r="H40" s="32"/>
      <c r="I40" s="32"/>
      <c r="J40" s="32"/>
      <c r="K40" s="32"/>
      <c r="L40" s="32"/>
      <c r="M40" s="32"/>
      <c r="N40" s="32"/>
      <c r="O40" s="32"/>
      <c r="P40" s="32"/>
      <c r="Q40" s="32"/>
      <c r="R40" s="32"/>
      <c r="S40" s="32"/>
      <c r="T40" s="32"/>
      <c r="U40" s="460"/>
      <c r="V40" s="188"/>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460">
        <v>14007</v>
      </c>
      <c r="V41" s="188">
        <v>13267</v>
      </c>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460">
        <v>5649</v>
      </c>
      <c r="V42" s="188">
        <v>6260</v>
      </c>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460">
        <v>-2087</v>
      </c>
      <c r="V43" s="188">
        <v>1079</v>
      </c>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461">
        <v>0</v>
      </c>
      <c r="V44" s="190">
        <v>0</v>
      </c>
    </row>
    <row r="45" spans="1:22" ht="10.9" customHeight="1">
      <c r="A45" s="22">
        <v>24</v>
      </c>
      <c r="B45" s="24" t="s">
        <v>25</v>
      </c>
      <c r="C45" s="24"/>
      <c r="F45" s="33">
        <f t="shared" ref="F45:S45" si="11">SUM(F41:F44)</f>
        <v>9053</v>
      </c>
      <c r="G45" s="33">
        <f t="shared" si="11"/>
        <v>8786</v>
      </c>
      <c r="H45" s="33">
        <f t="shared" si="11"/>
        <v>10882</v>
      </c>
      <c r="I45" s="33">
        <f t="shared" si="11"/>
        <v>11373</v>
      </c>
      <c r="J45" s="33">
        <f t="shared" si="11"/>
        <v>10284</v>
      </c>
      <c r="K45" s="33">
        <f t="shared" si="11"/>
        <v>10562</v>
      </c>
      <c r="L45" s="33">
        <f t="shared" si="11"/>
        <v>9699</v>
      </c>
      <c r="M45" s="33">
        <f t="shared" si="11"/>
        <v>9604</v>
      </c>
      <c r="N45" s="33">
        <f t="shared" si="11"/>
        <v>11284</v>
      </c>
      <c r="O45" s="33">
        <f t="shared" si="11"/>
        <v>12228</v>
      </c>
      <c r="P45" s="33">
        <f t="shared" si="11"/>
        <v>14035</v>
      </c>
      <c r="Q45" s="33">
        <f t="shared" si="11"/>
        <v>14133.118</v>
      </c>
      <c r="R45" s="33">
        <f t="shared" si="11"/>
        <v>16865</v>
      </c>
      <c r="S45" s="33">
        <f t="shared" si="11"/>
        <v>15821</v>
      </c>
      <c r="T45" s="33">
        <f t="shared" ref="T45" si="12">SUM(T41:T44)</f>
        <v>17075</v>
      </c>
      <c r="U45" s="461">
        <v>17569</v>
      </c>
      <c r="V45" s="190">
        <f t="shared" ref="V45" si="13">SUM(V41:V44)</f>
        <v>20606</v>
      </c>
    </row>
    <row r="46" spans="1:22" ht="12.95" customHeight="1">
      <c r="A46" s="22">
        <v>25</v>
      </c>
      <c r="B46" s="3" t="s">
        <v>26</v>
      </c>
      <c r="C46" s="24"/>
      <c r="D46" s="24"/>
      <c r="E46" s="24"/>
      <c r="F46" s="33">
        <f t="shared" ref="F46:S46" si="14">F22+F28+F34+F36+F37+F38+F45</f>
        <v>85016</v>
      </c>
      <c r="G46" s="33">
        <f t="shared" si="14"/>
        <v>138476</v>
      </c>
      <c r="H46" s="33">
        <f t="shared" si="14"/>
        <v>147069</v>
      </c>
      <c r="I46" s="33">
        <f t="shared" si="14"/>
        <v>134584</v>
      </c>
      <c r="J46" s="33">
        <f t="shared" si="14"/>
        <v>150151</v>
      </c>
      <c r="K46" s="33">
        <f t="shared" si="14"/>
        <v>198769</v>
      </c>
      <c r="L46" s="33">
        <f t="shared" si="14"/>
        <v>188047</v>
      </c>
      <c r="M46" s="33">
        <f t="shared" si="14"/>
        <v>265476</v>
      </c>
      <c r="N46" s="33">
        <f t="shared" si="14"/>
        <v>344324</v>
      </c>
      <c r="O46" s="33">
        <f t="shared" si="14"/>
        <v>255137</v>
      </c>
      <c r="P46" s="33">
        <f t="shared" si="14"/>
        <v>245981</v>
      </c>
      <c r="Q46" s="33">
        <f t="shared" si="14"/>
        <v>238020.52726899998</v>
      </c>
      <c r="R46" s="33">
        <f t="shared" si="14"/>
        <v>198655</v>
      </c>
      <c r="S46" s="33">
        <f t="shared" si="14"/>
        <v>128988</v>
      </c>
      <c r="T46" s="33">
        <f t="shared" ref="T46" si="15">T22+T28+T34+T36+T37+T38+T45</f>
        <v>138429</v>
      </c>
      <c r="U46" s="461">
        <v>136961</v>
      </c>
      <c r="V46" s="190">
        <f t="shared" ref="V46" si="16">V22+V28+V34+V36+V37+V38+V45</f>
        <v>124811</v>
      </c>
    </row>
    <row r="47" spans="1:22" ht="9" customHeight="1">
      <c r="C47" s="24"/>
      <c r="D47" s="24"/>
      <c r="E47" s="24"/>
      <c r="F47" s="32"/>
      <c r="G47" s="32"/>
      <c r="H47" s="32"/>
      <c r="I47" s="32"/>
      <c r="J47" s="32"/>
      <c r="K47" s="32"/>
      <c r="L47" s="32"/>
      <c r="M47" s="32"/>
      <c r="N47" s="32"/>
      <c r="O47" s="32"/>
      <c r="P47" s="32"/>
      <c r="Q47" s="32"/>
      <c r="R47" s="32"/>
      <c r="S47" s="32"/>
      <c r="T47" s="32"/>
      <c r="U47" s="460"/>
      <c r="V47" s="188"/>
    </row>
    <row r="48" spans="1:22" ht="12.95" customHeight="1">
      <c r="A48" s="22">
        <v>26</v>
      </c>
      <c r="B48" s="3" t="s">
        <v>27</v>
      </c>
      <c r="C48" s="24"/>
      <c r="D48" s="24"/>
      <c r="E48" s="24"/>
      <c r="F48" s="32">
        <f t="shared" ref="F48:L48" si="17">F15-F46</f>
        <v>11408</v>
      </c>
      <c r="G48" s="32">
        <f t="shared" si="17"/>
        <v>12913</v>
      </c>
      <c r="H48" s="32">
        <f t="shared" si="17"/>
        <v>7729</v>
      </c>
      <c r="I48" s="32">
        <f t="shared" si="17"/>
        <v>8022</v>
      </c>
      <c r="J48" s="32">
        <f t="shared" si="17"/>
        <v>14124</v>
      </c>
      <c r="K48" s="32">
        <f t="shared" si="17"/>
        <v>13526</v>
      </c>
      <c r="L48" s="32">
        <f t="shared" si="17"/>
        <v>15257</v>
      </c>
      <c r="M48" s="32">
        <f t="shared" ref="M48:S48" si="18">M15-M46</f>
        <v>15389</v>
      </c>
      <c r="N48" s="32">
        <f t="shared" si="18"/>
        <v>15865</v>
      </c>
      <c r="O48" s="32">
        <f t="shared" si="18"/>
        <v>14929</v>
      </c>
      <c r="P48" s="32">
        <f t="shared" si="18"/>
        <v>14801</v>
      </c>
      <c r="Q48" s="32">
        <f t="shared" si="18"/>
        <v>16725.472731000016</v>
      </c>
      <c r="R48" s="32">
        <f t="shared" si="18"/>
        <v>15127</v>
      </c>
      <c r="S48" s="32">
        <f t="shared" si="18"/>
        <v>19587</v>
      </c>
      <c r="T48" s="32">
        <f t="shared" ref="T48" si="19">T15-T46</f>
        <v>20409</v>
      </c>
      <c r="U48" s="460">
        <v>24087</v>
      </c>
      <c r="V48" s="188">
        <f t="shared" ref="V48" si="20">V15-V46</f>
        <v>31656</v>
      </c>
    </row>
    <row r="49" spans="1:22">
      <c r="C49" s="24"/>
      <c r="D49" s="24"/>
      <c r="E49" s="24"/>
      <c r="F49" s="32"/>
      <c r="G49" s="32"/>
      <c r="H49" s="32"/>
      <c r="I49" s="32"/>
      <c r="J49" s="32"/>
      <c r="K49" s="32"/>
      <c r="L49" s="32"/>
      <c r="M49" s="32"/>
      <c r="N49" s="32"/>
      <c r="O49" s="32"/>
      <c r="P49" s="32"/>
      <c r="Q49" s="32"/>
      <c r="R49" s="32"/>
      <c r="S49" s="32"/>
      <c r="T49" s="32"/>
      <c r="U49" s="460"/>
      <c r="V49" s="188"/>
    </row>
    <row r="50" spans="1:22">
      <c r="B50" s="3" t="s">
        <v>28</v>
      </c>
      <c r="C50" s="24"/>
      <c r="D50" s="24"/>
      <c r="E50" s="24"/>
      <c r="F50" s="32"/>
      <c r="G50" s="32"/>
      <c r="H50" s="32"/>
      <c r="I50" s="32"/>
      <c r="J50" s="32"/>
      <c r="K50" s="32"/>
      <c r="L50" s="32"/>
      <c r="M50" s="32"/>
      <c r="N50" s="32"/>
      <c r="O50" s="32"/>
      <c r="P50" s="32"/>
      <c r="Q50" s="32"/>
      <c r="R50" s="32"/>
      <c r="S50" s="32"/>
      <c r="T50" s="32"/>
      <c r="U50" s="460"/>
      <c r="V50" s="188"/>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460">
        <v>-729</v>
      </c>
      <c r="V51" s="188">
        <v>-1133</v>
      </c>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460">
        <v>-37</v>
      </c>
      <c r="V52" s="188">
        <v>11</v>
      </c>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460">
        <v>7842</v>
      </c>
      <c r="V53" s="188">
        <v>9923</v>
      </c>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461">
        <v>-20</v>
      </c>
      <c r="V54" s="190">
        <v>-17</v>
      </c>
    </row>
    <row r="55" spans="1:22" ht="12.75" customHeight="1">
      <c r="F55" s="32"/>
      <c r="G55" s="32"/>
      <c r="H55" s="32"/>
      <c r="I55" s="32"/>
      <c r="J55" s="32"/>
      <c r="K55" s="32"/>
      <c r="L55" s="32"/>
      <c r="M55" s="32"/>
      <c r="N55" s="32"/>
      <c r="O55" s="32"/>
      <c r="P55" s="32"/>
      <c r="Q55" s="32"/>
      <c r="R55" s="32"/>
      <c r="S55" s="32"/>
      <c r="T55" s="32"/>
      <c r="U55" s="460"/>
      <c r="V55" s="188"/>
    </row>
    <row r="56" spans="1:22" ht="12.75" customHeight="1" thickBot="1">
      <c r="A56" s="22">
        <v>31</v>
      </c>
      <c r="B56" s="23" t="s">
        <v>32</v>
      </c>
      <c r="C56" s="23"/>
      <c r="D56" s="23"/>
      <c r="E56" s="23"/>
      <c r="F56" s="38">
        <f t="shared" ref="F56:L56" si="21">F48-F51-F52-F53-F54</f>
        <v>9609</v>
      </c>
      <c r="G56" s="38">
        <f t="shared" si="21"/>
        <v>10121</v>
      </c>
      <c r="H56" s="38">
        <f t="shared" si="21"/>
        <v>7113</v>
      </c>
      <c r="I56" s="38">
        <f t="shared" si="21"/>
        <v>7077</v>
      </c>
      <c r="J56" s="38">
        <f t="shared" si="21"/>
        <v>11160</v>
      </c>
      <c r="K56" s="38">
        <f t="shared" si="21"/>
        <v>11144</v>
      </c>
      <c r="L56" s="38">
        <f t="shared" si="21"/>
        <v>11666</v>
      </c>
      <c r="M56" s="38">
        <f t="shared" ref="M56:S56" si="22">M48-M51-M52-M53-M54</f>
        <v>11852</v>
      </c>
      <c r="N56" s="38">
        <f t="shared" si="22"/>
        <v>12070</v>
      </c>
      <c r="O56" s="38">
        <f t="shared" si="22"/>
        <v>11253</v>
      </c>
      <c r="P56" s="38">
        <f t="shared" si="22"/>
        <v>11047</v>
      </c>
      <c r="Q56" s="38">
        <f t="shared" si="22"/>
        <v>11905.924750150018</v>
      </c>
      <c r="R56" s="38">
        <f t="shared" si="22"/>
        <v>11301</v>
      </c>
      <c r="S56" s="38">
        <f t="shared" si="22"/>
        <v>14011</v>
      </c>
      <c r="T56" s="38">
        <f t="shared" ref="T56" si="23">T48-T51-T52-T53-T54</f>
        <v>14406</v>
      </c>
      <c r="U56" s="462">
        <v>17031</v>
      </c>
      <c r="V56" s="218">
        <f>V48-V51-V52-V53-V54</f>
        <v>22872</v>
      </c>
    </row>
    <row r="57" spans="1:22" ht="12.75" customHeight="1" thickTop="1">
      <c r="B57" s="23"/>
      <c r="C57" s="23"/>
      <c r="D57" s="23"/>
      <c r="E57" s="23"/>
      <c r="F57" s="158"/>
      <c r="G57" s="158"/>
      <c r="H57" s="158"/>
      <c r="I57" s="158"/>
      <c r="J57" s="158"/>
      <c r="K57" s="158"/>
      <c r="L57" s="158"/>
      <c r="M57" s="158"/>
      <c r="N57" s="158"/>
      <c r="O57" s="158"/>
      <c r="P57" s="158"/>
      <c r="Q57" s="158"/>
      <c r="R57" s="158"/>
      <c r="U57" s="463"/>
    </row>
    <row r="58" spans="1:22" ht="12.6" customHeight="1">
      <c r="B58" s="23"/>
      <c r="C58" s="23"/>
      <c r="D58" s="159" t="s">
        <v>192</v>
      </c>
      <c r="E58" s="23"/>
      <c r="F58" s="158"/>
      <c r="G58" s="158"/>
      <c r="H58" s="158"/>
      <c r="I58" s="158"/>
      <c r="J58" s="158"/>
      <c r="K58" s="158"/>
      <c r="L58" s="158"/>
      <c r="M58" s="158"/>
      <c r="N58" s="158"/>
      <c r="O58" s="158"/>
      <c r="P58" s="158"/>
      <c r="Q58" s="158"/>
      <c r="R58" s="158"/>
      <c r="U58" s="463"/>
    </row>
    <row r="59" spans="1:22" ht="28.9" customHeight="1">
      <c r="A59" s="533"/>
      <c r="B59" s="533"/>
      <c r="C59" s="533"/>
      <c r="D59" s="533"/>
      <c r="E59" s="533"/>
      <c r="F59" s="533"/>
      <c r="G59" s="533"/>
      <c r="H59" s="533"/>
      <c r="I59" s="533"/>
      <c r="J59" s="533"/>
      <c r="K59" s="533"/>
      <c r="L59" s="533"/>
      <c r="M59" s="533"/>
      <c r="N59" s="533"/>
      <c r="O59" s="533"/>
      <c r="P59" s="533"/>
      <c r="Q59" s="533"/>
      <c r="R59" s="533"/>
      <c r="U59" s="463"/>
    </row>
    <row r="60" spans="1:22" ht="39.75" customHeight="1">
      <c r="A60" s="173" t="s">
        <v>43</v>
      </c>
      <c r="R60" s="4"/>
      <c r="U60" s="463"/>
    </row>
    <row r="61" spans="1:22" ht="14.25" customHeight="1">
      <c r="A61" s="173" t="s">
        <v>48</v>
      </c>
      <c r="E61" s="534" t="str">
        <f>E4</f>
        <v>Commission Basis Results of Operations</v>
      </c>
      <c r="F61" s="534"/>
      <c r="G61" s="534"/>
      <c r="H61" s="534"/>
      <c r="I61" s="534"/>
      <c r="J61" s="534"/>
      <c r="K61" s="534"/>
      <c r="L61" s="534"/>
      <c r="M61" s="534"/>
      <c r="N61" s="534"/>
      <c r="O61" s="534"/>
      <c r="P61" s="534"/>
      <c r="Q61" s="534"/>
      <c r="R61" s="534"/>
      <c r="U61" s="463"/>
    </row>
    <row r="62" spans="1:22" ht="0.75" customHeight="1">
      <c r="A62" s="173"/>
      <c r="R62" s="4"/>
      <c r="U62" s="463"/>
    </row>
    <row r="63" spans="1:22" s="6" customFormat="1" ht="13.9" customHeight="1">
      <c r="A63" s="173" t="s">
        <v>39</v>
      </c>
      <c r="B63" s="2"/>
      <c r="C63" s="2"/>
      <c r="D63" s="2"/>
      <c r="E63" s="2"/>
      <c r="F63" s="4"/>
      <c r="G63" s="4"/>
      <c r="H63" s="4"/>
      <c r="I63" s="4"/>
      <c r="J63" s="4"/>
      <c r="K63" s="4"/>
      <c r="L63" s="4"/>
      <c r="M63" s="4"/>
      <c r="N63" s="4"/>
      <c r="O63" s="4"/>
      <c r="P63" s="4"/>
      <c r="Q63" s="4"/>
      <c r="R63" s="4"/>
      <c r="S63" s="24"/>
      <c r="T63" s="222"/>
      <c r="U63" s="464"/>
      <c r="V63" s="243"/>
    </row>
    <row r="64" spans="1:22" s="6" customFormat="1" ht="5.25" customHeight="1">
      <c r="A64" s="2"/>
      <c r="B64" s="3"/>
      <c r="C64" s="3"/>
      <c r="D64" s="3"/>
      <c r="E64" s="3"/>
      <c r="F64" s="4"/>
      <c r="G64" s="4"/>
      <c r="H64" s="4"/>
      <c r="I64" s="4"/>
      <c r="J64" s="4"/>
      <c r="K64" s="4"/>
      <c r="L64" s="4"/>
      <c r="M64" s="4"/>
      <c r="N64" s="4"/>
      <c r="O64" s="4"/>
      <c r="P64" s="4"/>
      <c r="Q64" s="4"/>
      <c r="R64" s="4"/>
      <c r="U64" s="464"/>
      <c r="V64" s="243"/>
    </row>
    <row r="65" spans="1:22" s="6" customFormat="1" ht="6.75" customHeight="1">
      <c r="A65" s="5"/>
      <c r="F65" s="7"/>
      <c r="G65" s="7"/>
      <c r="H65" s="7"/>
      <c r="I65" s="7"/>
      <c r="J65" s="7"/>
      <c r="K65" s="7"/>
      <c r="L65" s="7"/>
      <c r="M65" s="7"/>
      <c r="N65" s="7"/>
      <c r="O65" s="7"/>
      <c r="P65" s="7"/>
      <c r="Q65" s="7"/>
      <c r="R65" s="7"/>
      <c r="U65" s="464"/>
      <c r="V65" s="243"/>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455">
        <v>12.201499999999999</v>
      </c>
      <c r="V66" s="247"/>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456" t="s">
        <v>1</v>
      </c>
      <c r="V67" s="246"/>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457" t="s">
        <v>5</v>
      </c>
      <c r="V68" s="246"/>
    </row>
    <row r="69" spans="1:22" ht="8.25" customHeight="1">
      <c r="F69" s="32"/>
      <c r="G69" s="32"/>
      <c r="H69" s="32"/>
      <c r="I69" s="32"/>
      <c r="J69" s="32"/>
      <c r="K69" s="32"/>
      <c r="L69" s="32"/>
      <c r="M69" s="32"/>
      <c r="N69" s="32"/>
      <c r="O69" s="32"/>
      <c r="P69" s="32"/>
      <c r="Q69" s="32"/>
      <c r="R69" s="32"/>
      <c r="S69" s="32"/>
      <c r="T69" s="32"/>
      <c r="U69" s="460"/>
      <c r="V69" s="191"/>
    </row>
    <row r="70" spans="1:22">
      <c r="B70" s="3" t="s">
        <v>40</v>
      </c>
      <c r="F70" s="32"/>
      <c r="G70" s="32"/>
      <c r="H70" s="32"/>
      <c r="I70" s="32"/>
      <c r="J70" s="32"/>
      <c r="K70" s="32"/>
      <c r="L70" s="32"/>
      <c r="M70" s="32"/>
      <c r="N70" s="32"/>
      <c r="O70" s="32"/>
      <c r="P70" s="32"/>
      <c r="Q70" s="32"/>
      <c r="R70" s="32"/>
      <c r="S70" s="32"/>
      <c r="T70" s="32"/>
      <c r="U70" s="460"/>
      <c r="V70" s="191"/>
    </row>
    <row r="71" spans="1:22">
      <c r="B71" s="3" t="s">
        <v>41</v>
      </c>
      <c r="F71" s="32"/>
      <c r="G71" s="32"/>
      <c r="H71" s="32"/>
      <c r="I71" s="32"/>
      <c r="J71" s="32"/>
      <c r="K71" s="32"/>
      <c r="L71" s="32"/>
      <c r="M71" s="32"/>
      <c r="N71" s="32"/>
      <c r="O71" s="32"/>
      <c r="P71" s="32"/>
      <c r="Q71" s="32"/>
      <c r="R71" s="32"/>
      <c r="S71" s="32"/>
      <c r="T71" s="32"/>
      <c r="U71" s="460"/>
      <c r="V71" s="191"/>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459">
        <v>25720</v>
      </c>
      <c r="V72" s="189">
        <v>26868</v>
      </c>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188">
        <f>'Reg Amort and Other RB'!R36-'Reg Amort and Other RB'!R66</f>
        <v>313469</v>
      </c>
      <c r="T73" s="188">
        <f>'Reg Amort and Other RB'!S36-'Reg Amort and Other RB'!S66</f>
        <v>337894</v>
      </c>
      <c r="U73" s="460">
        <v>360612</v>
      </c>
      <c r="V73" s="188">
        <v>390508</v>
      </c>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461">
        <v>75514</v>
      </c>
      <c r="V74" s="190">
        <v>82624</v>
      </c>
    </row>
    <row r="75" spans="1:22">
      <c r="A75" s="22">
        <v>35</v>
      </c>
      <c r="B75" s="24" t="s">
        <v>35</v>
      </c>
      <c r="C75" s="24"/>
      <c r="F75" s="32">
        <f t="shared" ref="F75:S75" si="24">SUM(F72:F74)</f>
        <v>197478</v>
      </c>
      <c r="G75" s="32">
        <f t="shared" si="24"/>
        <v>207536</v>
      </c>
      <c r="H75" s="32">
        <f t="shared" si="24"/>
        <v>214121</v>
      </c>
      <c r="I75" s="32">
        <f t="shared" si="24"/>
        <v>221794</v>
      </c>
      <c r="J75" s="32">
        <f t="shared" si="24"/>
        <v>230210</v>
      </c>
      <c r="K75" s="32">
        <f t="shared" si="24"/>
        <v>239982</v>
      </c>
      <c r="L75" s="32">
        <f t="shared" si="24"/>
        <v>253932</v>
      </c>
      <c r="M75" s="188">
        <f t="shared" si="24"/>
        <v>264883</v>
      </c>
      <c r="N75" s="188">
        <f t="shared" si="24"/>
        <v>280294</v>
      </c>
      <c r="O75" s="188">
        <f t="shared" si="24"/>
        <v>305521</v>
      </c>
      <c r="P75" s="188">
        <f t="shared" si="24"/>
        <v>322917</v>
      </c>
      <c r="Q75" s="188">
        <f t="shared" si="24"/>
        <v>342258</v>
      </c>
      <c r="R75" s="188">
        <f t="shared" si="24"/>
        <v>365326</v>
      </c>
      <c r="S75" s="188">
        <f t="shared" si="24"/>
        <v>390403</v>
      </c>
      <c r="T75" s="188">
        <f t="shared" ref="T75" si="25">SUM(T72:T74)</f>
        <v>422298</v>
      </c>
      <c r="U75" s="460">
        <v>461846</v>
      </c>
      <c r="V75" s="188">
        <f>SUM(V72:V74)</f>
        <v>500000</v>
      </c>
    </row>
    <row r="76" spans="1:22">
      <c r="B76" s="24"/>
      <c r="C76" s="24"/>
      <c r="F76" s="32"/>
      <c r="G76" s="32"/>
      <c r="H76" s="32"/>
      <c r="I76" s="32"/>
      <c r="J76" s="32"/>
      <c r="K76" s="32"/>
      <c r="L76" s="32"/>
      <c r="M76" s="188"/>
      <c r="N76" s="188"/>
      <c r="O76" s="188"/>
      <c r="P76" s="188"/>
      <c r="Q76" s="188"/>
      <c r="R76" s="188"/>
      <c r="S76" s="188"/>
      <c r="T76" s="188"/>
      <c r="U76" s="460"/>
      <c r="V76" s="188"/>
    </row>
    <row r="77" spans="1:22">
      <c r="B77" s="24" t="s">
        <v>49</v>
      </c>
      <c r="C77" s="24"/>
      <c r="D77" s="24"/>
      <c r="E77" s="24"/>
      <c r="F77" s="32"/>
      <c r="G77" s="32"/>
      <c r="H77" s="32"/>
      <c r="I77" s="32"/>
      <c r="J77" s="32"/>
      <c r="K77" s="32"/>
      <c r="L77" s="32"/>
      <c r="M77" s="188"/>
      <c r="N77" s="188"/>
      <c r="O77" s="188"/>
      <c r="P77" s="188"/>
      <c r="Q77" s="188"/>
      <c r="R77" s="188"/>
      <c r="S77" s="188"/>
      <c r="T77" s="188"/>
      <c r="U77" s="460"/>
      <c r="V77" s="188"/>
    </row>
    <row r="78" spans="1:22">
      <c r="A78" s="22">
        <v>36</v>
      </c>
      <c r="B78" s="24"/>
      <c r="C78" s="24" t="s">
        <v>16</v>
      </c>
      <c r="D78" s="24"/>
      <c r="E78" s="24"/>
      <c r="F78" s="32">
        <v>6192</v>
      </c>
      <c r="G78" s="32">
        <v>6220</v>
      </c>
      <c r="H78" s="32">
        <v>6115</v>
      </c>
      <c r="I78" s="32">
        <v>6495</v>
      </c>
      <c r="J78" s="32">
        <v>6659</v>
      </c>
      <c r="K78" s="32">
        <v>6924</v>
      </c>
      <c r="L78" s="32">
        <v>7249</v>
      </c>
      <c r="M78" s="188">
        <v>7427</v>
      </c>
      <c r="N78" s="188">
        <v>7581</v>
      </c>
      <c r="O78" s="188">
        <v>7807</v>
      </c>
      <c r="P78" s="188">
        <v>7912</v>
      </c>
      <c r="Q78" s="188">
        <v>8286</v>
      </c>
      <c r="R78" s="188">
        <v>8677</v>
      </c>
      <c r="S78" s="188">
        <v>9088</v>
      </c>
      <c r="T78" s="188">
        <v>9521</v>
      </c>
      <c r="U78" s="460">
        <v>9906</v>
      </c>
      <c r="V78" s="188">
        <v>10318</v>
      </c>
    </row>
    <row r="79" spans="1:22">
      <c r="A79" s="22">
        <v>37</v>
      </c>
      <c r="B79" s="24"/>
      <c r="C79" s="24" t="s">
        <v>33</v>
      </c>
      <c r="D79" s="24"/>
      <c r="E79" s="24"/>
      <c r="F79" s="32">
        <v>47423</v>
      </c>
      <c r="G79" s="32">
        <v>51645</v>
      </c>
      <c r="H79" s="32">
        <v>55845</v>
      </c>
      <c r="I79" s="32">
        <v>60239</v>
      </c>
      <c r="J79" s="32">
        <v>64817</v>
      </c>
      <c r="K79" s="32">
        <v>69428</v>
      </c>
      <c r="L79" s="32">
        <v>74019</v>
      </c>
      <c r="M79" s="188">
        <v>77997</v>
      </c>
      <c r="N79" s="188">
        <v>81405</v>
      </c>
      <c r="O79" s="188">
        <v>84021</v>
      </c>
      <c r="P79" s="188">
        <v>89620</v>
      </c>
      <c r="Q79" s="188">
        <v>97489</v>
      </c>
      <c r="R79" s="188">
        <v>102678</v>
      </c>
      <c r="S79" s="188">
        <v>108662</v>
      </c>
      <c r="T79" s="188">
        <v>114795</v>
      </c>
      <c r="U79" s="460">
        <v>121623</v>
      </c>
      <c r="V79" s="188">
        <v>129098</v>
      </c>
    </row>
    <row r="80" spans="1:22">
      <c r="A80" s="22">
        <v>38</v>
      </c>
      <c r="B80" s="24"/>
      <c r="C80" s="24" t="s">
        <v>34</v>
      </c>
      <c r="D80" s="24"/>
      <c r="E80" s="24"/>
      <c r="F80" s="32">
        <v>5661</v>
      </c>
      <c r="G80" s="32">
        <v>5695</v>
      </c>
      <c r="H80" s="32">
        <v>6442</v>
      </c>
      <c r="I80" s="32">
        <v>7446</v>
      </c>
      <c r="J80" s="32">
        <v>6984</v>
      </c>
      <c r="K80" s="32">
        <v>7208</v>
      </c>
      <c r="L80" s="32">
        <v>7230</v>
      </c>
      <c r="M80" s="188">
        <v>7136</v>
      </c>
      <c r="N80" s="188">
        <v>8309</v>
      </c>
      <c r="O80" s="188">
        <v>8882</v>
      </c>
      <c r="P80" s="188">
        <v>10722</v>
      </c>
      <c r="Q80" s="188">
        <v>10926</v>
      </c>
      <c r="R80" s="188">
        <v>12186</v>
      </c>
      <c r="S80" s="188">
        <v>14724</v>
      </c>
      <c r="T80" s="188">
        <v>17429</v>
      </c>
      <c r="U80" s="460">
        <v>20741</v>
      </c>
      <c r="V80" s="188">
        <v>23473</v>
      </c>
    </row>
    <row r="81" spans="1:22" s="27" customFormat="1" ht="18.95" customHeight="1">
      <c r="A81" s="22">
        <v>39</v>
      </c>
      <c r="B81" s="24" t="s">
        <v>53</v>
      </c>
      <c r="C81" s="24"/>
      <c r="D81" s="3"/>
      <c r="E81" s="3"/>
      <c r="F81" s="34">
        <f t="shared" ref="F81:S81" si="26">SUM(F78:F80)</f>
        <v>59276</v>
      </c>
      <c r="G81" s="34">
        <f t="shared" si="26"/>
        <v>63560</v>
      </c>
      <c r="H81" s="34">
        <f t="shared" si="26"/>
        <v>68402</v>
      </c>
      <c r="I81" s="34">
        <f t="shared" si="26"/>
        <v>74180</v>
      </c>
      <c r="J81" s="34">
        <f t="shared" si="26"/>
        <v>78460</v>
      </c>
      <c r="K81" s="34">
        <f t="shared" si="26"/>
        <v>83560</v>
      </c>
      <c r="L81" s="34">
        <f t="shared" si="26"/>
        <v>88498</v>
      </c>
      <c r="M81" s="217">
        <f t="shared" si="26"/>
        <v>92560</v>
      </c>
      <c r="N81" s="217">
        <f t="shared" si="26"/>
        <v>97295</v>
      </c>
      <c r="O81" s="217">
        <f t="shared" si="26"/>
        <v>100710</v>
      </c>
      <c r="P81" s="217">
        <f t="shared" si="26"/>
        <v>108254</v>
      </c>
      <c r="Q81" s="217">
        <f t="shared" si="26"/>
        <v>116701</v>
      </c>
      <c r="R81" s="217">
        <f t="shared" si="26"/>
        <v>123541</v>
      </c>
      <c r="S81" s="217">
        <f t="shared" si="26"/>
        <v>132474</v>
      </c>
      <c r="T81" s="217">
        <f t="shared" ref="T81" si="27">SUM(T78:T80)</f>
        <v>141745</v>
      </c>
      <c r="U81" s="465">
        <v>152270</v>
      </c>
      <c r="V81" s="503">
        <f t="shared" ref="V81" si="28">SUM(V78:V80)</f>
        <v>162889</v>
      </c>
    </row>
    <row r="82" spans="1:22" s="27" customFormat="1" ht="18.95" customHeight="1">
      <c r="A82" s="22">
        <v>40</v>
      </c>
      <c r="B82" s="24" t="s">
        <v>44</v>
      </c>
      <c r="C82" s="24"/>
      <c r="D82" s="24"/>
      <c r="E82" s="24"/>
      <c r="F82" s="35">
        <f t="shared" ref="F82:S82" si="29">F75-F81</f>
        <v>138202</v>
      </c>
      <c r="G82" s="35">
        <f t="shared" si="29"/>
        <v>143976</v>
      </c>
      <c r="H82" s="35">
        <f t="shared" si="29"/>
        <v>145719</v>
      </c>
      <c r="I82" s="35">
        <f t="shared" si="29"/>
        <v>147614</v>
      </c>
      <c r="J82" s="35">
        <f t="shared" si="29"/>
        <v>151750</v>
      </c>
      <c r="K82" s="35">
        <f t="shared" si="29"/>
        <v>156422</v>
      </c>
      <c r="L82" s="35">
        <f t="shared" si="29"/>
        <v>165434</v>
      </c>
      <c r="M82" s="191">
        <f t="shared" si="29"/>
        <v>172323</v>
      </c>
      <c r="N82" s="191">
        <f t="shared" si="29"/>
        <v>182999</v>
      </c>
      <c r="O82" s="191">
        <f t="shared" si="29"/>
        <v>204811</v>
      </c>
      <c r="P82" s="191">
        <f t="shared" si="29"/>
        <v>214663</v>
      </c>
      <c r="Q82" s="191">
        <f t="shared" si="29"/>
        <v>225557</v>
      </c>
      <c r="R82" s="191">
        <f t="shared" si="29"/>
        <v>241785</v>
      </c>
      <c r="S82" s="191">
        <f t="shared" si="29"/>
        <v>257929</v>
      </c>
      <c r="T82" s="191">
        <f t="shared" ref="T82" si="30">T75-T81</f>
        <v>280553</v>
      </c>
      <c r="U82" s="466">
        <v>309576</v>
      </c>
      <c r="V82" s="191">
        <f>V75-V81</f>
        <v>337111</v>
      </c>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190">
        <f>'Reg Amort and Other RB'!L46-'Reg Amort and Other RB'!L67</f>
        <v>-26823</v>
      </c>
      <c r="N83" s="190">
        <f>'Reg Amort and Other RB'!M46-'Reg Amort and Other RB'!M67</f>
        <v>-28945</v>
      </c>
      <c r="O83" s="190">
        <f>'Reg Amort and Other RB'!N46-'Reg Amort and Other RB'!N67</f>
        <v>-31005</v>
      </c>
      <c r="P83" s="190">
        <f>'Reg Amort and Other RB'!O46-'Reg Amort and Other RB'!O67</f>
        <v>-36762</v>
      </c>
      <c r="Q83" s="190">
        <f>'Reg Amort and Other RB'!P46-'Reg Amort and Other RB'!P67</f>
        <v>-42004</v>
      </c>
      <c r="R83" s="190">
        <f>'Reg Amort and Other RB'!Q46-'Reg Amort and Other RB'!Q67</f>
        <v>-46498</v>
      </c>
      <c r="S83" s="190">
        <f>'Reg Amort and Other RB'!R46-'Reg Amort and Other RB'!R67</f>
        <v>-50170</v>
      </c>
      <c r="T83" s="190">
        <f>'Reg Amort and Other RB'!S46-'Reg Amort and Other RB'!S67</f>
        <v>-54652</v>
      </c>
      <c r="U83" s="461">
        <v>-64929</v>
      </c>
      <c r="V83" s="190">
        <v>-74181</v>
      </c>
    </row>
    <row r="84" spans="1:22" s="27" customFormat="1">
      <c r="A84" s="25">
        <v>42</v>
      </c>
      <c r="B84" s="26" t="s">
        <v>50</v>
      </c>
      <c r="C84" s="26"/>
      <c r="D84" s="26"/>
      <c r="E84" s="26"/>
      <c r="F84" s="35">
        <f t="shared" ref="F84:S84" si="31">F82+F83</f>
        <v>124885</v>
      </c>
      <c r="G84" s="35">
        <f t="shared" si="31"/>
        <v>129500</v>
      </c>
      <c r="H84" s="35">
        <f t="shared" si="31"/>
        <v>129740</v>
      </c>
      <c r="I84" s="35">
        <f t="shared" si="31"/>
        <v>125044</v>
      </c>
      <c r="J84" s="35">
        <f t="shared" si="31"/>
        <v>124950</v>
      </c>
      <c r="K84" s="35">
        <f t="shared" si="31"/>
        <v>132617</v>
      </c>
      <c r="L84" s="35">
        <f t="shared" si="31"/>
        <v>140789</v>
      </c>
      <c r="M84" s="191">
        <f t="shared" si="31"/>
        <v>145500</v>
      </c>
      <c r="N84" s="191">
        <f t="shared" si="31"/>
        <v>154054</v>
      </c>
      <c r="O84" s="191">
        <f t="shared" si="31"/>
        <v>173806</v>
      </c>
      <c r="P84" s="191">
        <f t="shared" si="31"/>
        <v>177901</v>
      </c>
      <c r="Q84" s="191">
        <f t="shared" si="31"/>
        <v>183553</v>
      </c>
      <c r="R84" s="191">
        <f t="shared" si="31"/>
        <v>195287</v>
      </c>
      <c r="S84" s="191">
        <f t="shared" si="31"/>
        <v>207759</v>
      </c>
      <c r="T84" s="191">
        <f t="shared" ref="T84" si="32">T82+T83</f>
        <v>225901</v>
      </c>
      <c r="U84" s="466">
        <v>244647</v>
      </c>
      <c r="V84" s="191">
        <f>V82+V83</f>
        <v>262930</v>
      </c>
    </row>
    <row r="85" spans="1:22" s="27" customFormat="1">
      <c r="A85" s="22">
        <v>43</v>
      </c>
      <c r="B85" s="24" t="s">
        <v>36</v>
      </c>
      <c r="C85" s="24"/>
      <c r="D85" s="24"/>
      <c r="E85" s="24"/>
      <c r="F85" s="32">
        <v>2810</v>
      </c>
      <c r="G85" s="32">
        <v>3190</v>
      </c>
      <c r="H85" s="32">
        <v>4191</v>
      </c>
      <c r="I85" s="32">
        <v>4568</v>
      </c>
      <c r="J85" s="32">
        <v>4807</v>
      </c>
      <c r="K85" s="32">
        <v>6936</v>
      </c>
      <c r="L85" s="32">
        <v>7628</v>
      </c>
      <c r="M85" s="188">
        <v>5607</v>
      </c>
      <c r="N85" s="188">
        <v>15327</v>
      </c>
      <c r="O85" s="188">
        <v>8440</v>
      </c>
      <c r="P85" s="188">
        <v>10226</v>
      </c>
      <c r="Q85" s="188">
        <v>13753</v>
      </c>
      <c r="R85" s="188">
        <v>13107</v>
      </c>
      <c r="S85" s="188">
        <v>11702</v>
      </c>
      <c r="T85" s="188">
        <v>14762</v>
      </c>
      <c r="U85" s="460">
        <v>12740</v>
      </c>
      <c r="V85" s="188">
        <v>9116</v>
      </c>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466">
        <v>0</v>
      </c>
      <c r="V86" s="191">
        <v>0</v>
      </c>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191">
        <f>'Reg Amort and Other RB'!R64</f>
        <v>-332</v>
      </c>
      <c r="T87" s="191">
        <f>'Reg Amort and Other RB'!S64</f>
        <v>-479</v>
      </c>
      <c r="U87" s="466">
        <v>-485</v>
      </c>
      <c r="V87" s="191">
        <v>-249</v>
      </c>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461">
        <v>16069</v>
      </c>
      <c r="V88" s="190">
        <v>14800</v>
      </c>
    </row>
    <row r="89" spans="1:22" s="37" customFormat="1">
      <c r="A89" s="22"/>
      <c r="B89" s="3"/>
      <c r="C89" s="3"/>
      <c r="D89" s="3"/>
      <c r="E89" s="3"/>
      <c r="F89" s="4"/>
      <c r="G89" s="4"/>
      <c r="H89" s="4"/>
      <c r="I89" s="4"/>
      <c r="J89" s="4"/>
      <c r="K89" s="4"/>
      <c r="L89" s="4"/>
      <c r="M89" s="4"/>
      <c r="N89" s="4"/>
      <c r="O89" s="4"/>
      <c r="P89" s="4"/>
      <c r="Q89" s="4"/>
      <c r="R89" s="4"/>
      <c r="S89" s="4"/>
      <c r="T89" s="4"/>
      <c r="U89" s="458"/>
      <c r="V89" s="29"/>
    </row>
    <row r="90" spans="1:22" s="28" customFormat="1">
      <c r="A90" s="22"/>
      <c r="B90" s="3"/>
      <c r="C90" s="3"/>
      <c r="D90" s="3"/>
      <c r="E90" s="3"/>
      <c r="F90" s="32"/>
      <c r="G90" s="32"/>
      <c r="H90" s="32"/>
      <c r="I90" s="32"/>
      <c r="J90" s="32"/>
      <c r="K90" s="32"/>
      <c r="L90" s="32"/>
      <c r="M90" s="32"/>
      <c r="N90" s="32"/>
      <c r="O90" s="32"/>
      <c r="P90" s="32"/>
      <c r="Q90" s="32"/>
      <c r="R90" s="32"/>
      <c r="S90" s="32"/>
      <c r="T90" s="32"/>
      <c r="U90" s="460"/>
      <c r="V90" s="188"/>
    </row>
    <row r="91" spans="1:22" s="28" customFormat="1" ht="12.75" thickBot="1">
      <c r="A91" s="5">
        <v>47</v>
      </c>
      <c r="B91" s="37" t="s">
        <v>38</v>
      </c>
      <c r="C91" s="37"/>
      <c r="D91" s="37"/>
      <c r="E91" s="37"/>
      <c r="F91" s="38">
        <f t="shared" ref="F91:L91" si="33">SUM(F84:F88)</f>
        <v>130920</v>
      </c>
      <c r="G91" s="38">
        <f t="shared" si="33"/>
        <v>135524</v>
      </c>
      <c r="H91" s="38">
        <f t="shared" si="33"/>
        <v>136362</v>
      </c>
      <c r="I91" s="38">
        <f t="shared" si="33"/>
        <v>131627</v>
      </c>
      <c r="J91" s="38">
        <f t="shared" si="33"/>
        <v>130718</v>
      </c>
      <c r="K91" s="38">
        <f t="shared" si="33"/>
        <v>140796</v>
      </c>
      <c r="L91" s="38">
        <f t="shared" si="33"/>
        <v>149362</v>
      </c>
      <c r="M91" s="38">
        <f t="shared" ref="M91:S91" si="34">SUM(M84:M88)</f>
        <v>151699</v>
      </c>
      <c r="N91" s="38">
        <f t="shared" si="34"/>
        <v>169681</v>
      </c>
      <c r="O91" s="38">
        <f t="shared" si="34"/>
        <v>180778</v>
      </c>
      <c r="P91" s="38">
        <f t="shared" si="34"/>
        <v>186920</v>
      </c>
      <c r="Q91" s="38">
        <f t="shared" si="34"/>
        <v>196280</v>
      </c>
      <c r="R91" s="38">
        <f t="shared" si="34"/>
        <v>207578</v>
      </c>
      <c r="S91" s="38">
        <f t="shared" si="34"/>
        <v>224824</v>
      </c>
      <c r="T91" s="38">
        <f t="shared" ref="T91" si="35">SUM(T84:T88)</f>
        <v>250257</v>
      </c>
      <c r="U91" s="462">
        <v>272971</v>
      </c>
      <c r="V91" s="218">
        <f t="shared" ref="V91" si="36">SUM(V84:V88)</f>
        <v>286597</v>
      </c>
    </row>
    <row r="92" spans="1:22" s="28" customFormat="1" ht="12.75" thickTop="1">
      <c r="A92" s="5"/>
      <c r="B92" s="37"/>
      <c r="C92" s="37"/>
      <c r="D92" s="37"/>
      <c r="E92" s="37"/>
      <c r="F92" s="158"/>
      <c r="G92" s="158"/>
      <c r="H92" s="158"/>
      <c r="I92" s="158"/>
      <c r="J92" s="158"/>
      <c r="K92" s="158"/>
      <c r="L92" s="158"/>
      <c r="M92" s="158"/>
      <c r="N92" s="158"/>
      <c r="O92" s="158"/>
      <c r="P92" s="158"/>
      <c r="Q92" s="158"/>
      <c r="R92" s="158"/>
      <c r="U92" s="463"/>
    </row>
    <row r="93" spans="1:22" s="28" customFormat="1">
      <c r="A93" s="30"/>
      <c r="D93" s="159" t="s">
        <v>153</v>
      </c>
      <c r="E93" s="31"/>
      <c r="F93" s="29"/>
      <c r="G93" s="29"/>
      <c r="H93" s="29"/>
      <c r="I93" s="29"/>
      <c r="J93" s="29"/>
      <c r="K93" s="29"/>
      <c r="L93" s="29"/>
      <c r="M93" s="29"/>
      <c r="N93" s="29"/>
      <c r="O93" s="29"/>
      <c r="P93" s="29"/>
      <c r="Q93" s="29"/>
      <c r="R93" s="29"/>
      <c r="U93" s="463"/>
      <c r="V93" s="199"/>
    </row>
    <row r="94" spans="1:22" s="28" customFormat="1" ht="5.45" customHeight="1">
      <c r="A94" s="30"/>
      <c r="D94" s="159"/>
      <c r="E94" s="31"/>
      <c r="F94" s="29"/>
      <c r="G94" s="29"/>
      <c r="H94" s="29"/>
      <c r="I94" s="29"/>
      <c r="J94" s="29"/>
      <c r="K94" s="29"/>
      <c r="L94" s="29"/>
      <c r="M94" s="29"/>
      <c r="N94" s="29"/>
      <c r="O94" s="29"/>
      <c r="P94" s="29"/>
      <c r="Q94" s="29"/>
      <c r="R94" s="29"/>
      <c r="U94" s="463"/>
      <c r="V94" s="199"/>
    </row>
    <row r="95" spans="1:22" s="28" customFormat="1" ht="12.75">
      <c r="A95" s="176" t="s">
        <v>43</v>
      </c>
      <c r="D95" s="159"/>
      <c r="E95" s="31"/>
      <c r="F95" s="29"/>
      <c r="G95" s="29"/>
      <c r="H95" s="29"/>
      <c r="I95" s="29"/>
      <c r="J95" s="29"/>
      <c r="K95" s="29"/>
      <c r="L95" s="29"/>
      <c r="M95" s="29"/>
      <c r="N95" s="29"/>
      <c r="O95" s="29"/>
      <c r="P95" s="29"/>
      <c r="Q95" s="29"/>
      <c r="R95" s="29"/>
      <c r="U95" s="463"/>
      <c r="V95" s="199"/>
    </row>
    <row r="96" spans="1:22" s="28" customFormat="1" ht="12.75">
      <c r="A96" s="176" t="s">
        <v>48</v>
      </c>
      <c r="D96" s="159"/>
      <c r="E96" s="31"/>
      <c r="F96" s="29"/>
      <c r="G96" s="29"/>
      <c r="H96" s="29"/>
      <c r="I96" s="29"/>
      <c r="J96" s="29"/>
      <c r="K96" s="29"/>
      <c r="L96" s="29"/>
      <c r="M96" s="29"/>
      <c r="N96" s="29"/>
      <c r="O96" s="29"/>
      <c r="P96" s="29"/>
      <c r="Q96" s="29"/>
      <c r="R96" s="29"/>
      <c r="U96" s="463"/>
      <c r="V96" s="199"/>
    </row>
    <row r="97" spans="1:22" s="28" customFormat="1" ht="12.75">
      <c r="A97" s="176" t="s">
        <v>39</v>
      </c>
      <c r="D97" s="159"/>
      <c r="E97" s="31"/>
      <c r="F97" s="29"/>
      <c r="G97" s="29"/>
      <c r="H97" s="29"/>
      <c r="I97" s="29"/>
      <c r="J97" s="29"/>
      <c r="K97" s="29"/>
      <c r="L97" s="29"/>
      <c r="M97" s="29"/>
      <c r="N97" s="29"/>
      <c r="O97" s="29"/>
      <c r="P97" s="29"/>
      <c r="Q97" s="29"/>
      <c r="R97" s="29"/>
      <c r="U97" s="463"/>
      <c r="V97" s="199"/>
    </row>
    <row r="98" spans="1:22" s="28" customFormat="1" ht="14.25" customHeight="1">
      <c r="A98" s="30"/>
      <c r="D98" s="159"/>
      <c r="E98" s="530" t="s">
        <v>170</v>
      </c>
      <c r="F98" s="530"/>
      <c r="G98" s="530"/>
      <c r="H98" s="530"/>
      <c r="I98" s="530"/>
      <c r="J98" s="530"/>
      <c r="K98" s="530"/>
      <c r="L98" s="530"/>
      <c r="M98" s="530"/>
      <c r="N98" s="530"/>
      <c r="O98" s="530"/>
      <c r="P98" s="530"/>
      <c r="Q98" s="530"/>
      <c r="R98" s="530"/>
      <c r="T98" s="222"/>
      <c r="U98" s="464"/>
      <c r="V98" s="243"/>
    </row>
    <row r="99" spans="1:22" s="28" customFormat="1" ht="3" customHeight="1">
      <c r="A99" s="30"/>
      <c r="D99" s="159"/>
      <c r="E99" s="31"/>
      <c r="F99" s="160"/>
      <c r="G99" s="160"/>
      <c r="H99" s="160"/>
      <c r="I99" s="160"/>
      <c r="J99" s="160"/>
      <c r="K99" s="160"/>
      <c r="L99" s="160"/>
      <c r="M99" s="160"/>
      <c r="N99" s="160"/>
      <c r="O99" s="160"/>
      <c r="P99" s="160"/>
      <c r="Q99" s="160"/>
      <c r="R99" s="160"/>
      <c r="U99" s="463"/>
      <c r="V99" s="199"/>
    </row>
    <row r="100" spans="1:22" s="28" customFormat="1" ht="12" customHeight="1">
      <c r="A100" s="30"/>
      <c r="D100" s="159"/>
      <c r="E100" s="31"/>
      <c r="F100" s="184">
        <f>F8</f>
        <v>2000</v>
      </c>
      <c r="G100" s="184">
        <f t="shared" ref="G100:R100" si="37">G8</f>
        <v>2001</v>
      </c>
      <c r="H100" s="184">
        <f t="shared" si="37"/>
        <v>2002</v>
      </c>
      <c r="I100" s="184">
        <f t="shared" si="37"/>
        <v>2003</v>
      </c>
      <c r="J100" s="184">
        <f t="shared" si="37"/>
        <v>2004</v>
      </c>
      <c r="K100" s="184">
        <f t="shared" si="37"/>
        <v>2005</v>
      </c>
      <c r="L100" s="184">
        <f t="shared" si="37"/>
        <v>2006</v>
      </c>
      <c r="M100" s="184">
        <f t="shared" si="37"/>
        <v>2007</v>
      </c>
      <c r="N100" s="184">
        <f t="shared" si="37"/>
        <v>2008</v>
      </c>
      <c r="O100" s="184">
        <f t="shared" si="37"/>
        <v>2009</v>
      </c>
      <c r="P100" s="184">
        <f t="shared" si="37"/>
        <v>2010</v>
      </c>
      <c r="Q100" s="184">
        <f t="shared" si="37"/>
        <v>2011</v>
      </c>
      <c r="R100" s="184">
        <f t="shared" si="37"/>
        <v>2012</v>
      </c>
      <c r="S100" s="184">
        <f>S8</f>
        <v>2013</v>
      </c>
      <c r="T100" s="184">
        <f>T8</f>
        <v>2014</v>
      </c>
      <c r="U100" s="467">
        <v>2015</v>
      </c>
      <c r="V100" s="184">
        <f>V8</f>
        <v>2016</v>
      </c>
    </row>
    <row r="101" spans="1:22" s="28" customFormat="1" ht="24">
      <c r="A101" s="177" t="s">
        <v>185</v>
      </c>
      <c r="D101" s="183" t="s">
        <v>200</v>
      </c>
      <c r="E101" s="31"/>
      <c r="F101" s="29"/>
      <c r="G101" s="29"/>
      <c r="H101" s="29"/>
      <c r="I101" s="29"/>
      <c r="J101" s="29"/>
      <c r="K101" s="29"/>
      <c r="L101" s="29"/>
      <c r="M101" s="29"/>
      <c r="N101" s="29"/>
      <c r="O101" s="29"/>
      <c r="P101" s="29"/>
      <c r="Q101" s="29"/>
      <c r="R101" s="29"/>
      <c r="S101" s="29"/>
      <c r="T101" s="29"/>
      <c r="U101" s="458"/>
      <c r="V101" s="193"/>
    </row>
    <row r="102" spans="1:22" s="28" customFormat="1">
      <c r="A102" s="30">
        <v>1</v>
      </c>
      <c r="C102" s="28" t="s">
        <v>16</v>
      </c>
      <c r="E102" s="161" t="s">
        <v>154</v>
      </c>
      <c r="F102" s="72">
        <f>F25</f>
        <v>312</v>
      </c>
      <c r="G102" s="72">
        <f t="shared" ref="G102:R102" si="38">G25</f>
        <v>322</v>
      </c>
      <c r="H102" s="72">
        <f t="shared" si="38"/>
        <v>357</v>
      </c>
      <c r="I102" s="72">
        <f t="shared" si="38"/>
        <v>342</v>
      </c>
      <c r="J102" s="72">
        <f t="shared" si="38"/>
        <v>381</v>
      </c>
      <c r="K102" s="72">
        <f t="shared" si="38"/>
        <v>450</v>
      </c>
      <c r="L102" s="72">
        <f t="shared" si="38"/>
        <v>492</v>
      </c>
      <c r="M102" s="72">
        <f t="shared" si="38"/>
        <v>451</v>
      </c>
      <c r="N102" s="72">
        <f t="shared" si="38"/>
        <v>436</v>
      </c>
      <c r="O102" s="72">
        <f t="shared" si="38"/>
        <v>403</v>
      </c>
      <c r="P102" s="72">
        <f t="shared" si="38"/>
        <v>380</v>
      </c>
      <c r="Q102" s="72">
        <f t="shared" si="38"/>
        <v>585</v>
      </c>
      <c r="R102" s="72">
        <f t="shared" si="38"/>
        <v>712</v>
      </c>
      <c r="S102" s="72">
        <f>S25</f>
        <v>820</v>
      </c>
      <c r="T102" s="72">
        <f>T25</f>
        <v>893</v>
      </c>
      <c r="U102" s="468">
        <v>857</v>
      </c>
      <c r="V102" s="72">
        <f>V25</f>
        <v>974</v>
      </c>
    </row>
    <row r="103" spans="1:22" s="28" customFormat="1">
      <c r="A103" s="30">
        <v>2</v>
      </c>
      <c r="C103" s="28" t="s">
        <v>19</v>
      </c>
      <c r="E103" s="161" t="s">
        <v>158</v>
      </c>
      <c r="F103" s="72">
        <f>F31</f>
        <v>3956</v>
      </c>
      <c r="G103" s="72">
        <f t="shared" ref="G103:R103" si="39">G31</f>
        <v>4655</v>
      </c>
      <c r="H103" s="72">
        <f t="shared" si="39"/>
        <v>5482</v>
      </c>
      <c r="I103" s="72">
        <f t="shared" si="39"/>
        <v>5762</v>
      </c>
      <c r="J103" s="72">
        <f t="shared" si="39"/>
        <v>5958</v>
      </c>
      <c r="K103" s="72">
        <f t="shared" si="39"/>
        <v>6084</v>
      </c>
      <c r="L103" s="72">
        <f t="shared" si="39"/>
        <v>6359</v>
      </c>
      <c r="M103" s="72">
        <f t="shared" si="39"/>
        <v>6467</v>
      </c>
      <c r="N103" s="72">
        <f t="shared" si="39"/>
        <v>6123</v>
      </c>
      <c r="O103" s="72">
        <f t="shared" si="39"/>
        <v>7700</v>
      </c>
      <c r="P103" s="72">
        <f t="shared" si="39"/>
        <v>7696</v>
      </c>
      <c r="Q103" s="72">
        <f t="shared" si="39"/>
        <v>8854</v>
      </c>
      <c r="R103" s="72">
        <f t="shared" si="39"/>
        <v>9511</v>
      </c>
      <c r="S103" s="72">
        <f>S31</f>
        <v>10820</v>
      </c>
      <c r="T103" s="72">
        <f>T31</f>
        <v>10704</v>
      </c>
      <c r="U103" s="468">
        <v>12315</v>
      </c>
      <c r="V103" s="72">
        <f>V31</f>
        <v>12050</v>
      </c>
    </row>
    <row r="104" spans="1:22" s="28" customFormat="1">
      <c r="A104" s="30">
        <v>3</v>
      </c>
      <c r="C104" s="28" t="s">
        <v>21</v>
      </c>
      <c r="E104" s="161" t="s">
        <v>159</v>
      </c>
      <c r="F104" s="72">
        <f>F36</f>
        <v>3175</v>
      </c>
      <c r="G104" s="72">
        <f t="shared" ref="G104:R104" si="40">G36</f>
        <v>3367</v>
      </c>
      <c r="H104" s="72">
        <f t="shared" si="40"/>
        <v>4108</v>
      </c>
      <c r="I104" s="72">
        <f t="shared" si="40"/>
        <v>4121</v>
      </c>
      <c r="J104" s="72">
        <f t="shared" si="40"/>
        <v>4337</v>
      </c>
      <c r="K104" s="72">
        <f t="shared" si="40"/>
        <v>4249</v>
      </c>
      <c r="L104" s="72">
        <f t="shared" si="40"/>
        <v>4225</v>
      </c>
      <c r="M104" s="72">
        <f t="shared" si="40"/>
        <v>4487</v>
      </c>
      <c r="N104" s="72">
        <f t="shared" si="40"/>
        <v>4692</v>
      </c>
      <c r="O104" s="72">
        <f t="shared" si="40"/>
        <v>5586</v>
      </c>
      <c r="P104" s="72">
        <f t="shared" si="40"/>
        <v>5234</v>
      </c>
      <c r="Q104" s="72">
        <f t="shared" si="40"/>
        <v>5739.734942</v>
      </c>
      <c r="R104" s="72">
        <f t="shared" si="40"/>
        <v>5796</v>
      </c>
      <c r="S104" s="72">
        <f t="shared" ref="S104:T106" si="41">S36</f>
        <v>6270</v>
      </c>
      <c r="T104" s="72">
        <f t="shared" si="41"/>
        <v>6108</v>
      </c>
      <c r="U104" s="468">
        <v>6632</v>
      </c>
      <c r="V104" s="72">
        <f t="shared" ref="V104:V106" si="42">V36</f>
        <v>6811</v>
      </c>
    </row>
    <row r="105" spans="1:22" s="28" customFormat="1">
      <c r="A105" s="30">
        <v>4</v>
      </c>
      <c r="C105" s="28" t="s">
        <v>155</v>
      </c>
      <c r="E105" s="161" t="s">
        <v>160</v>
      </c>
      <c r="F105" s="72">
        <f t="shared" ref="F105:R106" si="43">F37</f>
        <v>507</v>
      </c>
      <c r="G105" s="72">
        <f t="shared" si="43"/>
        <v>1513</v>
      </c>
      <c r="H105" s="72">
        <f t="shared" si="43"/>
        <v>2252</v>
      </c>
      <c r="I105" s="72">
        <f t="shared" si="43"/>
        <v>2747</v>
      </c>
      <c r="J105" s="72">
        <f t="shared" si="43"/>
        <v>480</v>
      </c>
      <c r="K105" s="72">
        <f t="shared" si="43"/>
        <v>3523</v>
      </c>
      <c r="L105" s="72">
        <f t="shared" si="43"/>
        <v>1061</v>
      </c>
      <c r="M105" s="72">
        <f t="shared" si="43"/>
        <v>4658</v>
      </c>
      <c r="N105" s="72">
        <f t="shared" si="43"/>
        <v>5169</v>
      </c>
      <c r="O105" s="72">
        <f t="shared" si="43"/>
        <v>7609</v>
      </c>
      <c r="P105" s="72">
        <f t="shared" si="43"/>
        <v>9505</v>
      </c>
      <c r="Q105" s="72">
        <f t="shared" si="43"/>
        <v>9777</v>
      </c>
      <c r="R105" s="72">
        <f t="shared" si="43"/>
        <v>6955</v>
      </c>
      <c r="S105" s="72">
        <f t="shared" si="41"/>
        <v>983</v>
      </c>
      <c r="T105" s="72">
        <f t="shared" si="41"/>
        <v>865</v>
      </c>
      <c r="U105" s="468">
        <v>837</v>
      </c>
      <c r="V105" s="72">
        <f t="shared" si="42"/>
        <v>964</v>
      </c>
    </row>
    <row r="106" spans="1:22" s="28" customFormat="1">
      <c r="A106" s="30">
        <v>5</v>
      </c>
      <c r="C106" s="28" t="s">
        <v>156</v>
      </c>
      <c r="E106" s="161" t="s">
        <v>161</v>
      </c>
      <c r="F106" s="72">
        <f t="shared" si="43"/>
        <v>703</v>
      </c>
      <c r="G106" s="72">
        <f t="shared" si="43"/>
        <v>445</v>
      </c>
      <c r="H106" s="72">
        <f t="shared" si="43"/>
        <v>375</v>
      </c>
      <c r="I106" s="72">
        <f t="shared" si="43"/>
        <v>492</v>
      </c>
      <c r="J106" s="72">
        <f t="shared" si="43"/>
        <v>427</v>
      </c>
      <c r="K106" s="72">
        <f t="shared" si="43"/>
        <v>320</v>
      </c>
      <c r="L106" s="72">
        <f t="shared" si="43"/>
        <v>496</v>
      </c>
      <c r="M106" s="72">
        <f t="shared" si="43"/>
        <v>516</v>
      </c>
      <c r="N106" s="72">
        <f t="shared" si="43"/>
        <v>442</v>
      </c>
      <c r="O106" s="72">
        <f t="shared" si="43"/>
        <v>497</v>
      </c>
      <c r="P106" s="72">
        <f t="shared" si="43"/>
        <v>105</v>
      </c>
      <c r="Q106" s="72">
        <f t="shared" si="43"/>
        <v>3</v>
      </c>
      <c r="R106" s="72">
        <f t="shared" si="43"/>
        <v>3</v>
      </c>
      <c r="S106" s="72">
        <f t="shared" si="41"/>
        <v>3</v>
      </c>
      <c r="T106" s="72">
        <f t="shared" si="41"/>
        <v>0</v>
      </c>
      <c r="U106" s="468">
        <v>0</v>
      </c>
      <c r="V106" s="72">
        <f t="shared" si="42"/>
        <v>0</v>
      </c>
    </row>
    <row r="107" spans="1:22" s="28" customFormat="1">
      <c r="A107" s="30">
        <v>6</v>
      </c>
      <c r="C107" s="28" t="s">
        <v>157</v>
      </c>
      <c r="E107" s="161" t="s">
        <v>162</v>
      </c>
      <c r="F107" s="72">
        <f>F41</f>
        <v>8004</v>
      </c>
      <c r="G107" s="72">
        <f t="shared" ref="G107:R107" si="44">G41</f>
        <v>7578</v>
      </c>
      <c r="H107" s="72">
        <f t="shared" si="44"/>
        <v>9399</v>
      </c>
      <c r="I107" s="72">
        <f t="shared" si="44"/>
        <v>9827</v>
      </c>
      <c r="J107" s="72">
        <f t="shared" si="44"/>
        <v>8911</v>
      </c>
      <c r="K107" s="72">
        <f t="shared" si="44"/>
        <v>9196</v>
      </c>
      <c r="L107" s="72">
        <f t="shared" si="44"/>
        <v>8393</v>
      </c>
      <c r="M107" s="72">
        <f t="shared" si="44"/>
        <v>8901</v>
      </c>
      <c r="N107" s="72">
        <f t="shared" si="44"/>
        <v>9706</v>
      </c>
      <c r="O107" s="72">
        <f t="shared" si="44"/>
        <v>9770</v>
      </c>
      <c r="P107" s="72">
        <f t="shared" si="44"/>
        <v>11383</v>
      </c>
      <c r="Q107" s="72">
        <f t="shared" si="44"/>
        <v>11585.118</v>
      </c>
      <c r="R107" s="72">
        <f t="shared" si="44"/>
        <v>13419</v>
      </c>
      <c r="S107" s="72">
        <f>S41</f>
        <v>11862</v>
      </c>
      <c r="T107" s="72">
        <f>T41</f>
        <v>12777</v>
      </c>
      <c r="U107" s="468">
        <v>14007</v>
      </c>
      <c r="V107" s="72">
        <f>V41</f>
        <v>13267</v>
      </c>
    </row>
    <row r="108" spans="1:22" s="28" customFormat="1">
      <c r="A108" s="30">
        <v>7</v>
      </c>
      <c r="B108" s="28" t="s">
        <v>66</v>
      </c>
      <c r="F108" s="162">
        <f>SUM(F102:F107)</f>
        <v>16657</v>
      </c>
      <c r="G108" s="162">
        <f t="shared" ref="G108:R108" si="45">SUM(G102:G107)</f>
        <v>17880</v>
      </c>
      <c r="H108" s="162">
        <f t="shared" si="45"/>
        <v>21973</v>
      </c>
      <c r="I108" s="162">
        <f t="shared" si="45"/>
        <v>23291</v>
      </c>
      <c r="J108" s="162">
        <f t="shared" si="45"/>
        <v>20494</v>
      </c>
      <c r="K108" s="162">
        <f t="shared" si="45"/>
        <v>23822</v>
      </c>
      <c r="L108" s="162">
        <f t="shared" si="45"/>
        <v>21026</v>
      </c>
      <c r="M108" s="162">
        <f t="shared" si="45"/>
        <v>25480</v>
      </c>
      <c r="N108" s="162">
        <f t="shared" si="45"/>
        <v>26568</v>
      </c>
      <c r="O108" s="162">
        <f t="shared" si="45"/>
        <v>31565</v>
      </c>
      <c r="P108" s="162">
        <f t="shared" si="45"/>
        <v>34303</v>
      </c>
      <c r="Q108" s="162">
        <f t="shared" si="45"/>
        <v>36543.852941999998</v>
      </c>
      <c r="R108" s="162">
        <f t="shared" si="45"/>
        <v>36396</v>
      </c>
      <c r="S108" s="162">
        <f>SUM(S102:S107)</f>
        <v>30758</v>
      </c>
      <c r="T108" s="162">
        <f>SUM(T102:T107)</f>
        <v>31347</v>
      </c>
      <c r="U108" s="469">
        <v>34648</v>
      </c>
      <c r="V108" s="504">
        <f>SUM(V102:V107)</f>
        <v>34066</v>
      </c>
    </row>
    <row r="109" spans="1:22" s="28" customFormat="1">
      <c r="A109" s="30">
        <v>8</v>
      </c>
      <c r="C109" s="28" t="s">
        <v>123</v>
      </c>
      <c r="F109" s="72">
        <f>'Riders and Gas Cost Revenue'!H63</f>
        <v>163</v>
      </c>
      <c r="G109" s="72">
        <f>'Riders and Gas Cost Revenue'!J63</f>
        <v>232</v>
      </c>
      <c r="H109" s="72">
        <f>'Riders and Gas Cost Revenue'!L63</f>
        <v>261</v>
      </c>
      <c r="I109" s="72">
        <f>'Riders and Gas Cost Revenue'!N63</f>
        <v>285</v>
      </c>
      <c r="J109" s="72">
        <f>'Riders and Gas Cost Revenue'!P63</f>
        <v>369</v>
      </c>
      <c r="K109" s="72">
        <f>'Riders and Gas Cost Revenue'!R63</f>
        <v>651</v>
      </c>
      <c r="L109" s="72">
        <f>'Riders and Gas Cost Revenue'!T63</f>
        <v>653</v>
      </c>
      <c r="M109" s="72">
        <f>'Riders and Gas Cost Revenue'!W63</f>
        <v>792</v>
      </c>
      <c r="N109" s="72">
        <f>'Riders and Gas Cost Revenue'!Z63</f>
        <v>783</v>
      </c>
      <c r="O109" s="72">
        <f>'Riders and Gas Cost Revenue'!AC63</f>
        <v>802</v>
      </c>
      <c r="P109" s="72">
        <f>'Riders and Gas Cost Revenue'!AF63</f>
        <v>800</v>
      </c>
      <c r="Q109" s="72">
        <f>'Riders and Gas Cost Revenue'!AI63</f>
        <v>981</v>
      </c>
      <c r="R109" s="72">
        <f>'Riders and Gas Cost Revenue'!AL63</f>
        <v>928</v>
      </c>
      <c r="S109" s="72">
        <f>'Riders and Gas Cost Revenue'!AO63</f>
        <v>891</v>
      </c>
      <c r="T109" s="72">
        <f>'Riders and Gas Cost Revenue'!AR63</f>
        <v>779</v>
      </c>
      <c r="U109" s="468">
        <v>840</v>
      </c>
      <c r="V109" s="72">
        <f>'[8]Riders and Gas Cost Revenue'!AX63</f>
        <v>994</v>
      </c>
    </row>
    <row r="110" spans="1:22" s="28" customFormat="1" ht="12" customHeight="1">
      <c r="A110" s="30">
        <v>9</v>
      </c>
      <c r="C110" s="28" t="s">
        <v>197</v>
      </c>
      <c r="F110" s="72">
        <f>SUM('Riders and Gas Cost Revenue'!H35:H40)</f>
        <v>-410</v>
      </c>
      <c r="G110" s="72">
        <f>SUM('Riders and Gas Cost Revenue'!J35:J40)</f>
        <v>-764</v>
      </c>
      <c r="H110" s="72">
        <f>SUM('Riders and Gas Cost Revenue'!L35:L40)</f>
        <v>-788</v>
      </c>
      <c r="I110" s="72">
        <f>SUM('Riders and Gas Cost Revenue'!N35:N40)</f>
        <v>-694</v>
      </c>
      <c r="J110" s="72">
        <f>SUM('Riders and Gas Cost Revenue'!P35:P40)</f>
        <v>-818</v>
      </c>
      <c r="K110" s="72">
        <f>SUM('Riders and Gas Cost Revenue'!R35:R40)</f>
        <v>-933</v>
      </c>
      <c r="L110" s="72">
        <f>SUM('Riders and Gas Cost Revenue'!T35:T40)</f>
        <v>-1071</v>
      </c>
      <c r="M110" s="72">
        <f>SUM('Riders and Gas Cost Revenue'!W35:W40)</f>
        <v>-1115</v>
      </c>
      <c r="N110" s="72">
        <f>SUM('Riders and Gas Cost Revenue'!Z35:Z40)</f>
        <v>-1054</v>
      </c>
      <c r="O110" s="72">
        <f>SUM('Riders and Gas Cost Revenue'!AC35:AC40)</f>
        <v>-865</v>
      </c>
      <c r="P110" s="72">
        <f>SUM('Riders and Gas Cost Revenue'!AF35:AF40)</f>
        <v>-564</v>
      </c>
      <c r="Q110" s="72">
        <f>SUM('Riders and Gas Cost Revenue'!AI35:AI40)</f>
        <v>-601</v>
      </c>
      <c r="R110" s="72">
        <f>SUM('Riders and Gas Cost Revenue'!AL35:AL40)</f>
        <v>-535</v>
      </c>
      <c r="S110" s="72">
        <f>SUM('Riders and Gas Cost Revenue'!AO35:AO40)</f>
        <v>-549</v>
      </c>
      <c r="T110" s="72">
        <f>SUM('Riders and Gas Cost Revenue'!AR35:AR40)</f>
        <v>-602</v>
      </c>
      <c r="U110" s="468">
        <v>-730</v>
      </c>
      <c r="V110" s="72">
        <f>SUM('[8]Riders and Gas Cost Revenue'!AX35:AX40)</f>
        <v>-454</v>
      </c>
    </row>
    <row r="111" spans="1:22" s="28" customFormat="1">
      <c r="A111" s="30">
        <v>10</v>
      </c>
      <c r="C111" s="28" t="s">
        <v>198</v>
      </c>
      <c r="F111" s="72">
        <f>'Riders and Gas Cost Revenue'!G35+'Riders and Gas Cost Revenue'!G36+'Riders and Gas Cost Revenue'!G40</f>
        <v>0</v>
      </c>
      <c r="G111" s="72">
        <f>'Riders and Gas Cost Revenue'!I35+'Riders and Gas Cost Revenue'!I36+'Riders and Gas Cost Revenue'!I40</f>
        <v>-956</v>
      </c>
      <c r="H111" s="72">
        <f>'Riders and Gas Cost Revenue'!K35+'Riders and Gas Cost Revenue'!K36+'Riders and Gas Cost Revenue'!K40</f>
        <v>-1709</v>
      </c>
      <c r="I111" s="72">
        <f>'Riders and Gas Cost Revenue'!M35+'Riders and Gas Cost Revenue'!M36+'Riders and Gas Cost Revenue'!M40</f>
        <v>-2043</v>
      </c>
      <c r="J111" s="72">
        <f>'Riders and Gas Cost Revenue'!O35+'Riders and Gas Cost Revenue'!O36+'Riders and Gas Cost Revenue'!O40</f>
        <v>0</v>
      </c>
      <c r="K111" s="72">
        <f>'Riders and Gas Cost Revenue'!Q35+'Riders and Gas Cost Revenue'!Q36+'Riders and Gas Cost Revenue'!Q40</f>
        <v>-2862</v>
      </c>
      <c r="L111" s="72">
        <f>'Riders and Gas Cost Revenue'!S35+'Riders and Gas Cost Revenue'!S36+'Riders and Gas Cost Revenue'!S40</f>
        <v>0</v>
      </c>
      <c r="M111" s="72">
        <f>'Riders and Gas Cost Revenue'!U35+'Riders and Gas Cost Revenue'!U36+'Riders and Gas Cost Revenue'!U40</f>
        <v>-3862</v>
      </c>
      <c r="N111" s="72">
        <f>'Riders and Gas Cost Revenue'!X35+'Riders and Gas Cost Revenue'!X36+'Riders and Gas Cost Revenue'!X40</f>
        <v>-4412</v>
      </c>
      <c r="O111" s="72">
        <f>'Riders and Gas Cost Revenue'!AA35+'Riders and Gas Cost Revenue'!AA36+'Riders and Gas Cost Revenue'!AA40</f>
        <v>-6825</v>
      </c>
      <c r="P111" s="72">
        <f>'Riders and Gas Cost Revenue'!AD35+'Riders and Gas Cost Revenue'!AD36+'Riders and Gas Cost Revenue'!AD40</f>
        <v>-8477</v>
      </c>
      <c r="Q111" s="72">
        <f>'Riders and Gas Cost Revenue'!AG35+'Riders and Gas Cost Revenue'!AG36+'Riders and Gas Cost Revenue'!AG40</f>
        <v>-9017</v>
      </c>
      <c r="R111" s="72">
        <f>'Riders and Gas Cost Revenue'!AJ35+'Riders and Gas Cost Revenue'!AJ36+'Riders and Gas Cost Revenue'!AJ40</f>
        <v>-5984</v>
      </c>
      <c r="S111" s="72">
        <f>'Riders and Gas Cost Revenue'!AM35+'Riders and Gas Cost Revenue'!AM36+'Riders and Gas Cost Revenue'!AM40</f>
        <v>0</v>
      </c>
      <c r="T111" s="72">
        <f>'Riders and Gas Cost Revenue'!AP35+'Riders and Gas Cost Revenue'!AP36+'Riders and Gas Cost Revenue'!AP40</f>
        <v>0</v>
      </c>
      <c r="U111" s="468">
        <v>0</v>
      </c>
      <c r="V111" s="72">
        <v>0</v>
      </c>
    </row>
    <row r="112" spans="1:22">
      <c r="A112" s="30">
        <v>11</v>
      </c>
      <c r="B112" s="28"/>
      <c r="C112" s="28" t="s">
        <v>199</v>
      </c>
      <c r="D112" s="28"/>
      <c r="E112" s="28"/>
      <c r="F112" s="163">
        <v>0</v>
      </c>
      <c r="G112" s="163">
        <v>0</v>
      </c>
      <c r="H112" s="163">
        <v>0</v>
      </c>
      <c r="I112" s="163">
        <v>0</v>
      </c>
      <c r="J112" s="163">
        <v>0</v>
      </c>
      <c r="K112" s="163">
        <v>0</v>
      </c>
      <c r="L112" s="163">
        <v>0</v>
      </c>
      <c r="M112" s="163">
        <f>'Riders and Gas Cost Revenue'!V35+'Riders and Gas Cost Revenue'!V40</f>
        <v>0</v>
      </c>
      <c r="N112" s="163">
        <f>'Riders and Gas Cost Revenue'!Y35+'Riders and Gas Cost Revenue'!Y40</f>
        <v>-3</v>
      </c>
      <c r="O112" s="163">
        <f>'Riders and Gas Cost Revenue'!AB35+'Riders and Gas Cost Revenue'!AB40</f>
        <v>-5</v>
      </c>
      <c r="P112" s="163">
        <f>'Riders and Gas Cost Revenue'!AE35+'Riders and Gas Cost Revenue'!AE40</f>
        <v>-3</v>
      </c>
      <c r="Q112" s="163">
        <f>'Riders and Gas Cost Revenue'!AH35+'Riders and Gas Cost Revenue'!AH40</f>
        <v>-3</v>
      </c>
      <c r="R112" s="163">
        <f>'Riders and Gas Cost Revenue'!AK35+'Riders and Gas Cost Revenue'!AK40</f>
        <v>-1</v>
      </c>
      <c r="S112" s="163">
        <f>'Riders and Gas Cost Revenue'!AN35+'Riders and Gas Cost Revenue'!AN40</f>
        <v>0</v>
      </c>
      <c r="T112" s="163">
        <f>'Riders and Gas Cost Revenue'!AQ35+'Riders and Gas Cost Revenue'!AQ40</f>
        <v>0</v>
      </c>
      <c r="U112" s="470">
        <v>0</v>
      </c>
      <c r="V112" s="163">
        <v>0</v>
      </c>
    </row>
    <row r="113" spans="1:22" ht="12.75" thickBot="1">
      <c r="A113" s="30">
        <v>12</v>
      </c>
      <c r="B113" s="64" t="s">
        <v>196</v>
      </c>
      <c r="C113" s="64"/>
      <c r="D113" s="64"/>
      <c r="E113" s="64"/>
      <c r="F113" s="61">
        <f>SUM(F103:F112)</f>
        <v>32755</v>
      </c>
      <c r="G113" s="61">
        <f>SUM(G108:G112)</f>
        <v>16392</v>
      </c>
      <c r="H113" s="61">
        <f t="shared" ref="H113:S113" si="46">SUM(H108:H112)</f>
        <v>19737</v>
      </c>
      <c r="I113" s="61">
        <f t="shared" si="46"/>
        <v>20839</v>
      </c>
      <c r="J113" s="61">
        <f t="shared" si="46"/>
        <v>20045</v>
      </c>
      <c r="K113" s="61">
        <f t="shared" si="46"/>
        <v>20678</v>
      </c>
      <c r="L113" s="61">
        <f t="shared" si="46"/>
        <v>20608</v>
      </c>
      <c r="M113" s="61">
        <f t="shared" si="46"/>
        <v>21295</v>
      </c>
      <c r="N113" s="61">
        <f t="shared" si="46"/>
        <v>21882</v>
      </c>
      <c r="O113" s="61">
        <f t="shared" si="46"/>
        <v>24672</v>
      </c>
      <c r="P113" s="61">
        <f t="shared" si="46"/>
        <v>26059</v>
      </c>
      <c r="Q113" s="61">
        <f t="shared" si="46"/>
        <v>27903.852941999998</v>
      </c>
      <c r="R113" s="61">
        <f t="shared" si="46"/>
        <v>30804</v>
      </c>
      <c r="S113" s="61">
        <f t="shared" si="46"/>
        <v>31100</v>
      </c>
      <c r="T113" s="61">
        <f t="shared" ref="T113" si="47">SUM(T108:T112)</f>
        <v>31524</v>
      </c>
      <c r="U113" s="471">
        <v>34758</v>
      </c>
      <c r="V113" s="61">
        <f t="shared" ref="V113" si="48">SUM(V108:V112)</f>
        <v>34606</v>
      </c>
    </row>
    <row r="114" spans="1:22" ht="12.75" thickTop="1">
      <c r="A114" s="30"/>
      <c r="D114" s="3" t="s">
        <v>187</v>
      </c>
      <c r="G114" s="102">
        <f>(G113-F113)/F113</f>
        <v>-0.49955731949320714</v>
      </c>
      <c r="H114" s="102">
        <f t="shared" ref="H114:T114" si="49">(H113-G113)/G113</f>
        <v>0.20406295754026355</v>
      </c>
      <c r="I114" s="102">
        <f t="shared" si="49"/>
        <v>5.5834219992906726E-2</v>
      </c>
      <c r="J114" s="102">
        <f t="shared" si="49"/>
        <v>-3.8101636354911463E-2</v>
      </c>
      <c r="K114" s="102">
        <f t="shared" si="49"/>
        <v>3.1578947368421054E-2</v>
      </c>
      <c r="L114" s="102">
        <f t="shared" si="49"/>
        <v>-3.3852403520649968E-3</v>
      </c>
      <c r="M114" s="102">
        <f t="shared" si="49"/>
        <v>3.3336568322981368E-2</v>
      </c>
      <c r="N114" s="102">
        <f t="shared" si="49"/>
        <v>2.7565156139938953E-2</v>
      </c>
      <c r="O114" s="102">
        <f t="shared" si="49"/>
        <v>0.12750205648478202</v>
      </c>
      <c r="P114" s="102">
        <f t="shared" si="49"/>
        <v>5.6217574578469522E-2</v>
      </c>
      <c r="Q114" s="102">
        <f t="shared" si="49"/>
        <v>7.079523166660262E-2</v>
      </c>
      <c r="R114" s="102">
        <f t="shared" si="49"/>
        <v>0.10393357017857532</v>
      </c>
      <c r="S114" s="102">
        <f t="shared" si="49"/>
        <v>9.6091416699129982E-3</v>
      </c>
      <c r="T114" s="102">
        <f t="shared" si="49"/>
        <v>1.3633440514469453E-2</v>
      </c>
      <c r="U114" s="472">
        <v>0.10856669005549531</v>
      </c>
      <c r="V114" s="505">
        <f>(V113-U113)/U113</f>
        <v>-4.3730939639795158E-3</v>
      </c>
    </row>
    <row r="115" spans="1:22" ht="4.5" customHeight="1">
      <c r="A115" s="30"/>
      <c r="E115" s="28"/>
      <c r="F115" s="29"/>
      <c r="G115" s="29"/>
      <c r="R115" s="4"/>
      <c r="S115" s="4"/>
      <c r="T115" s="4"/>
      <c r="U115" s="458"/>
      <c r="V115" s="193"/>
    </row>
    <row r="116" spans="1:22">
      <c r="A116" s="30"/>
      <c r="D116" s="182" t="s">
        <v>47</v>
      </c>
      <c r="R116" s="4"/>
      <c r="S116" s="4"/>
      <c r="T116" s="4"/>
      <c r="U116" s="458"/>
      <c r="V116" s="193"/>
    </row>
    <row r="117" spans="1:22">
      <c r="A117" s="30">
        <v>13</v>
      </c>
      <c r="C117" s="28" t="s">
        <v>16</v>
      </c>
      <c r="D117" s="182"/>
      <c r="E117" s="161" t="s">
        <v>188</v>
      </c>
      <c r="F117" s="181">
        <f>F26</f>
        <v>314</v>
      </c>
      <c r="G117" s="181">
        <f t="shared" ref="G117:R117" si="50">G26</f>
        <v>314</v>
      </c>
      <c r="H117" s="181">
        <f t="shared" si="50"/>
        <v>297</v>
      </c>
      <c r="I117" s="181">
        <f t="shared" si="50"/>
        <v>309</v>
      </c>
      <c r="J117" s="181">
        <f t="shared" si="50"/>
        <v>309</v>
      </c>
      <c r="K117" s="181">
        <f t="shared" si="50"/>
        <v>310</v>
      </c>
      <c r="L117" s="181">
        <f t="shared" si="50"/>
        <v>312</v>
      </c>
      <c r="M117" s="181">
        <f t="shared" si="50"/>
        <v>310</v>
      </c>
      <c r="N117" s="181">
        <f t="shared" si="50"/>
        <v>276</v>
      </c>
      <c r="O117" s="181">
        <f t="shared" si="50"/>
        <v>393</v>
      </c>
      <c r="P117" s="181">
        <f t="shared" si="50"/>
        <v>348</v>
      </c>
      <c r="Q117" s="181">
        <f t="shared" si="50"/>
        <v>395</v>
      </c>
      <c r="R117" s="181">
        <f t="shared" si="50"/>
        <v>438</v>
      </c>
      <c r="S117" s="181">
        <f>S26</f>
        <v>380</v>
      </c>
      <c r="T117" s="181">
        <f>T26</f>
        <v>402</v>
      </c>
      <c r="U117" s="468">
        <v>439</v>
      </c>
      <c r="V117" s="72">
        <f>V26</f>
        <v>492</v>
      </c>
    </row>
    <row r="118" spans="1:22">
      <c r="A118" s="30">
        <v>14</v>
      </c>
      <c r="C118" s="28" t="s">
        <v>19</v>
      </c>
      <c r="E118" s="161" t="s">
        <v>189</v>
      </c>
      <c r="F118" s="181">
        <f>F32</f>
        <v>4184</v>
      </c>
      <c r="G118" s="181">
        <f t="shared" ref="G118:R118" si="51">G32</f>
        <v>4390</v>
      </c>
      <c r="H118" s="181">
        <f t="shared" si="51"/>
        <v>4496</v>
      </c>
      <c r="I118" s="181">
        <f t="shared" si="51"/>
        <v>4707</v>
      </c>
      <c r="J118" s="181">
        <f t="shared" si="51"/>
        <v>4902</v>
      </c>
      <c r="K118" s="181">
        <f t="shared" si="51"/>
        <v>5088</v>
      </c>
      <c r="L118" s="181">
        <f t="shared" si="51"/>
        <v>5369</v>
      </c>
      <c r="M118" s="181">
        <f t="shared" si="51"/>
        <v>5605</v>
      </c>
      <c r="N118" s="181">
        <f t="shared" si="51"/>
        <v>5673</v>
      </c>
      <c r="O118" s="181">
        <f t="shared" si="51"/>
        <v>6064</v>
      </c>
      <c r="P118" s="181">
        <f t="shared" si="51"/>
        <v>6367</v>
      </c>
      <c r="Q118" s="181">
        <f t="shared" si="51"/>
        <v>6649</v>
      </c>
      <c r="R118" s="181">
        <f t="shared" si="51"/>
        <v>6978</v>
      </c>
      <c r="S118" s="181">
        <f>S32</f>
        <v>7925</v>
      </c>
      <c r="T118" s="181">
        <f>T32</f>
        <v>8513</v>
      </c>
      <c r="U118" s="468">
        <v>9088</v>
      </c>
      <c r="V118" s="72">
        <f>V32</f>
        <v>9866</v>
      </c>
    </row>
    <row r="119" spans="1:22">
      <c r="A119" s="30">
        <v>15</v>
      </c>
      <c r="C119" s="3" t="s">
        <v>24</v>
      </c>
      <c r="E119" s="161" t="s">
        <v>190</v>
      </c>
      <c r="F119" s="181">
        <f>F42</f>
        <v>1027</v>
      </c>
      <c r="G119" s="181">
        <f t="shared" ref="G119:R119" si="52">G42</f>
        <v>1020</v>
      </c>
      <c r="H119" s="181">
        <f t="shared" si="52"/>
        <v>1275</v>
      </c>
      <c r="I119" s="181">
        <f t="shared" si="52"/>
        <v>1363</v>
      </c>
      <c r="J119" s="181">
        <f t="shared" si="52"/>
        <v>1180</v>
      </c>
      <c r="K119" s="181">
        <f t="shared" si="52"/>
        <v>1343</v>
      </c>
      <c r="L119" s="181">
        <f t="shared" si="52"/>
        <v>1282</v>
      </c>
      <c r="M119" s="181">
        <f t="shared" si="52"/>
        <v>1498</v>
      </c>
      <c r="N119" s="181">
        <f t="shared" si="52"/>
        <v>1803</v>
      </c>
      <c r="O119" s="181">
        <f t="shared" si="52"/>
        <v>1999</v>
      </c>
      <c r="P119" s="181">
        <f t="shared" si="52"/>
        <v>2412</v>
      </c>
      <c r="Q119" s="181">
        <f t="shared" si="52"/>
        <v>2734</v>
      </c>
      <c r="R119" s="181">
        <f t="shared" si="52"/>
        <v>3276</v>
      </c>
      <c r="S119" s="181">
        <f>S42</f>
        <v>3868</v>
      </c>
      <c r="T119" s="181">
        <f>T42</f>
        <v>4389</v>
      </c>
      <c r="U119" s="468">
        <v>5649</v>
      </c>
      <c r="V119" s="72">
        <f>V42</f>
        <v>6260</v>
      </c>
    </row>
    <row r="120" spans="1:22" ht="12.75" thickBot="1">
      <c r="A120" s="30">
        <v>16</v>
      </c>
      <c r="B120" s="186" t="s">
        <v>186</v>
      </c>
      <c r="E120" s="161"/>
      <c r="F120" s="62">
        <f>SUM(F117:F119)</f>
        <v>5525</v>
      </c>
      <c r="G120" s="62">
        <f t="shared" ref="G120:R120" si="53">SUM(G117:G119)</f>
        <v>5724</v>
      </c>
      <c r="H120" s="62">
        <f t="shared" si="53"/>
        <v>6068</v>
      </c>
      <c r="I120" s="62">
        <f t="shared" si="53"/>
        <v>6379</v>
      </c>
      <c r="J120" s="62">
        <f t="shared" si="53"/>
        <v>6391</v>
      </c>
      <c r="K120" s="62">
        <f t="shared" si="53"/>
        <v>6741</v>
      </c>
      <c r="L120" s="62">
        <f t="shared" si="53"/>
        <v>6963</v>
      </c>
      <c r="M120" s="62">
        <f t="shared" si="53"/>
        <v>7413</v>
      </c>
      <c r="N120" s="62">
        <f t="shared" si="53"/>
        <v>7752</v>
      </c>
      <c r="O120" s="62">
        <f t="shared" si="53"/>
        <v>8456</v>
      </c>
      <c r="P120" s="62">
        <f t="shared" si="53"/>
        <v>9127</v>
      </c>
      <c r="Q120" s="62">
        <f t="shared" si="53"/>
        <v>9778</v>
      </c>
      <c r="R120" s="62">
        <f t="shared" si="53"/>
        <v>10692</v>
      </c>
      <c r="S120" s="62">
        <f>SUM(S117:S119)</f>
        <v>12173</v>
      </c>
      <c r="T120" s="62">
        <f>SUM(T117:T119)</f>
        <v>13304</v>
      </c>
      <c r="U120" s="471">
        <v>15176</v>
      </c>
      <c r="V120" s="61">
        <f>SUM(V117:V119)</f>
        <v>16618</v>
      </c>
    </row>
    <row r="121" spans="1:22" ht="12.75" thickTop="1">
      <c r="A121" s="30"/>
      <c r="B121" s="182"/>
      <c r="D121" s="3" t="s">
        <v>187</v>
      </c>
      <c r="E121" s="161"/>
      <c r="F121" s="75"/>
      <c r="G121" s="102">
        <f>(G120-F120)/F120</f>
        <v>3.6018099547511312E-2</v>
      </c>
      <c r="H121" s="102">
        <f t="shared" ref="H121:T121" si="54">(H120-G120)/G120</f>
        <v>6.0097833682739341E-2</v>
      </c>
      <c r="I121" s="102">
        <f t="shared" si="54"/>
        <v>5.1252471984179301E-2</v>
      </c>
      <c r="J121" s="102">
        <f t="shared" si="54"/>
        <v>1.8811725975858284E-3</v>
      </c>
      <c r="K121" s="102">
        <f t="shared" si="54"/>
        <v>5.4764512595837894E-2</v>
      </c>
      <c r="L121" s="102">
        <f t="shared" si="54"/>
        <v>3.2932799287939477E-2</v>
      </c>
      <c r="M121" s="102">
        <f t="shared" si="54"/>
        <v>6.4627315812149935E-2</v>
      </c>
      <c r="N121" s="102">
        <f t="shared" si="54"/>
        <v>4.5730473492513156E-2</v>
      </c>
      <c r="O121" s="102">
        <f t="shared" si="54"/>
        <v>9.0815273477812181E-2</v>
      </c>
      <c r="P121" s="102">
        <f t="shared" si="54"/>
        <v>7.9351939451277206E-2</v>
      </c>
      <c r="Q121" s="102">
        <f t="shared" si="54"/>
        <v>7.1326832475073959E-2</v>
      </c>
      <c r="R121" s="102">
        <f t="shared" si="54"/>
        <v>9.3475148292084267E-2</v>
      </c>
      <c r="S121" s="102">
        <f t="shared" si="54"/>
        <v>0.1385147774036663</v>
      </c>
      <c r="T121" s="102">
        <f t="shared" si="54"/>
        <v>9.2910539719050361E-2</v>
      </c>
      <c r="U121" s="472">
        <v>0.1407095610342754</v>
      </c>
      <c r="V121" s="505">
        <f t="shared" ref="V121" si="55">(V120-U120)/U120</f>
        <v>9.5018450184501849E-2</v>
      </c>
    </row>
    <row r="122" spans="1:22">
      <c r="A122" s="30"/>
      <c r="E122" s="161"/>
      <c r="F122" s="181"/>
      <c r="R122" s="4"/>
      <c r="S122" s="4"/>
      <c r="T122" s="4"/>
      <c r="U122" s="458"/>
      <c r="V122" s="29"/>
    </row>
    <row r="123" spans="1:22">
      <c r="A123" s="30"/>
      <c r="D123" s="3" t="s">
        <v>194</v>
      </c>
      <c r="E123" s="161"/>
      <c r="F123" s="181"/>
      <c r="R123" s="4"/>
      <c r="S123" s="4"/>
      <c r="T123" s="4"/>
      <c r="U123" s="458"/>
      <c r="V123" s="29"/>
    </row>
    <row r="124" spans="1:22">
      <c r="A124" s="30">
        <v>17</v>
      </c>
      <c r="B124" s="182" t="s">
        <v>52</v>
      </c>
      <c r="D124" s="182"/>
      <c r="E124" s="161" t="s">
        <v>191</v>
      </c>
      <c r="F124" s="181">
        <f>F43</f>
        <v>0</v>
      </c>
      <c r="G124" s="181">
        <f t="shared" ref="G124:R124" si="56">G43</f>
        <v>167</v>
      </c>
      <c r="H124" s="181">
        <f t="shared" si="56"/>
        <v>185</v>
      </c>
      <c r="I124" s="181">
        <f t="shared" si="56"/>
        <v>159</v>
      </c>
      <c r="J124" s="181">
        <f t="shared" si="56"/>
        <v>169</v>
      </c>
      <c r="K124" s="181">
        <f t="shared" si="56"/>
        <v>0</v>
      </c>
      <c r="L124" s="181">
        <f t="shared" si="56"/>
        <v>0</v>
      </c>
      <c r="M124" s="181">
        <f t="shared" si="56"/>
        <v>-815</v>
      </c>
      <c r="N124" s="181">
        <f t="shared" si="56"/>
        <v>-242</v>
      </c>
      <c r="O124" s="181">
        <f t="shared" si="56"/>
        <v>440</v>
      </c>
      <c r="P124" s="181">
        <f t="shared" si="56"/>
        <v>216</v>
      </c>
      <c r="Q124" s="181">
        <f t="shared" si="56"/>
        <v>-186</v>
      </c>
      <c r="R124" s="181">
        <f t="shared" si="56"/>
        <v>171</v>
      </c>
      <c r="S124" s="72">
        <f>S43</f>
        <v>91</v>
      </c>
      <c r="T124" s="72">
        <f>T43</f>
        <v>-91</v>
      </c>
      <c r="U124" s="468">
        <v>-2087</v>
      </c>
      <c r="V124" s="72">
        <f>V43</f>
        <v>1079</v>
      </c>
    </row>
    <row r="125" spans="1:22">
      <c r="A125" s="30">
        <v>18</v>
      </c>
      <c r="B125" s="28"/>
      <c r="C125" s="28" t="str">
        <f>C112</f>
        <v>Deduct Decoupling Surcharge/Rebate Expenses</v>
      </c>
      <c r="F125" s="181">
        <f>-'Reg Amort and Other RB'!E22</f>
        <v>0</v>
      </c>
      <c r="G125" s="181">
        <f>-'Reg Amort and Other RB'!F22</f>
        <v>0</v>
      </c>
      <c r="H125" s="181">
        <f>-'Reg Amort and Other RB'!G22</f>
        <v>0</v>
      </c>
      <c r="I125" s="181">
        <f>-'Reg Amort and Other RB'!H22</f>
        <v>0</v>
      </c>
      <c r="J125" s="181">
        <f>-'Reg Amort and Other RB'!I22</f>
        <v>0</v>
      </c>
      <c r="K125" s="181">
        <f>-'Reg Amort and Other RB'!J22</f>
        <v>0</v>
      </c>
      <c r="L125" s="181">
        <f>-'Reg Amort and Other RB'!K22</f>
        <v>0</v>
      </c>
      <c r="M125" s="181">
        <f>-'Reg Amort and Other RB'!L22</f>
        <v>-85</v>
      </c>
      <c r="N125" s="181">
        <f>-'Reg Amort and Other RB'!M22</f>
        <v>-432</v>
      </c>
      <c r="O125" s="181">
        <f>-'Reg Amort and Other RB'!N22</f>
        <v>-710</v>
      </c>
      <c r="P125" s="181">
        <f>-'Reg Amort and Other RB'!O22</f>
        <v>-494</v>
      </c>
      <c r="Q125" s="181">
        <f>-'Reg Amort and Other RB'!P22</f>
        <v>-494</v>
      </c>
      <c r="R125" s="181">
        <f>-'Reg Amort and Other RB'!Q22</f>
        <v>-184</v>
      </c>
      <c r="S125" s="72">
        <f>-'Reg Amort and Other RB'!R22</f>
        <v>0</v>
      </c>
      <c r="T125" s="72">
        <f>-'Reg Amort and Other RB'!S22</f>
        <v>0</v>
      </c>
      <c r="U125" s="468">
        <v>0</v>
      </c>
      <c r="V125" s="72">
        <f>-'[8]Reg Amort and Other RB'!U22</f>
        <v>0</v>
      </c>
    </row>
    <row r="126" spans="1:22" ht="12.75" thickBot="1">
      <c r="A126" s="30">
        <v>19</v>
      </c>
      <c r="B126" s="64" t="s">
        <v>195</v>
      </c>
      <c r="C126" s="64"/>
      <c r="D126" s="65"/>
      <c r="E126" s="65"/>
      <c r="F126" s="62">
        <f t="shared" ref="F126:R126" si="57">SUM(F124:F125)</f>
        <v>0</v>
      </c>
      <c r="G126" s="62">
        <f t="shared" si="57"/>
        <v>167</v>
      </c>
      <c r="H126" s="62">
        <f t="shared" si="57"/>
        <v>185</v>
      </c>
      <c r="I126" s="62">
        <f t="shared" si="57"/>
        <v>159</v>
      </c>
      <c r="J126" s="62">
        <f t="shared" si="57"/>
        <v>169</v>
      </c>
      <c r="K126" s="62">
        <f t="shared" si="57"/>
        <v>0</v>
      </c>
      <c r="L126" s="62">
        <f t="shared" si="57"/>
        <v>0</v>
      </c>
      <c r="M126" s="62">
        <f t="shared" si="57"/>
        <v>-900</v>
      </c>
      <c r="N126" s="62">
        <f t="shared" si="57"/>
        <v>-674</v>
      </c>
      <c r="O126" s="62">
        <f t="shared" si="57"/>
        <v>-270</v>
      </c>
      <c r="P126" s="62">
        <f t="shared" si="57"/>
        <v>-278</v>
      </c>
      <c r="Q126" s="62">
        <f t="shared" si="57"/>
        <v>-680</v>
      </c>
      <c r="R126" s="62">
        <f t="shared" si="57"/>
        <v>-13</v>
      </c>
      <c r="S126" s="61">
        <f>SUM(S124:S125)</f>
        <v>91</v>
      </c>
      <c r="T126" s="61">
        <f>SUM(T124:T125)</f>
        <v>-91</v>
      </c>
      <c r="U126" s="471">
        <v>-2087</v>
      </c>
      <c r="V126" s="61">
        <f>SUM(V124:V125)</f>
        <v>1079</v>
      </c>
    </row>
    <row r="127" spans="1:22" ht="3" customHeight="1" thickTop="1">
      <c r="A127" s="30"/>
      <c r="R127" s="4"/>
      <c r="S127" s="4"/>
      <c r="T127" s="4"/>
      <c r="U127" s="458"/>
      <c r="V127" s="29"/>
    </row>
    <row r="128" spans="1:22">
      <c r="A128" s="30"/>
      <c r="D128" s="3" t="s">
        <v>201</v>
      </c>
      <c r="R128" s="4"/>
      <c r="S128" s="4"/>
      <c r="T128" s="4"/>
      <c r="U128" s="458"/>
      <c r="V128" s="29"/>
    </row>
    <row r="129" spans="1:22">
      <c r="A129" s="30">
        <v>20</v>
      </c>
      <c r="C129" s="28" t="s">
        <v>16</v>
      </c>
      <c r="D129" s="182"/>
      <c r="E129" s="161" t="s">
        <v>203</v>
      </c>
      <c r="F129" s="181">
        <f>F27</f>
        <v>111</v>
      </c>
      <c r="G129" s="181">
        <f t="shared" ref="G129:R129" si="58">G27</f>
        <v>108</v>
      </c>
      <c r="H129" s="181">
        <f t="shared" si="58"/>
        <v>120</v>
      </c>
      <c r="I129" s="181">
        <f t="shared" si="58"/>
        <v>118</v>
      </c>
      <c r="J129" s="181">
        <f t="shared" si="58"/>
        <v>120</v>
      </c>
      <c r="K129" s="181">
        <f t="shared" si="58"/>
        <v>115</v>
      </c>
      <c r="L129" s="181">
        <f t="shared" si="58"/>
        <v>122</v>
      </c>
      <c r="M129" s="181">
        <f t="shared" si="58"/>
        <v>95</v>
      </c>
      <c r="N129" s="181">
        <f t="shared" si="58"/>
        <v>113</v>
      </c>
      <c r="O129" s="181">
        <f t="shared" si="58"/>
        <v>121</v>
      </c>
      <c r="P129" s="181">
        <f t="shared" si="58"/>
        <v>116</v>
      </c>
      <c r="Q129" s="181">
        <f t="shared" si="58"/>
        <v>19</v>
      </c>
      <c r="R129" s="181">
        <f t="shared" si="58"/>
        <v>17</v>
      </c>
      <c r="S129" s="181">
        <f>S27</f>
        <v>158</v>
      </c>
      <c r="T129" s="181">
        <f>T27</f>
        <v>184</v>
      </c>
      <c r="U129" s="468">
        <v>196</v>
      </c>
      <c r="V129" s="72">
        <f>V27</f>
        <v>210</v>
      </c>
    </row>
    <row r="130" spans="1:22">
      <c r="A130" s="30">
        <v>21</v>
      </c>
      <c r="C130" s="28" t="s">
        <v>19</v>
      </c>
      <c r="E130" s="161" t="s">
        <v>204</v>
      </c>
      <c r="F130" s="181">
        <f>F33</f>
        <v>4919</v>
      </c>
      <c r="G130" s="181">
        <f t="shared" ref="G130:R130" si="59">G33</f>
        <v>7315</v>
      </c>
      <c r="H130" s="181">
        <f t="shared" si="59"/>
        <v>8070</v>
      </c>
      <c r="I130" s="181">
        <f t="shared" si="59"/>
        <v>7205</v>
      </c>
      <c r="J130" s="181">
        <f t="shared" si="59"/>
        <v>8213</v>
      </c>
      <c r="K130" s="181">
        <f t="shared" si="59"/>
        <v>8573</v>
      </c>
      <c r="L130" s="181">
        <f t="shared" si="59"/>
        <v>9457</v>
      </c>
      <c r="M130" s="181">
        <f t="shared" si="59"/>
        <v>9844</v>
      </c>
      <c r="N130" s="181">
        <f t="shared" si="59"/>
        <v>8941</v>
      </c>
      <c r="O130" s="181">
        <f t="shared" si="59"/>
        <v>8746</v>
      </c>
      <c r="P130" s="181">
        <f t="shared" si="59"/>
        <v>7223</v>
      </c>
      <c r="Q130" s="181">
        <f t="shared" si="59"/>
        <v>8050.6743270000006</v>
      </c>
      <c r="R130" s="181">
        <f t="shared" si="59"/>
        <v>7825</v>
      </c>
      <c r="S130" s="181">
        <f>S33</f>
        <v>8116</v>
      </c>
      <c r="T130" s="181">
        <f>T33</f>
        <v>8719</v>
      </c>
      <c r="U130" s="468">
        <v>8554</v>
      </c>
      <c r="V130" s="72">
        <f>V33</f>
        <v>8383</v>
      </c>
    </row>
    <row r="131" spans="1:22">
      <c r="A131" s="30">
        <v>22</v>
      </c>
      <c r="C131" s="3" t="s">
        <v>24</v>
      </c>
      <c r="E131" s="161" t="s">
        <v>205</v>
      </c>
      <c r="F131" s="181">
        <f>F44</f>
        <v>22</v>
      </c>
      <c r="G131" s="181">
        <f t="shared" ref="G131:R131" si="60">G44</f>
        <v>21</v>
      </c>
      <c r="H131" s="181">
        <f t="shared" si="60"/>
        <v>23</v>
      </c>
      <c r="I131" s="181">
        <f t="shared" si="60"/>
        <v>24</v>
      </c>
      <c r="J131" s="181">
        <f t="shared" si="60"/>
        <v>24</v>
      </c>
      <c r="K131" s="181">
        <f t="shared" si="60"/>
        <v>23</v>
      </c>
      <c r="L131" s="181">
        <f t="shared" si="60"/>
        <v>24</v>
      </c>
      <c r="M131" s="181">
        <f t="shared" si="60"/>
        <v>20</v>
      </c>
      <c r="N131" s="181">
        <f t="shared" si="60"/>
        <v>17</v>
      </c>
      <c r="O131" s="181">
        <f t="shared" si="60"/>
        <v>19</v>
      </c>
      <c r="P131" s="181">
        <f t="shared" si="60"/>
        <v>24</v>
      </c>
      <c r="Q131" s="181">
        <f t="shared" si="60"/>
        <v>0</v>
      </c>
      <c r="R131" s="181">
        <f t="shared" si="60"/>
        <v>-1</v>
      </c>
      <c r="S131" s="181">
        <f>S44</f>
        <v>0</v>
      </c>
      <c r="T131" s="181">
        <f>T44</f>
        <v>0</v>
      </c>
      <c r="U131" s="468">
        <v>0</v>
      </c>
      <c r="V131" s="72">
        <f>V44</f>
        <v>0</v>
      </c>
    </row>
    <row r="132" spans="1:22">
      <c r="A132" s="30">
        <v>23</v>
      </c>
      <c r="B132" s="3" t="s">
        <v>206</v>
      </c>
      <c r="F132" s="180">
        <f>F27+F33+F44</f>
        <v>5052</v>
      </c>
      <c r="G132" s="180">
        <f t="shared" ref="G132:R132" si="61">G27+G33+G44</f>
        <v>7444</v>
      </c>
      <c r="H132" s="180">
        <f t="shared" si="61"/>
        <v>8213</v>
      </c>
      <c r="I132" s="180">
        <f t="shared" si="61"/>
        <v>7347</v>
      </c>
      <c r="J132" s="180">
        <f t="shared" si="61"/>
        <v>8357</v>
      </c>
      <c r="K132" s="180">
        <f t="shared" si="61"/>
        <v>8711</v>
      </c>
      <c r="L132" s="180">
        <f t="shared" si="61"/>
        <v>9603</v>
      </c>
      <c r="M132" s="180">
        <f t="shared" si="61"/>
        <v>9959</v>
      </c>
      <c r="N132" s="180">
        <f t="shared" si="61"/>
        <v>9071</v>
      </c>
      <c r="O132" s="180">
        <f t="shared" si="61"/>
        <v>8886</v>
      </c>
      <c r="P132" s="180">
        <f t="shared" si="61"/>
        <v>7363</v>
      </c>
      <c r="Q132" s="180">
        <f t="shared" si="61"/>
        <v>8069.6743270000006</v>
      </c>
      <c r="R132" s="180">
        <f t="shared" si="61"/>
        <v>7841</v>
      </c>
      <c r="S132" s="180">
        <f>S27+S33+S44</f>
        <v>8274</v>
      </c>
      <c r="T132" s="180">
        <f>T27+T33+T44</f>
        <v>8903</v>
      </c>
      <c r="U132" s="469">
        <v>8750</v>
      </c>
      <c r="V132" s="504">
        <f>V27+V33+V44</f>
        <v>8593</v>
      </c>
    </row>
    <row r="133" spans="1:22">
      <c r="A133" s="30">
        <v>24</v>
      </c>
      <c r="B133" s="28"/>
      <c r="C133" s="28" t="s">
        <v>208</v>
      </c>
      <c r="F133" s="72">
        <f>'Riders and Gas Cost Revenue'!H32</f>
        <v>-2304</v>
      </c>
      <c r="G133" s="72">
        <f>'Riders and Gas Cost Revenue'!J32</f>
        <v>-4287</v>
      </c>
      <c r="H133" s="72">
        <f>'Riders and Gas Cost Revenue'!L32</f>
        <v>-4425</v>
      </c>
      <c r="I133" s="72">
        <f>'Riders and Gas Cost Revenue'!N32</f>
        <v>-3899</v>
      </c>
      <c r="J133" s="72">
        <f>'Riders and Gas Cost Revenue'!P32</f>
        <v>-4592</v>
      </c>
      <c r="K133" s="72">
        <f>'Riders and Gas Cost Revenue'!R32</f>
        <v>-5240</v>
      </c>
      <c r="L133" s="72">
        <f>'Riders and Gas Cost Revenue'!T32</f>
        <v>-6014</v>
      </c>
      <c r="M133" s="72">
        <f>'Riders and Gas Cost Revenue'!W32</f>
        <v>-6261</v>
      </c>
      <c r="N133" s="72">
        <f>'Riders and Gas Cost Revenue'!Z32</f>
        <v>-5917</v>
      </c>
      <c r="O133" s="72">
        <f>'Riders and Gas Cost Revenue'!AC32</f>
        <v>-4858</v>
      </c>
      <c r="P133" s="72">
        <f>'Riders and Gas Cost Revenue'!AF32</f>
        <v>-3171</v>
      </c>
      <c r="Q133" s="72">
        <f>'Riders and Gas Cost Revenue'!AI32</f>
        <v>-3374</v>
      </c>
      <c r="R133" s="72">
        <f>'Riders and Gas Cost Revenue'!AL32</f>
        <v>-3003</v>
      </c>
      <c r="S133" s="72">
        <f>'Riders and Gas Cost Revenue'!AO32</f>
        <v>-3083</v>
      </c>
      <c r="T133" s="72">
        <f>'Riders and Gas Cost Revenue'!AR32</f>
        <v>-3380</v>
      </c>
      <c r="U133" s="468">
        <v>-3197</v>
      </c>
      <c r="V133" s="72">
        <f>'[8]Riders and Gas Cost Revenue'!AX32</f>
        <v>-2548</v>
      </c>
    </row>
    <row r="134" spans="1:22">
      <c r="A134" s="30">
        <v>25</v>
      </c>
      <c r="C134" s="3" t="s">
        <v>207</v>
      </c>
      <c r="F134" s="181">
        <f>'Riders and Gas Cost Revenue'!G32</f>
        <v>0</v>
      </c>
      <c r="G134" s="181">
        <f>'Riders and Gas Cost Revenue'!I32</f>
        <v>-38</v>
      </c>
      <c r="H134" s="181">
        <f>'Riders and Gas Cost Revenue'!K32</f>
        <v>-68</v>
      </c>
      <c r="I134" s="181">
        <f>'Riders and Gas Cost Revenue'!M32</f>
        <v>-81</v>
      </c>
      <c r="J134" s="181">
        <f>'Riders and Gas Cost Revenue'!O32</f>
        <v>0</v>
      </c>
      <c r="K134" s="181">
        <f>'Riders and Gas Cost Revenue'!Q32</f>
        <v>-114</v>
      </c>
      <c r="L134" s="181">
        <f>'Riders and Gas Cost Revenue'!S32</f>
        <v>0</v>
      </c>
      <c r="M134" s="181">
        <f>'Riders and Gas Cost Revenue'!U32</f>
        <v>-154</v>
      </c>
      <c r="N134" s="181">
        <f>'Riders and Gas Cost Revenue'!X32</f>
        <v>-176</v>
      </c>
      <c r="O134" s="181">
        <f>'Riders and Gas Cost Revenue'!AA32</f>
        <v>-272</v>
      </c>
      <c r="P134" s="181">
        <f>'Riders and Gas Cost Revenue'!AD32</f>
        <v>-338</v>
      </c>
      <c r="Q134" s="181">
        <f>'Riders and Gas Cost Revenue'!AG32</f>
        <v>-359</v>
      </c>
      <c r="R134" s="181">
        <f>'Riders and Gas Cost Revenue'!AJ32</f>
        <v>-239</v>
      </c>
      <c r="S134" s="181">
        <f>'Riders and Gas Cost Revenue'!AM32</f>
        <v>0</v>
      </c>
      <c r="T134" s="181">
        <f>'Riders and Gas Cost Revenue'!AP32</f>
        <v>0</v>
      </c>
      <c r="U134" s="468">
        <v>0</v>
      </c>
      <c r="V134" s="72">
        <v>0</v>
      </c>
    </row>
    <row r="135" spans="1:22">
      <c r="A135" s="30">
        <v>26</v>
      </c>
      <c r="C135" s="3" t="s">
        <v>209</v>
      </c>
      <c r="F135" s="179">
        <v>0</v>
      </c>
      <c r="G135" s="179">
        <v>0</v>
      </c>
      <c r="H135" s="179">
        <v>0</v>
      </c>
      <c r="I135" s="179">
        <v>0</v>
      </c>
      <c r="J135" s="179">
        <v>0</v>
      </c>
      <c r="K135" s="179">
        <v>0</v>
      </c>
      <c r="L135" s="179">
        <v>0</v>
      </c>
      <c r="M135" s="179">
        <f>'Riders and Gas Cost Revenue'!V32</f>
        <v>-3</v>
      </c>
      <c r="N135" s="179">
        <f>'Riders and Gas Cost Revenue'!Y32</f>
        <v>-17</v>
      </c>
      <c r="O135" s="179">
        <f>'Riders and Gas Cost Revenue'!AB32</f>
        <v>-28</v>
      </c>
      <c r="P135" s="179">
        <f>'Riders and Gas Cost Revenue'!AE32</f>
        <v>-20</v>
      </c>
      <c r="Q135" s="179">
        <f>'Riders and Gas Cost Revenue'!AH32</f>
        <v>-20</v>
      </c>
      <c r="R135" s="179">
        <f>'Riders and Gas Cost Revenue'!AK32</f>
        <v>-7</v>
      </c>
      <c r="S135" s="179">
        <f>'Riders and Gas Cost Revenue'!AN32</f>
        <v>0</v>
      </c>
      <c r="T135" s="179">
        <f>'Riders and Gas Cost Revenue'!AQ32</f>
        <v>0</v>
      </c>
      <c r="U135" s="470">
        <v>0</v>
      </c>
      <c r="V135" s="163">
        <v>0</v>
      </c>
    </row>
    <row r="136" spans="1:22" ht="12.75" thickBot="1">
      <c r="A136" s="30">
        <v>27</v>
      </c>
      <c r="B136" s="65" t="s">
        <v>202</v>
      </c>
      <c r="C136" s="65"/>
      <c r="D136" s="65"/>
      <c r="E136" s="65"/>
      <c r="F136" s="62">
        <f>SUM(F132:F135)</f>
        <v>2748</v>
      </c>
      <c r="G136" s="62">
        <f t="shared" ref="G136:L136" si="62">SUM(G132:G135)</f>
        <v>3119</v>
      </c>
      <c r="H136" s="62">
        <f t="shared" si="62"/>
        <v>3720</v>
      </c>
      <c r="I136" s="62">
        <f t="shared" si="62"/>
        <v>3367</v>
      </c>
      <c r="J136" s="62">
        <f t="shared" si="62"/>
        <v>3765</v>
      </c>
      <c r="K136" s="62">
        <f t="shared" si="62"/>
        <v>3357</v>
      </c>
      <c r="L136" s="62">
        <f t="shared" si="62"/>
        <v>3589</v>
      </c>
      <c r="M136" s="62">
        <f t="shared" ref="M136:S136" si="63">SUM(M132:M135)</f>
        <v>3541</v>
      </c>
      <c r="N136" s="62">
        <f t="shared" si="63"/>
        <v>2961</v>
      </c>
      <c r="O136" s="62">
        <f t="shared" si="63"/>
        <v>3728</v>
      </c>
      <c r="P136" s="62">
        <f t="shared" si="63"/>
        <v>3834</v>
      </c>
      <c r="Q136" s="62">
        <f t="shared" si="63"/>
        <v>4316.6743270000006</v>
      </c>
      <c r="R136" s="62">
        <f t="shared" si="63"/>
        <v>4592</v>
      </c>
      <c r="S136" s="62">
        <f t="shared" si="63"/>
        <v>5191</v>
      </c>
      <c r="T136" s="62">
        <f t="shared" ref="T136" si="64">SUM(T132:T135)</f>
        <v>5523</v>
      </c>
      <c r="U136" s="471">
        <v>5553</v>
      </c>
      <c r="V136" s="61">
        <f t="shared" ref="V136" si="65">SUM(V132:V135)</f>
        <v>6045</v>
      </c>
    </row>
    <row r="137" spans="1:22" ht="12.75" thickTop="1">
      <c r="A137" s="110"/>
      <c r="B137" s="65"/>
      <c r="C137" s="65"/>
      <c r="D137" s="3" t="s">
        <v>187</v>
      </c>
      <c r="E137" s="65"/>
      <c r="F137" s="75"/>
      <c r="G137" s="102">
        <f>(G136-F136)/F136</f>
        <v>0.13500727802037846</v>
      </c>
      <c r="H137" s="102">
        <f t="shared" ref="H137:T137" si="66">(H136-G136)/G136</f>
        <v>0.192689964732286</v>
      </c>
      <c r="I137" s="102">
        <f t="shared" si="66"/>
        <v>-9.4892473118279572E-2</v>
      </c>
      <c r="J137" s="102">
        <f t="shared" si="66"/>
        <v>0.1182061182061182</v>
      </c>
      <c r="K137" s="102">
        <f t="shared" si="66"/>
        <v>-0.10836653386454183</v>
      </c>
      <c r="L137" s="102">
        <f t="shared" si="66"/>
        <v>6.9109323801012812E-2</v>
      </c>
      <c r="M137" s="102">
        <f t="shared" si="66"/>
        <v>-1.337419894120925E-2</v>
      </c>
      <c r="N137" s="102">
        <f t="shared" si="66"/>
        <v>-0.16379553798362045</v>
      </c>
      <c r="O137" s="102">
        <f t="shared" si="66"/>
        <v>0.25903411009793986</v>
      </c>
      <c r="P137" s="102">
        <f t="shared" si="66"/>
        <v>2.8433476394849784E-2</v>
      </c>
      <c r="Q137" s="102">
        <f t="shared" si="66"/>
        <v>0.12589314736567569</v>
      </c>
      <c r="R137" s="102">
        <f t="shared" si="66"/>
        <v>6.3781896002181149E-2</v>
      </c>
      <c r="S137" s="102">
        <f t="shared" si="66"/>
        <v>0.13044425087108014</v>
      </c>
      <c r="T137" s="102">
        <f t="shared" si="66"/>
        <v>6.3956848391446733E-2</v>
      </c>
      <c r="U137" s="472">
        <v>5.4318305268875608E-3</v>
      </c>
      <c r="V137" s="505">
        <f t="shared" ref="V137" si="67">(V136-U136)/U136</f>
        <v>8.8600756347920043E-2</v>
      </c>
    </row>
    <row r="138" spans="1:22">
      <c r="A138" s="110"/>
      <c r="B138" s="65"/>
      <c r="C138" s="65"/>
      <c r="E138" s="65"/>
      <c r="F138" s="75"/>
      <c r="G138" s="102"/>
      <c r="H138" s="102"/>
      <c r="I138" s="102"/>
      <c r="J138" s="102"/>
      <c r="K138" s="102"/>
      <c r="L138" s="102"/>
      <c r="M138" s="102"/>
      <c r="N138" s="102"/>
      <c r="O138" s="102"/>
      <c r="P138" s="102"/>
      <c r="Q138" s="102"/>
      <c r="R138" s="102"/>
      <c r="S138" s="102"/>
      <c r="T138" s="102"/>
      <c r="U138" s="472"/>
      <c r="V138" s="248"/>
    </row>
    <row r="139" spans="1:22" ht="12.75" thickBot="1">
      <c r="A139" s="30">
        <v>28</v>
      </c>
      <c r="B139" s="65" t="s">
        <v>210</v>
      </c>
      <c r="C139" s="65"/>
      <c r="E139" s="161" t="s">
        <v>211</v>
      </c>
      <c r="F139" s="62">
        <f>F84</f>
        <v>124885</v>
      </c>
      <c r="G139" s="62">
        <f t="shared" ref="G139:R139" si="68">G84</f>
        <v>129500</v>
      </c>
      <c r="H139" s="62">
        <f t="shared" si="68"/>
        <v>129740</v>
      </c>
      <c r="I139" s="62">
        <f t="shared" si="68"/>
        <v>125044</v>
      </c>
      <c r="J139" s="62">
        <f t="shared" si="68"/>
        <v>124950</v>
      </c>
      <c r="K139" s="62">
        <f t="shared" si="68"/>
        <v>132617</v>
      </c>
      <c r="L139" s="62">
        <f t="shared" si="68"/>
        <v>140789</v>
      </c>
      <c r="M139" s="62">
        <f t="shared" si="68"/>
        <v>145500</v>
      </c>
      <c r="N139" s="62">
        <f t="shared" si="68"/>
        <v>154054</v>
      </c>
      <c r="O139" s="62">
        <f t="shared" si="68"/>
        <v>173806</v>
      </c>
      <c r="P139" s="62">
        <f t="shared" si="68"/>
        <v>177901</v>
      </c>
      <c r="Q139" s="62">
        <f t="shared" si="68"/>
        <v>183553</v>
      </c>
      <c r="R139" s="62">
        <f t="shared" si="68"/>
        <v>195287</v>
      </c>
      <c r="S139" s="62">
        <f>S84</f>
        <v>207759</v>
      </c>
      <c r="T139" s="62">
        <f>T84</f>
        <v>225901</v>
      </c>
      <c r="U139" s="471">
        <v>244647</v>
      </c>
      <c r="V139" s="61">
        <f>V84</f>
        <v>262930</v>
      </c>
    </row>
    <row r="140" spans="1:22" ht="12.75" thickTop="1">
      <c r="A140" s="110"/>
      <c r="B140" s="65"/>
      <c r="C140" s="65"/>
      <c r="D140" s="3" t="s">
        <v>187</v>
      </c>
      <c r="E140" s="65"/>
      <c r="F140" s="75"/>
      <c r="G140" s="102">
        <f>(G139-F139)/F139</f>
        <v>3.6953997677863636E-2</v>
      </c>
      <c r="H140" s="102">
        <f t="shared" ref="H140:T140" si="69">(H139-G139)/G139</f>
        <v>1.8532818532818532E-3</v>
      </c>
      <c r="I140" s="102">
        <f t="shared" si="69"/>
        <v>-3.619546785879451E-2</v>
      </c>
      <c r="J140" s="102">
        <f t="shared" si="69"/>
        <v>-7.5173538914302164E-4</v>
      </c>
      <c r="K140" s="102">
        <f t="shared" si="69"/>
        <v>6.1360544217687073E-2</v>
      </c>
      <c r="L140" s="102">
        <f t="shared" si="69"/>
        <v>6.1621059140230888E-2</v>
      </c>
      <c r="M140" s="102">
        <f t="shared" si="69"/>
        <v>3.3461420991696793E-2</v>
      </c>
      <c r="N140" s="102">
        <f t="shared" si="69"/>
        <v>5.8790378006872854E-2</v>
      </c>
      <c r="O140" s="102">
        <f t="shared" si="69"/>
        <v>0.12821478182974802</v>
      </c>
      <c r="P140" s="102">
        <f t="shared" si="69"/>
        <v>2.3560751642636043E-2</v>
      </c>
      <c r="Q140" s="102">
        <f t="shared" si="69"/>
        <v>3.177047908668304E-2</v>
      </c>
      <c r="R140" s="102">
        <f t="shared" si="69"/>
        <v>6.3927040146442723E-2</v>
      </c>
      <c r="S140" s="102">
        <f t="shared" si="69"/>
        <v>6.3864978211555304E-2</v>
      </c>
      <c r="T140" s="102">
        <f t="shared" si="69"/>
        <v>8.7322330199895076E-2</v>
      </c>
      <c r="U140" s="472">
        <v>8.2983253726189796E-2</v>
      </c>
      <c r="V140" s="248"/>
    </row>
    <row r="141" spans="1:22">
      <c r="A141" s="110"/>
      <c r="B141" s="65"/>
      <c r="C141" s="65"/>
      <c r="E141" s="65"/>
      <c r="F141" s="75"/>
      <c r="G141" s="102"/>
      <c r="H141" s="102"/>
      <c r="I141" s="102"/>
      <c r="J141" s="102"/>
      <c r="K141" s="102"/>
      <c r="L141" s="102"/>
      <c r="M141" s="102"/>
      <c r="N141" s="102"/>
      <c r="O141" s="102"/>
      <c r="P141" s="102"/>
      <c r="Q141" s="102"/>
      <c r="R141" s="102"/>
      <c r="S141" s="102"/>
      <c r="T141" s="102"/>
      <c r="U141" s="472"/>
      <c r="V141" s="248"/>
    </row>
    <row r="142" spans="1:22" ht="12.75" thickBot="1">
      <c r="A142" s="30">
        <v>29</v>
      </c>
      <c r="B142" s="65" t="s">
        <v>212</v>
      </c>
      <c r="C142" s="65"/>
      <c r="E142" s="161" t="s">
        <v>213</v>
      </c>
      <c r="F142" s="62">
        <f>F91</f>
        <v>130920</v>
      </c>
      <c r="G142" s="62">
        <f t="shared" ref="G142:R142" si="70">G91</f>
        <v>135524</v>
      </c>
      <c r="H142" s="62">
        <f t="shared" si="70"/>
        <v>136362</v>
      </c>
      <c r="I142" s="62">
        <f t="shared" si="70"/>
        <v>131627</v>
      </c>
      <c r="J142" s="62">
        <f t="shared" si="70"/>
        <v>130718</v>
      </c>
      <c r="K142" s="62">
        <f t="shared" si="70"/>
        <v>140796</v>
      </c>
      <c r="L142" s="62">
        <f t="shared" si="70"/>
        <v>149362</v>
      </c>
      <c r="M142" s="62">
        <f t="shared" si="70"/>
        <v>151699</v>
      </c>
      <c r="N142" s="62">
        <f t="shared" si="70"/>
        <v>169681</v>
      </c>
      <c r="O142" s="62">
        <f t="shared" si="70"/>
        <v>180778</v>
      </c>
      <c r="P142" s="62">
        <f t="shared" si="70"/>
        <v>186920</v>
      </c>
      <c r="Q142" s="62">
        <f t="shared" si="70"/>
        <v>196280</v>
      </c>
      <c r="R142" s="62">
        <f t="shared" si="70"/>
        <v>207578</v>
      </c>
      <c r="S142" s="62">
        <f>S91</f>
        <v>224824</v>
      </c>
      <c r="T142" s="62">
        <f>T91</f>
        <v>250257</v>
      </c>
      <c r="U142" s="471">
        <v>272971</v>
      </c>
      <c r="V142" s="61">
        <f>V87</f>
        <v>-249</v>
      </c>
    </row>
    <row r="143" spans="1:22" ht="12.75" thickTop="1">
      <c r="A143" s="110"/>
      <c r="B143" s="65"/>
      <c r="C143" s="65"/>
      <c r="E143" s="65"/>
      <c r="F143" s="75"/>
      <c r="G143" s="102">
        <f>(G142-F142)/F142</f>
        <v>3.516651390161931E-2</v>
      </c>
      <c r="H143" s="102">
        <f t="shared" ref="H143:T143" si="71">(H142-G142)/G142</f>
        <v>6.1834066290841474E-3</v>
      </c>
      <c r="I143" s="102">
        <f t="shared" si="71"/>
        <v>-3.4723750018333555E-2</v>
      </c>
      <c r="J143" s="102">
        <f t="shared" si="71"/>
        <v>-6.9058779733641275E-3</v>
      </c>
      <c r="K143" s="102">
        <f t="shared" si="71"/>
        <v>7.709726281001851E-2</v>
      </c>
      <c r="L143" s="102">
        <f t="shared" si="71"/>
        <v>6.0839796585130258E-2</v>
      </c>
      <c r="M143" s="102">
        <f t="shared" si="71"/>
        <v>1.5646549992635341E-2</v>
      </c>
      <c r="N143" s="102">
        <f t="shared" si="71"/>
        <v>0.11853736675917442</v>
      </c>
      <c r="O143" s="102">
        <f t="shared" si="71"/>
        <v>6.5399190245224864E-2</v>
      </c>
      <c r="P143" s="102">
        <f t="shared" si="71"/>
        <v>3.3975373109559795E-2</v>
      </c>
      <c r="Q143" s="102">
        <f t="shared" si="71"/>
        <v>5.0074898352236254E-2</v>
      </c>
      <c r="R143" s="102">
        <f t="shared" si="71"/>
        <v>5.7560627674750356E-2</v>
      </c>
      <c r="S143" s="102">
        <f t="shared" si="71"/>
        <v>8.3082022179614412E-2</v>
      </c>
      <c r="T143" s="102">
        <f t="shared" si="71"/>
        <v>0.11312404369640251</v>
      </c>
      <c r="U143" s="472">
        <v>9.076269594856487E-2</v>
      </c>
      <c r="V143" s="248"/>
    </row>
    <row r="144" spans="1:22" ht="3" customHeight="1">
      <c r="A144" s="110"/>
      <c r="B144" s="65"/>
      <c r="C144" s="65"/>
      <c r="E144" s="65"/>
      <c r="F144" s="75"/>
      <c r="G144" s="102"/>
      <c r="H144" s="102"/>
      <c r="I144" s="102"/>
      <c r="J144" s="102"/>
      <c r="K144" s="102"/>
      <c r="L144" s="102"/>
      <c r="M144" s="102"/>
      <c r="N144" s="102"/>
      <c r="O144" s="102"/>
      <c r="P144" s="102"/>
      <c r="Q144" s="102"/>
      <c r="R144" s="102"/>
      <c r="S144" s="102"/>
      <c r="T144" s="102"/>
      <c r="U144" s="472"/>
      <c r="V144" s="248"/>
    </row>
    <row r="145" spans="1:22">
      <c r="A145" s="110"/>
      <c r="B145" s="65"/>
      <c r="C145" s="65"/>
      <c r="D145" s="3" t="s">
        <v>216</v>
      </c>
      <c r="E145" s="65"/>
      <c r="F145" s="75"/>
      <c r="G145" s="75"/>
      <c r="H145" s="75"/>
      <c r="I145" s="75"/>
      <c r="J145" s="75"/>
      <c r="K145" s="75"/>
      <c r="L145" s="75"/>
      <c r="M145" s="75"/>
      <c r="N145" s="75"/>
      <c r="O145" s="75"/>
      <c r="P145" s="75"/>
      <c r="Q145" s="75"/>
      <c r="R145" s="75"/>
      <c r="S145" s="75"/>
      <c r="T145" s="75"/>
      <c r="U145" s="473"/>
      <c r="V145" s="193"/>
    </row>
    <row r="146" spans="1:22">
      <c r="A146" s="30">
        <v>30</v>
      </c>
      <c r="B146" s="3" t="s">
        <v>218</v>
      </c>
      <c r="C146" s="65"/>
      <c r="D146" s="65"/>
      <c r="E146" s="161" t="s">
        <v>214</v>
      </c>
      <c r="F146" s="75">
        <f>F14</f>
        <v>2377</v>
      </c>
      <c r="G146" s="75">
        <f t="shared" ref="G146:R146" si="72">G14</f>
        <v>2541</v>
      </c>
      <c r="H146" s="75">
        <f t="shared" si="72"/>
        <v>2340</v>
      </c>
      <c r="I146" s="75">
        <f t="shared" si="72"/>
        <v>2183</v>
      </c>
      <c r="J146" s="75">
        <f t="shared" si="72"/>
        <v>2168</v>
      </c>
      <c r="K146" s="75">
        <f t="shared" si="72"/>
        <v>30131</v>
      </c>
      <c r="L146" s="75">
        <f t="shared" si="72"/>
        <v>2372</v>
      </c>
      <c r="M146" s="75">
        <f t="shared" si="72"/>
        <v>68416</v>
      </c>
      <c r="N146" s="75">
        <f t="shared" si="72"/>
        <v>153093</v>
      </c>
      <c r="O146" s="75">
        <f t="shared" si="72"/>
        <v>84085</v>
      </c>
      <c r="P146" s="75">
        <f t="shared" si="72"/>
        <v>115257</v>
      </c>
      <c r="Q146" s="75">
        <f t="shared" si="72"/>
        <v>98841</v>
      </c>
      <c r="R146" s="75">
        <f t="shared" si="72"/>
        <v>68107</v>
      </c>
      <c r="S146" s="75">
        <f>S14</f>
        <v>403</v>
      </c>
      <c r="T146" s="75">
        <f>T14</f>
        <v>332</v>
      </c>
      <c r="U146" s="473">
        <v>7129</v>
      </c>
      <c r="V146" s="75">
        <f>V14</f>
        <v>1020</v>
      </c>
    </row>
    <row r="147" spans="1:22">
      <c r="A147" s="30">
        <v>31</v>
      </c>
      <c r="B147" s="3" t="s">
        <v>215</v>
      </c>
      <c r="C147" s="65"/>
      <c r="D147" s="65"/>
      <c r="E147" s="65"/>
      <c r="F147" s="75">
        <f>'Riders and Gas Cost Revenue'!H13</f>
        <v>-242</v>
      </c>
      <c r="G147" s="75">
        <f>'Riders and Gas Cost Revenue'!J13</f>
        <v>-244</v>
      </c>
      <c r="H147" s="75">
        <f>'Riders and Gas Cost Revenue'!L13</f>
        <v>-144</v>
      </c>
      <c r="I147" s="75">
        <f>'Riders and Gas Cost Revenue'!N13</f>
        <v>0</v>
      </c>
      <c r="J147" s="75">
        <f>'Riders and Gas Cost Revenue'!P13</f>
        <v>0</v>
      </c>
      <c r="K147" s="75">
        <f>'Riders and Gas Cost Revenue'!R13</f>
        <v>-28334</v>
      </c>
      <c r="L147" s="75">
        <f>'Riders and Gas Cost Revenue'!T13</f>
        <v>0</v>
      </c>
      <c r="M147" s="75">
        <f>'Riders and Gas Cost Revenue'!W13</f>
        <v>-66686</v>
      </c>
      <c r="N147" s="75">
        <f>'Riders and Gas Cost Revenue'!Z13</f>
        <v>-153018</v>
      </c>
      <c r="O147" s="75">
        <f>'Riders and Gas Cost Revenue'!AC13</f>
        <v>-83992</v>
      </c>
      <c r="P147" s="75">
        <f>'Riders and Gas Cost Revenue'!AF13</f>
        <v>-115193</v>
      </c>
      <c r="Q147" s="75">
        <f>'Riders and Gas Cost Revenue'!AI13</f>
        <v>-98794</v>
      </c>
      <c r="R147" s="75">
        <f>'Riders and Gas Cost Revenue'!AL13</f>
        <v>-67822</v>
      </c>
      <c r="S147" s="193">
        <f>'Riders and Gas Cost Revenue'!AO13</f>
        <v>0</v>
      </c>
      <c r="T147" s="193">
        <f>'Riders and Gas Cost Revenue'!AR13</f>
        <v>0</v>
      </c>
      <c r="U147" s="473">
        <v>0</v>
      </c>
      <c r="V147" s="193"/>
    </row>
    <row r="148" spans="1:22">
      <c r="A148" s="30">
        <v>32</v>
      </c>
      <c r="B148" s="3" t="s">
        <v>219</v>
      </c>
      <c r="C148" s="65"/>
      <c r="D148" s="65"/>
      <c r="E148" s="65"/>
      <c r="F148" s="75">
        <v>-2130</v>
      </c>
      <c r="G148" s="75">
        <v>-2289</v>
      </c>
      <c r="H148" s="75">
        <v>-2187</v>
      </c>
      <c r="I148" s="75">
        <v>-2174</v>
      </c>
      <c r="J148" s="75">
        <v>-2156</v>
      </c>
      <c r="K148" s="75">
        <v>-1723</v>
      </c>
      <c r="L148" s="75">
        <v>-2361</v>
      </c>
      <c r="M148" s="75">
        <v>-1717</v>
      </c>
      <c r="N148" s="75">
        <v>0</v>
      </c>
      <c r="O148" s="75">
        <v>0</v>
      </c>
      <c r="P148" s="75">
        <v>0</v>
      </c>
      <c r="Q148" s="75">
        <v>0</v>
      </c>
      <c r="R148" s="75">
        <v>0</v>
      </c>
      <c r="S148" s="75">
        <v>0</v>
      </c>
      <c r="T148" s="75">
        <v>0</v>
      </c>
      <c r="U148" s="473">
        <v>0</v>
      </c>
      <c r="V148" s="193"/>
    </row>
    <row r="149" spans="1:22">
      <c r="A149" s="30">
        <v>33</v>
      </c>
      <c r="B149" s="3" t="s">
        <v>262</v>
      </c>
      <c r="C149" s="65"/>
      <c r="D149" s="65"/>
      <c r="E149" s="65"/>
      <c r="F149" s="75"/>
      <c r="G149" s="75"/>
      <c r="H149" s="75"/>
      <c r="I149" s="75"/>
      <c r="J149" s="75"/>
      <c r="K149" s="75"/>
      <c r="L149" s="75"/>
      <c r="M149" s="75"/>
      <c r="N149" s="75"/>
      <c r="O149" s="75"/>
      <c r="P149" s="75"/>
      <c r="Q149" s="75"/>
      <c r="R149" s="75"/>
      <c r="S149" s="75"/>
      <c r="T149" s="75"/>
      <c r="U149" s="473">
        <v>-6914</v>
      </c>
      <c r="V149" s="193"/>
    </row>
    <row r="150" spans="1:22" ht="12.75" thickBot="1">
      <c r="A150" s="30">
        <v>34</v>
      </c>
      <c r="B150" s="65" t="s">
        <v>217</v>
      </c>
      <c r="C150" s="65"/>
      <c r="D150" s="65"/>
      <c r="E150" s="65"/>
      <c r="F150" s="62">
        <f>SUM(F146:F148)</f>
        <v>5</v>
      </c>
      <c r="G150" s="62">
        <f t="shared" ref="G150:R150" si="73">SUM(G146:G148)</f>
        <v>8</v>
      </c>
      <c r="H150" s="62">
        <f t="shared" si="73"/>
        <v>9</v>
      </c>
      <c r="I150" s="62">
        <f t="shared" si="73"/>
        <v>9</v>
      </c>
      <c r="J150" s="62">
        <f t="shared" si="73"/>
        <v>12</v>
      </c>
      <c r="K150" s="62">
        <f t="shared" si="73"/>
        <v>74</v>
      </c>
      <c r="L150" s="62">
        <f t="shared" si="73"/>
        <v>11</v>
      </c>
      <c r="M150" s="62">
        <f t="shared" si="73"/>
        <v>13</v>
      </c>
      <c r="N150" s="62">
        <f t="shared" si="73"/>
        <v>75</v>
      </c>
      <c r="O150" s="62">
        <f t="shared" si="73"/>
        <v>93</v>
      </c>
      <c r="P150" s="62">
        <f t="shared" si="73"/>
        <v>64</v>
      </c>
      <c r="Q150" s="62">
        <f t="shared" si="73"/>
        <v>47</v>
      </c>
      <c r="R150" s="62">
        <f t="shared" si="73"/>
        <v>285</v>
      </c>
      <c r="S150" s="62">
        <f>SUM(S146:S148)</f>
        <v>403</v>
      </c>
      <c r="T150" s="62">
        <f>SUM(T146:T148)</f>
        <v>332</v>
      </c>
      <c r="U150" s="471">
        <v>215</v>
      </c>
      <c r="V150" s="193"/>
    </row>
    <row r="151" spans="1:22" ht="12.75" thickTop="1">
      <c r="A151" s="30"/>
      <c r="B151" s="65"/>
      <c r="C151" s="65"/>
      <c r="D151" s="3" t="s">
        <v>187</v>
      </c>
      <c r="E151" s="65"/>
      <c r="F151" s="75"/>
      <c r="G151" s="102">
        <f>(G150-F150)/F150</f>
        <v>0.6</v>
      </c>
      <c r="H151" s="102">
        <f t="shared" ref="H151:T151" si="74">(H150-G150)/G150</f>
        <v>0.125</v>
      </c>
      <c r="I151" s="102">
        <f t="shared" si="74"/>
        <v>0</v>
      </c>
      <c r="J151" s="102">
        <f t="shared" si="74"/>
        <v>0.33333333333333331</v>
      </c>
      <c r="K151" s="102">
        <f t="shared" si="74"/>
        <v>5.166666666666667</v>
      </c>
      <c r="L151" s="102">
        <f t="shared" si="74"/>
        <v>-0.85135135135135132</v>
      </c>
      <c r="M151" s="102">
        <f t="shared" si="74"/>
        <v>0.18181818181818182</v>
      </c>
      <c r="N151" s="102">
        <f t="shared" si="74"/>
        <v>4.7692307692307692</v>
      </c>
      <c r="O151" s="102">
        <f t="shared" si="74"/>
        <v>0.24</v>
      </c>
      <c r="P151" s="102">
        <f t="shared" si="74"/>
        <v>-0.31182795698924731</v>
      </c>
      <c r="Q151" s="102">
        <f t="shared" si="74"/>
        <v>-0.265625</v>
      </c>
      <c r="R151" s="102">
        <f t="shared" si="74"/>
        <v>5.0638297872340425</v>
      </c>
      <c r="S151" s="102">
        <f t="shared" si="74"/>
        <v>0.41403508771929826</v>
      </c>
      <c r="T151" s="102">
        <f t="shared" si="74"/>
        <v>-0.17617866004962779</v>
      </c>
      <c r="U151" s="472">
        <v>-0.35240963855421686</v>
      </c>
      <c r="V151" s="248"/>
    </row>
    <row r="152" spans="1:22" ht="6.75" customHeight="1">
      <c r="A152" s="110"/>
      <c r="B152" s="65"/>
      <c r="C152" s="65"/>
      <c r="D152" s="65"/>
      <c r="E152" s="65"/>
      <c r="F152" s="75"/>
      <c r="G152" s="75"/>
      <c r="H152" s="75"/>
      <c r="I152" s="75"/>
      <c r="J152" s="75"/>
      <c r="K152" s="75"/>
      <c r="L152" s="75"/>
      <c r="M152" s="75"/>
      <c r="N152" s="75"/>
      <c r="O152" s="75"/>
      <c r="P152" s="75"/>
      <c r="Q152" s="75"/>
      <c r="R152" s="75"/>
    </row>
    <row r="153" spans="1:22" ht="12.75">
      <c r="A153" s="176" t="s">
        <v>43</v>
      </c>
      <c r="B153"/>
      <c r="C153"/>
      <c r="D153"/>
      <c r="E153"/>
      <c r="F153"/>
      <c r="G153"/>
      <c r="H153"/>
      <c r="I153"/>
      <c r="J153"/>
      <c r="K153"/>
      <c r="L153"/>
      <c r="M153"/>
      <c r="N153"/>
      <c r="O153"/>
      <c r="R153" s="4"/>
    </row>
    <row r="154" spans="1:22" ht="12.75">
      <c r="A154" s="176" t="s">
        <v>48</v>
      </c>
      <c r="B154"/>
      <c r="C154"/>
      <c r="D154"/>
      <c r="E154"/>
      <c r="F154"/>
      <c r="G154"/>
      <c r="H154"/>
      <c r="I154"/>
      <c r="J154"/>
      <c r="K154"/>
      <c r="L154"/>
      <c r="M154"/>
      <c r="N154"/>
      <c r="O154"/>
      <c r="R154" s="4"/>
    </row>
    <row r="155" spans="1:22" ht="12.75">
      <c r="A155" s="176" t="s">
        <v>87</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530" t="s">
        <v>171</v>
      </c>
      <c r="F157" s="530"/>
      <c r="G157" s="530"/>
      <c r="H157" s="530"/>
      <c r="I157" s="530"/>
      <c r="J157" s="530"/>
      <c r="K157" s="530"/>
      <c r="L157" s="530"/>
      <c r="M157" s="530"/>
      <c r="N157" s="530"/>
      <c r="O157" s="530"/>
      <c r="P157" s="530"/>
      <c r="Q157" s="530"/>
      <c r="R157" s="530"/>
      <c r="T157" s="222"/>
      <c r="U157" s="222"/>
      <c r="V157" s="243"/>
    </row>
    <row r="158" spans="1:22" ht="12.75">
      <c r="A158" s="71" t="s">
        <v>2</v>
      </c>
      <c r="B158" s="69" t="s">
        <v>73</v>
      </c>
      <c r="C158" s="69"/>
      <c r="D158" s="70"/>
      <c r="E158" s="70"/>
      <c r="F158" s="60"/>
      <c r="G158" s="178"/>
      <c r="H158" s="178" t="s">
        <v>74</v>
      </c>
      <c r="I158" s="178" t="s">
        <v>75</v>
      </c>
      <c r="J158" s="178" t="s">
        <v>76</v>
      </c>
      <c r="K158" s="178" t="s">
        <v>77</v>
      </c>
      <c r="L158" s="178" t="s">
        <v>78</v>
      </c>
      <c r="M158" s="178" t="s">
        <v>79</v>
      </c>
      <c r="N158" s="178" t="s">
        <v>80</v>
      </c>
      <c r="O158" s="178" t="s">
        <v>81</v>
      </c>
      <c r="P158" s="178" t="s">
        <v>82</v>
      </c>
      <c r="Q158" s="178" t="s">
        <v>83</v>
      </c>
      <c r="R158" s="178" t="s">
        <v>95</v>
      </c>
      <c r="S158" s="178" t="s">
        <v>223</v>
      </c>
      <c r="T158" s="178" t="s">
        <v>237</v>
      </c>
      <c r="U158" s="245" t="s">
        <v>237</v>
      </c>
      <c r="V158" s="249"/>
    </row>
    <row r="159" spans="1:22" ht="12.75">
      <c r="B159"/>
      <c r="C159"/>
      <c r="D159"/>
      <c r="E159"/>
      <c r="F159"/>
      <c r="G159"/>
      <c r="H159"/>
      <c r="I159"/>
      <c r="J159"/>
      <c r="K159"/>
      <c r="L159"/>
      <c r="M159"/>
      <c r="N159"/>
      <c r="O159"/>
      <c r="R159" s="4"/>
      <c r="S159" s="4"/>
      <c r="T159" s="4"/>
      <c r="U159" s="29"/>
      <c r="V159" s="193"/>
    </row>
    <row r="160" spans="1:22" ht="12.75">
      <c r="A160" s="22">
        <v>1</v>
      </c>
      <c r="B160" s="64" t="s">
        <v>196</v>
      </c>
      <c r="C160"/>
      <c r="D160"/>
      <c r="E160"/>
      <c r="F160"/>
      <c r="G160" s="68"/>
      <c r="H160" s="68">
        <f t="shared" ref="H160:R160" si="75">(H113-G113)/G113</f>
        <v>0.20406295754026355</v>
      </c>
      <c r="I160" s="68">
        <f t="shared" si="75"/>
        <v>5.5834219992906726E-2</v>
      </c>
      <c r="J160" s="68">
        <f t="shared" si="75"/>
        <v>-3.8101636354911463E-2</v>
      </c>
      <c r="K160" s="68">
        <f t="shared" si="75"/>
        <v>3.1578947368421054E-2</v>
      </c>
      <c r="L160" s="68">
        <f t="shared" si="75"/>
        <v>-3.3852403520649968E-3</v>
      </c>
      <c r="M160" s="68">
        <f t="shared" si="75"/>
        <v>3.3336568322981368E-2</v>
      </c>
      <c r="N160" s="68">
        <f t="shared" si="75"/>
        <v>2.7565156139938953E-2</v>
      </c>
      <c r="O160" s="68">
        <f t="shared" si="75"/>
        <v>0.12750205648478202</v>
      </c>
      <c r="P160" s="68">
        <f t="shared" si="75"/>
        <v>5.6217574578469522E-2</v>
      </c>
      <c r="Q160" s="68">
        <f t="shared" si="75"/>
        <v>7.079523166660262E-2</v>
      </c>
      <c r="R160" s="68">
        <f t="shared" si="75"/>
        <v>0.10393357017857532</v>
      </c>
      <c r="S160" s="68">
        <f>(S113-R113)/R113</f>
        <v>9.6091416699129982E-3</v>
      </c>
      <c r="T160" s="68">
        <f>(T113-S113)/S113</f>
        <v>1.3633440514469453E-2</v>
      </c>
      <c r="U160" s="76">
        <v>0.10856669005549531</v>
      </c>
      <c r="V160" s="103"/>
    </row>
    <row r="161" spans="1:25" ht="12.75">
      <c r="B161"/>
      <c r="C161"/>
      <c r="D161"/>
      <c r="E161"/>
      <c r="F161"/>
      <c r="G161"/>
      <c r="H161"/>
      <c r="I161"/>
      <c r="J161"/>
      <c r="K161"/>
      <c r="L161"/>
      <c r="M161"/>
      <c r="N161"/>
      <c r="O161"/>
      <c r="R161" s="4"/>
      <c r="S161" s="4"/>
      <c r="T161" s="4"/>
      <c r="U161" s="29"/>
      <c r="V161" s="193"/>
    </row>
    <row r="162" spans="1:25" ht="12.75">
      <c r="A162" s="22">
        <v>2</v>
      </c>
      <c r="B162" s="64" t="s">
        <v>231</v>
      </c>
      <c r="C162"/>
      <c r="D162"/>
      <c r="E162"/>
      <c r="F162"/>
      <c r="G162" s="68"/>
      <c r="H162" s="68">
        <f t="shared" ref="H162:T162" si="76">(H120-G120)/G120</f>
        <v>6.0097833682739341E-2</v>
      </c>
      <c r="I162" s="68">
        <f t="shared" si="76"/>
        <v>5.1252471984179301E-2</v>
      </c>
      <c r="J162" s="68">
        <f t="shared" si="76"/>
        <v>1.8811725975858284E-3</v>
      </c>
      <c r="K162" s="68">
        <f t="shared" si="76"/>
        <v>5.4764512595837894E-2</v>
      </c>
      <c r="L162" s="68">
        <f t="shared" si="76"/>
        <v>3.2932799287939477E-2</v>
      </c>
      <c r="M162" s="68">
        <f t="shared" si="76"/>
        <v>6.4627315812149935E-2</v>
      </c>
      <c r="N162" s="68">
        <f t="shared" si="76"/>
        <v>4.5730473492513156E-2</v>
      </c>
      <c r="O162" s="68">
        <f t="shared" si="76"/>
        <v>9.0815273477812181E-2</v>
      </c>
      <c r="P162" s="68">
        <f t="shared" si="76"/>
        <v>7.9351939451277206E-2</v>
      </c>
      <c r="Q162" s="68">
        <f t="shared" si="76"/>
        <v>7.1326832475073959E-2</v>
      </c>
      <c r="R162" s="68">
        <f t="shared" si="76"/>
        <v>9.3475148292084267E-2</v>
      </c>
      <c r="S162" s="68">
        <f t="shared" si="76"/>
        <v>0.1385147774036663</v>
      </c>
      <c r="T162" s="68">
        <f t="shared" si="76"/>
        <v>9.2910539719050361E-2</v>
      </c>
      <c r="U162" s="76">
        <v>0.1407095610342754</v>
      </c>
      <c r="V162" s="103"/>
    </row>
    <row r="163" spans="1:25" ht="12.75">
      <c r="B163"/>
      <c r="C163"/>
      <c r="D163"/>
      <c r="E163"/>
      <c r="F163"/>
      <c r="G163"/>
      <c r="H163"/>
      <c r="I163"/>
      <c r="J163"/>
      <c r="K163"/>
      <c r="L163"/>
      <c r="M163"/>
      <c r="N163"/>
      <c r="O163"/>
      <c r="R163" s="4"/>
      <c r="S163" s="4"/>
      <c r="T163" s="4"/>
      <c r="U163" s="29"/>
      <c r="V163" s="193"/>
    </row>
    <row r="164" spans="1:25" ht="12.75">
      <c r="A164" s="22">
        <v>3</v>
      </c>
      <c r="B164" s="65" t="s">
        <v>233</v>
      </c>
      <c r="C164"/>
      <c r="D164"/>
      <c r="E164"/>
      <c r="F164"/>
      <c r="G164" s="68"/>
      <c r="H164" s="68">
        <f t="shared" ref="H164:T164" si="77">(H136-G136)/G136</f>
        <v>0.192689964732286</v>
      </c>
      <c r="I164" s="68">
        <f t="shared" si="77"/>
        <v>-9.4892473118279572E-2</v>
      </c>
      <c r="J164" s="68">
        <f t="shared" si="77"/>
        <v>0.1182061182061182</v>
      </c>
      <c r="K164" s="76">
        <f t="shared" si="77"/>
        <v>-0.10836653386454183</v>
      </c>
      <c r="L164" s="68">
        <f t="shared" si="77"/>
        <v>6.9109323801012812E-2</v>
      </c>
      <c r="M164" s="68">
        <f t="shared" si="77"/>
        <v>-1.337419894120925E-2</v>
      </c>
      <c r="N164" s="68">
        <f t="shared" si="77"/>
        <v>-0.16379553798362045</v>
      </c>
      <c r="O164" s="68">
        <f t="shared" si="77"/>
        <v>0.25903411009793986</v>
      </c>
      <c r="P164" s="68">
        <f t="shared" si="77"/>
        <v>2.8433476394849784E-2</v>
      </c>
      <c r="Q164" s="68">
        <f t="shared" si="77"/>
        <v>0.12589314736567569</v>
      </c>
      <c r="R164" s="68">
        <f t="shared" si="77"/>
        <v>6.3781896002181149E-2</v>
      </c>
      <c r="S164" s="68">
        <f t="shared" si="77"/>
        <v>0.13044425087108014</v>
      </c>
      <c r="T164" s="68">
        <f t="shared" si="77"/>
        <v>6.3956848391446733E-2</v>
      </c>
      <c r="U164" s="76">
        <v>5.4318305268875608E-3</v>
      </c>
      <c r="V164" s="103"/>
    </row>
    <row r="165" spans="1:25" ht="12.75">
      <c r="B165"/>
      <c r="C165"/>
      <c r="D165"/>
      <c r="E165"/>
      <c r="F165"/>
      <c r="G165"/>
      <c r="H165"/>
      <c r="I165"/>
      <c r="J165"/>
      <c r="K165"/>
      <c r="L165"/>
      <c r="M165"/>
      <c r="N165"/>
      <c r="O165"/>
      <c r="R165" s="4"/>
      <c r="S165" s="4"/>
      <c r="T165" s="4"/>
      <c r="U165" s="29"/>
      <c r="V165" s="193"/>
    </row>
    <row r="166" spans="1:25" ht="12.75">
      <c r="A166" s="22">
        <v>4</v>
      </c>
      <c r="B166" s="66" t="s">
        <v>50</v>
      </c>
      <c r="C166"/>
      <c r="D166"/>
      <c r="E166"/>
      <c r="F166"/>
      <c r="G166" s="68"/>
      <c r="H166" s="68">
        <f t="shared" ref="H166:T166" si="78">(H84-G84)/G84</f>
        <v>1.8532818532818532E-3</v>
      </c>
      <c r="I166" s="68">
        <f t="shared" si="78"/>
        <v>-3.619546785879451E-2</v>
      </c>
      <c r="J166" s="68">
        <f t="shared" si="78"/>
        <v>-7.5173538914302164E-4</v>
      </c>
      <c r="K166" s="68">
        <f t="shared" si="78"/>
        <v>6.1360544217687073E-2</v>
      </c>
      <c r="L166" s="68">
        <f t="shared" si="78"/>
        <v>6.1621059140230888E-2</v>
      </c>
      <c r="M166" s="68">
        <f t="shared" si="78"/>
        <v>3.3461420991696793E-2</v>
      </c>
      <c r="N166" s="68">
        <f t="shared" si="78"/>
        <v>5.8790378006872854E-2</v>
      </c>
      <c r="O166" s="68">
        <f t="shared" si="78"/>
        <v>0.12821478182974802</v>
      </c>
      <c r="P166" s="68">
        <f t="shared" si="78"/>
        <v>2.3560751642636043E-2</v>
      </c>
      <c r="Q166" s="68">
        <f t="shared" si="78"/>
        <v>3.177047908668304E-2</v>
      </c>
      <c r="R166" s="68">
        <f t="shared" si="78"/>
        <v>6.3927040146442723E-2</v>
      </c>
      <c r="S166" s="68">
        <f t="shared" si="78"/>
        <v>6.3864978211555304E-2</v>
      </c>
      <c r="T166" s="68">
        <f t="shared" si="78"/>
        <v>8.7322330199895076E-2</v>
      </c>
      <c r="U166" s="76">
        <v>8.2983253726189796E-2</v>
      </c>
      <c r="V166" s="103"/>
    </row>
    <row r="167" spans="1:25" ht="12.75">
      <c r="B167" s="66"/>
      <c r="C167"/>
      <c r="D167"/>
      <c r="E167"/>
      <c r="F167"/>
      <c r="G167" s="68"/>
      <c r="H167" s="68"/>
      <c r="I167" s="68"/>
      <c r="J167" s="68"/>
      <c r="K167" s="68"/>
      <c r="L167" s="68"/>
      <c r="M167" s="68"/>
      <c r="N167" s="68"/>
      <c r="O167" s="68"/>
      <c r="P167" s="68"/>
      <c r="Q167" s="68"/>
      <c r="R167" s="68"/>
      <c r="S167" s="68"/>
      <c r="T167" s="68"/>
      <c r="U167" s="76"/>
      <c r="V167" s="103"/>
    </row>
    <row r="168" spans="1:25" ht="12.75">
      <c r="A168" s="22">
        <v>5</v>
      </c>
      <c r="B168" s="66" t="s">
        <v>72</v>
      </c>
      <c r="C168"/>
      <c r="D168"/>
      <c r="E168"/>
      <c r="F168"/>
      <c r="G168" s="68"/>
      <c r="H168" s="68">
        <f t="shared" ref="H168:T168" si="79">(H91-G91)/G91</f>
        <v>6.1834066290841474E-3</v>
      </c>
      <c r="I168" s="68">
        <f t="shared" si="79"/>
        <v>-3.4723750018333555E-2</v>
      </c>
      <c r="J168" s="68">
        <f t="shared" si="79"/>
        <v>-6.9058779733641275E-3</v>
      </c>
      <c r="K168" s="68">
        <f t="shared" si="79"/>
        <v>7.709726281001851E-2</v>
      </c>
      <c r="L168" s="68">
        <f t="shared" si="79"/>
        <v>6.0839796585130258E-2</v>
      </c>
      <c r="M168" s="68">
        <f t="shared" si="79"/>
        <v>1.5646549992635341E-2</v>
      </c>
      <c r="N168" s="68">
        <f t="shared" si="79"/>
        <v>0.11853736675917442</v>
      </c>
      <c r="O168" s="68">
        <f t="shared" si="79"/>
        <v>6.5399190245224864E-2</v>
      </c>
      <c r="P168" s="68">
        <f t="shared" si="79"/>
        <v>3.3975373109559795E-2</v>
      </c>
      <c r="Q168" s="68">
        <f t="shared" si="79"/>
        <v>5.0074898352236254E-2</v>
      </c>
      <c r="R168" s="68">
        <f t="shared" si="79"/>
        <v>5.7560627674750356E-2</v>
      </c>
      <c r="S168" s="68">
        <f t="shared" si="79"/>
        <v>8.3082022179614412E-2</v>
      </c>
      <c r="T168" s="68">
        <f t="shared" si="79"/>
        <v>0.11312404369640251</v>
      </c>
      <c r="U168" s="76">
        <v>9.076269594856487E-2</v>
      </c>
      <c r="V168" s="103"/>
    </row>
    <row r="169" spans="1:25" ht="12.75">
      <c r="B169" s="66"/>
      <c r="C169"/>
      <c r="D169"/>
      <c r="E169"/>
      <c r="F169"/>
      <c r="G169" s="68"/>
      <c r="H169" s="68"/>
      <c r="I169" s="68"/>
      <c r="J169" s="68"/>
      <c r="K169" s="68"/>
      <c r="L169" s="68"/>
      <c r="M169" s="68"/>
      <c r="N169" s="68"/>
      <c r="O169" s="68"/>
      <c r="P169" s="68"/>
      <c r="Q169" s="68"/>
      <c r="R169" s="68"/>
      <c r="S169" s="68"/>
      <c r="T169" s="68"/>
      <c r="U169" s="76"/>
      <c r="V169" s="103"/>
    </row>
    <row r="170" spans="1:25" ht="12.75">
      <c r="A170" s="22">
        <v>6</v>
      </c>
      <c r="B170" s="66" t="s">
        <v>127</v>
      </c>
      <c r="C170"/>
      <c r="D170"/>
      <c r="E170"/>
      <c r="F170"/>
      <c r="H170" s="187" t="s">
        <v>221</v>
      </c>
      <c r="I170" s="68"/>
      <c r="J170" s="68"/>
      <c r="K170" s="68"/>
      <c r="L170" s="68"/>
      <c r="M170" s="68"/>
      <c r="N170" s="68"/>
      <c r="O170" s="68"/>
      <c r="P170" s="68"/>
      <c r="Q170" s="68"/>
      <c r="R170" s="68"/>
      <c r="S170" s="68"/>
      <c r="T170" s="68"/>
      <c r="U170" s="76"/>
      <c r="V170" s="103"/>
      <c r="Y170" s="198"/>
    </row>
    <row r="171" spans="1:25" ht="12.75">
      <c r="B171"/>
      <c r="C171"/>
      <c r="D171"/>
      <c r="E171"/>
      <c r="F171"/>
      <c r="G171"/>
      <c r="H171"/>
      <c r="I171"/>
      <c r="J171"/>
      <c r="K171"/>
      <c r="L171"/>
      <c r="M171"/>
      <c r="N171"/>
      <c r="O171"/>
      <c r="R171" s="4"/>
      <c r="S171" s="4"/>
      <c r="T171" s="4"/>
      <c r="U171" s="29"/>
      <c r="V171" s="193"/>
    </row>
    <row r="172" spans="1:25" ht="12.75">
      <c r="B172" s="69" t="s">
        <v>255</v>
      </c>
      <c r="C172" s="69"/>
      <c r="D172" s="70"/>
      <c r="E172" s="70"/>
      <c r="F172" s="60"/>
      <c r="G172" s="178"/>
      <c r="H172" s="178" t="s">
        <v>238</v>
      </c>
      <c r="I172" s="178" t="s">
        <v>239</v>
      </c>
      <c r="J172" s="178" t="s">
        <v>240</v>
      </c>
      <c r="K172" s="178" t="s">
        <v>241</v>
      </c>
      <c r="L172" s="178" t="s">
        <v>242</v>
      </c>
      <c r="M172" s="178" t="s">
        <v>243</v>
      </c>
      <c r="N172" s="178" t="s">
        <v>244</v>
      </c>
      <c r="O172" s="178" t="s">
        <v>245</v>
      </c>
      <c r="P172" s="178" t="s">
        <v>246</v>
      </c>
      <c r="Q172" s="178" t="s">
        <v>247</v>
      </c>
      <c r="R172" s="178" t="s">
        <v>248</v>
      </c>
      <c r="S172" s="178" t="s">
        <v>236</v>
      </c>
      <c r="T172" s="178" t="s">
        <v>237</v>
      </c>
      <c r="U172" s="245" t="s">
        <v>237</v>
      </c>
      <c r="V172" s="249"/>
    </row>
    <row r="173" spans="1:25" ht="6.75" customHeight="1" thickBot="1">
      <c r="B173"/>
      <c r="C173"/>
      <c r="D173"/>
      <c r="E173"/>
      <c r="F173"/>
      <c r="G173"/>
      <c r="H173"/>
      <c r="I173"/>
      <c r="J173"/>
      <c r="K173"/>
      <c r="L173"/>
      <c r="M173"/>
      <c r="N173"/>
      <c r="O173"/>
      <c r="R173" s="4"/>
      <c r="S173" s="4"/>
      <c r="T173" s="4"/>
      <c r="U173" s="29"/>
      <c r="V173" s="193"/>
    </row>
    <row r="174" spans="1:25" ht="12.75">
      <c r="A174" s="22">
        <v>7</v>
      </c>
      <c r="B174" s="64" t="s">
        <v>196</v>
      </c>
      <c r="C174"/>
      <c r="D174"/>
      <c r="E174"/>
      <c r="F174"/>
      <c r="G174" s="68"/>
      <c r="H174" s="68">
        <f>RATE(13,,-G113,$T113)</f>
        <v>5.1591034678929677E-2</v>
      </c>
      <c r="I174" s="68">
        <f>RATE(12,,-H113,$T113)</f>
        <v>3.9792502212037513E-2</v>
      </c>
      <c r="J174" s="68">
        <f>RATE(11,,-I113,$T113)</f>
        <v>3.8346305984760895E-2</v>
      </c>
      <c r="K174" s="68">
        <f>RATE(10,,-J113,$T113)</f>
        <v>4.6317588487273929E-2</v>
      </c>
      <c r="L174" s="68">
        <f>RATE(9,,-K113,$T113)</f>
        <v>4.796815924377984E-2</v>
      </c>
      <c r="M174" s="68">
        <f>RATE(8,,-L113,$T113)</f>
        <v>5.4570659545203577E-2</v>
      </c>
      <c r="N174" s="204">
        <f>RATE(7,,-M113,$T113)</f>
        <v>5.7639513627588755E-2</v>
      </c>
      <c r="O174" s="68">
        <f>RATE(6,,-N113,$T113)</f>
        <v>6.2736795394909076E-2</v>
      </c>
      <c r="P174" s="68">
        <f>RATE(5,,-O113,$T113)</f>
        <v>5.0237188661023835E-2</v>
      </c>
      <c r="Q174" s="68">
        <f>RATE(4,,-P113,$T113)</f>
        <v>4.8747390534768058E-2</v>
      </c>
      <c r="R174" s="68">
        <f>RATE(3,,-Q113,$T113)</f>
        <v>4.1499457643367529E-2</v>
      </c>
      <c r="S174" s="68">
        <f>RATE(2,,-R113,$T113)</f>
        <v>1.1619289973127441E-2</v>
      </c>
      <c r="T174" s="68">
        <f>RATE(1,,-S113,$T113)</f>
        <v>1.3633440514469436E-2</v>
      </c>
      <c r="U174" s="76">
        <v>3.9619459789916618E-17</v>
      </c>
      <c r="V174" s="103"/>
    </row>
    <row r="175" spans="1:25" ht="8.25" customHeight="1">
      <c r="B175" s="64"/>
      <c r="C175"/>
      <c r="D175"/>
      <c r="E175"/>
      <c r="F175"/>
      <c r="G175" s="68"/>
      <c r="H175" s="68"/>
      <c r="I175" s="68"/>
      <c r="J175" s="68"/>
      <c r="K175" s="68"/>
      <c r="L175" s="68"/>
      <c r="M175" s="68"/>
      <c r="N175" s="203"/>
      <c r="O175" s="68"/>
      <c r="P175" s="68"/>
      <c r="Q175" s="68"/>
      <c r="R175" s="68"/>
      <c r="S175" s="68"/>
      <c r="T175" s="68"/>
      <c r="U175" s="76"/>
      <c r="V175" s="103"/>
    </row>
    <row r="176" spans="1:25" ht="12.75">
      <c r="A176" s="22" t="s">
        <v>172</v>
      </c>
      <c r="B176" s="185" t="s">
        <v>253</v>
      </c>
      <c r="C176"/>
      <c r="D176"/>
      <c r="E176"/>
      <c r="F176"/>
      <c r="G176" s="68"/>
      <c r="H176" s="68"/>
      <c r="I176" s="68"/>
      <c r="J176" s="68"/>
      <c r="K176" s="68"/>
      <c r="L176" s="68"/>
      <c r="M176" s="68"/>
      <c r="N176" s="223">
        <v>0.03</v>
      </c>
      <c r="O176" s="68"/>
      <c r="P176" s="68"/>
      <c r="Q176" s="68"/>
      <c r="R176" s="68"/>
      <c r="S176" s="68"/>
      <c r="T176" s="68"/>
      <c r="U176" s="76"/>
      <c r="V176" s="103"/>
    </row>
    <row r="177" spans="1:25" ht="4.5" customHeight="1">
      <c r="B177" s="64"/>
      <c r="C177"/>
      <c r="D177"/>
      <c r="E177"/>
      <c r="F177"/>
      <c r="G177" s="106"/>
      <c r="H177" s="68"/>
      <c r="I177" s="68"/>
      <c r="J177" s="68"/>
      <c r="K177" s="68"/>
      <c r="L177" s="68"/>
      <c r="M177" s="68"/>
      <c r="N177" s="205"/>
      <c r="O177" s="68"/>
      <c r="P177" s="68"/>
      <c r="Q177" s="68"/>
      <c r="R177" s="68"/>
      <c r="S177" s="68"/>
      <c r="T177" s="68"/>
      <c r="U177" s="76"/>
      <c r="V177" s="103"/>
    </row>
    <row r="178" spans="1:25" ht="12.75">
      <c r="A178" s="22">
        <v>9</v>
      </c>
      <c r="B178" s="64" t="s">
        <v>231</v>
      </c>
      <c r="C178"/>
      <c r="D178"/>
      <c r="E178"/>
      <c r="F178"/>
      <c r="G178" s="106"/>
      <c r="H178" s="68">
        <f>RATE(13,,-G120,$T120)</f>
        <v>6.702743374683795E-2</v>
      </c>
      <c r="I178" s="68">
        <f>RATE(12,,-H120,$T120)</f>
        <v>6.7606941008443708E-2</v>
      </c>
      <c r="J178" s="68">
        <f>RATE(11,,-I120,$T120)</f>
        <v>6.9106268173088167E-2</v>
      </c>
      <c r="K178" s="68">
        <f>RATE(10,,-J120,$T120)</f>
        <v>7.6072027034380249E-2</v>
      </c>
      <c r="L178" s="68">
        <f>RATE(9,,-K120,$T120)</f>
        <v>7.8465941315540244E-2</v>
      </c>
      <c r="M178" s="68">
        <f>RATE(8,,-L120,$T120)</f>
        <v>8.4296934954186942E-2</v>
      </c>
      <c r="N178" s="206">
        <f>RATE(7,,-M120,$T120)</f>
        <v>8.7136391223947646E-2</v>
      </c>
      <c r="O178" s="68">
        <f>RATE(6,,-N120,$T120)</f>
        <v>9.4195049014548005E-2</v>
      </c>
      <c r="P178" s="68">
        <f>RATE(5,,-O120,$T120)</f>
        <v>9.4872259710231069E-2</v>
      </c>
      <c r="Q178" s="68">
        <f>RATE(4,,-P120,$T120)</f>
        <v>9.8787085714715756E-2</v>
      </c>
      <c r="R178" s="68">
        <f>RATE(3,,-Q120,$T120)</f>
        <v>0.10809603554063664</v>
      </c>
      <c r="S178" s="68">
        <f>RATE(2,,-R120,$T120)</f>
        <v>0.11547962771641652</v>
      </c>
      <c r="T178" s="68">
        <f>RATE(1,,-S120,$T120)</f>
        <v>9.2910539719050209E-2</v>
      </c>
      <c r="U178" s="76">
        <v>5.0671032813615503E-17</v>
      </c>
      <c r="V178" s="103"/>
    </row>
    <row r="179" spans="1:25" ht="5.25" customHeight="1">
      <c r="B179" s="64"/>
      <c r="C179"/>
      <c r="D179" s="67"/>
      <c r="E179" s="67"/>
      <c r="F179"/>
      <c r="G179" s="107"/>
      <c r="H179" s="73"/>
      <c r="I179" s="73"/>
      <c r="J179" s="73"/>
      <c r="K179" s="73"/>
      <c r="L179" s="73"/>
      <c r="M179" s="73"/>
      <c r="N179" s="205"/>
      <c r="O179" s="73"/>
      <c r="P179" s="73"/>
      <c r="Q179" s="73"/>
      <c r="R179" s="73"/>
      <c r="S179" s="73"/>
      <c r="T179" s="73"/>
      <c r="U179" s="244"/>
      <c r="V179" s="250"/>
      <c r="Y179" s="199"/>
    </row>
    <row r="180" spans="1:25" ht="12.75">
      <c r="A180" s="22">
        <v>10</v>
      </c>
      <c r="B180" s="65" t="s">
        <v>233</v>
      </c>
      <c r="C180"/>
      <c r="D180"/>
      <c r="E180"/>
      <c r="F180"/>
      <c r="G180" s="106"/>
      <c r="H180" s="68">
        <f>RATE(13,,-G136,$T136)</f>
        <v>4.4934829633029992E-2</v>
      </c>
      <c r="I180" s="68">
        <f>RATE(12,,-H136,$T136)</f>
        <v>3.3481424809416356E-2</v>
      </c>
      <c r="J180" s="68">
        <f>RATE(11,,-I136,$T136)</f>
        <v>4.6018260340206694E-2</v>
      </c>
      <c r="K180" s="68">
        <f>RATE(10,,-J136,$T136)</f>
        <v>3.9060908848030214E-2</v>
      </c>
      <c r="L180" s="76">
        <f>RATE(9,,-K136,$T136)</f>
        <v>5.6877995291895043E-2</v>
      </c>
      <c r="M180" s="68">
        <f>RATE(8,,-L136,$T136)</f>
        <v>5.5358951389711968E-2</v>
      </c>
      <c r="N180" s="223">
        <f>RATE(7,,-M136,$T136)</f>
        <v>6.5561315184392552E-2</v>
      </c>
      <c r="O180" s="68">
        <f>RATE(6,,-N136,$T136)</f>
        <v>0.10948841714983193</v>
      </c>
      <c r="P180" s="68">
        <f>RATE(5,,-O136,$T136)</f>
        <v>8.178219194971563E-2</v>
      </c>
      <c r="Q180" s="68">
        <f>RATE(4,,-P136,$T136)</f>
        <v>9.5546292996307972E-2</v>
      </c>
      <c r="R180" s="68">
        <f>RATE(3,,-Q136,$T136)</f>
        <v>8.5613544114414325E-2</v>
      </c>
      <c r="S180" s="68">
        <f>RATE(2,,-R136,$T136)</f>
        <v>9.6696814274166792E-2</v>
      </c>
      <c r="T180" s="68">
        <f>RATE(1,,-S136,$T136)</f>
        <v>6.3956848391446858E-2</v>
      </c>
      <c r="U180" s="76">
        <v>-8.3131039622259519E-17</v>
      </c>
      <c r="V180" s="103"/>
      <c r="Y180" s="199"/>
    </row>
    <row r="181" spans="1:25" ht="9" customHeight="1">
      <c r="B181"/>
      <c r="C181"/>
      <c r="D181" s="67"/>
      <c r="E181" s="67"/>
      <c r="F181"/>
      <c r="G181" s="73"/>
      <c r="H181" s="73"/>
      <c r="I181" s="73"/>
      <c r="J181" s="73"/>
      <c r="K181" s="73"/>
      <c r="L181" s="73"/>
      <c r="M181" s="73"/>
      <c r="N181" s="205"/>
      <c r="O181" s="73"/>
      <c r="P181" s="73"/>
      <c r="Q181" s="73"/>
      <c r="R181" s="73"/>
      <c r="S181" s="73"/>
      <c r="T181" s="73"/>
      <c r="U181" s="244"/>
      <c r="V181" s="250"/>
      <c r="Y181" s="199"/>
    </row>
    <row r="182" spans="1:25" ht="12.75">
      <c r="A182" s="22">
        <v>11</v>
      </c>
      <c r="B182" s="66" t="s">
        <v>232</v>
      </c>
      <c r="D182" s="67"/>
      <c r="E182" s="67"/>
      <c r="G182" s="68"/>
      <c r="H182" s="68">
        <f>RATE(13,,-G84,$T84)</f>
        <v>4.3730410255582379E-2</v>
      </c>
      <c r="I182" s="68">
        <f>RATE(12,,-H84,$T84)</f>
        <v>4.7298194879917793E-2</v>
      </c>
      <c r="J182" s="68">
        <f>RATE(11,,-I84,$T84)</f>
        <v>5.5238144078790206E-2</v>
      </c>
      <c r="K182" s="68">
        <f>RATE(10,,-J84,$T84)</f>
        <v>6.10068537216331E-2</v>
      </c>
      <c r="L182" s="68">
        <f>RATE(9,,-K84,$T84)</f>
        <v>6.0967562053945878E-2</v>
      </c>
      <c r="M182" s="68">
        <f>RATE(8,,-L84,$T84)</f>
        <v>6.0885903207858326E-2</v>
      </c>
      <c r="N182" s="206">
        <f>RATE(7,,-M84,$T84)</f>
        <v>6.4862649639835332E-2</v>
      </c>
      <c r="O182" s="68">
        <f>RATE(6,,-N84,$T84)</f>
        <v>6.5878075306076089E-2</v>
      </c>
      <c r="P182" s="68">
        <f>RATE(5,,-O84,$T84)</f>
        <v>5.3830291191638957E-2</v>
      </c>
      <c r="Q182" s="68">
        <f>RATE(4,,-P84,$T84)</f>
        <v>6.1536523065830108E-2</v>
      </c>
      <c r="R182" s="68">
        <f>RATE(3,,-Q84,$T84)</f>
        <v>7.1648158788648622E-2</v>
      </c>
      <c r="S182" s="68">
        <f>RATE(2,,-R84,$T84)</f>
        <v>7.5529705367104349E-2</v>
      </c>
      <c r="T182" s="68">
        <f>RATE(1,,-S84,$T84)</f>
        <v>8.7322330199895007E-2</v>
      </c>
      <c r="U182" s="76">
        <v>3.3903672561772294E-17</v>
      </c>
      <c r="V182" s="103"/>
      <c r="Y182" s="199"/>
    </row>
    <row r="183" spans="1:25" ht="7.5" customHeight="1">
      <c r="B183" s="66"/>
      <c r="D183" s="67"/>
      <c r="E183" s="67"/>
      <c r="G183" s="68"/>
      <c r="H183" s="68"/>
      <c r="I183" s="68"/>
      <c r="J183" s="68"/>
      <c r="K183" s="68"/>
      <c r="L183" s="68"/>
      <c r="M183" s="68"/>
      <c r="N183" s="205"/>
      <c r="O183" s="68"/>
      <c r="P183" s="68"/>
      <c r="Q183" s="68"/>
      <c r="R183" s="68"/>
      <c r="S183" s="68"/>
      <c r="T183" s="68"/>
      <c r="U183" s="76"/>
      <c r="V183" s="103"/>
      <c r="Y183" s="199"/>
    </row>
    <row r="184" spans="1:25" ht="13.5" thickBot="1">
      <c r="A184" s="22">
        <v>12</v>
      </c>
      <c r="B184" s="66" t="s">
        <v>72</v>
      </c>
      <c r="C184"/>
      <c r="D184"/>
      <c r="E184"/>
      <c r="F184"/>
      <c r="G184" s="68"/>
      <c r="H184" s="68">
        <f>RATE(13,,-G91,$T91)</f>
        <v>4.8310659267959646E-2</v>
      </c>
      <c r="I184" s="68">
        <f>RATE(12,,-H91,$T91)</f>
        <v>5.1899880999887391E-2</v>
      </c>
      <c r="J184" s="68">
        <f>RATE(11,,-I91,$T91)</f>
        <v>6.0150167870031787E-2</v>
      </c>
      <c r="K184" s="68">
        <f>RATE(10,,-J91,$T91)</f>
        <v>6.7099911677334187E-2</v>
      </c>
      <c r="L184" s="68">
        <f>RATE(9,,-K91,$T91)</f>
        <v>6.599483866669191E-2</v>
      </c>
      <c r="M184" s="68">
        <f>RATE(8,,-L91,$T91)</f>
        <v>6.6640977792237432E-2</v>
      </c>
      <c r="N184" s="224">
        <f>RATE(7,,-M91,$T91)</f>
        <v>7.4131975528255734E-2</v>
      </c>
      <c r="O184" s="68">
        <f>RATE(6,,-N91,$T91)</f>
        <v>6.6904392588354428E-2</v>
      </c>
      <c r="P184" s="68">
        <f>RATE(5,,-O91,$T91)</f>
        <v>6.7205688147962531E-2</v>
      </c>
      <c r="Q184" s="68">
        <f>RATE(4,,-P91,$T91)</f>
        <v>7.567881488245097E-2</v>
      </c>
      <c r="R184" s="68">
        <f>RATE(3,,-Q91,$T91)</f>
        <v>8.4351442625100928E-2</v>
      </c>
      <c r="S184" s="68">
        <f>RATE(2,,-R91,$T91)</f>
        <v>9.800029152248374E-2</v>
      </c>
      <c r="T184" s="68">
        <f>RATE(1,,-S91,$T91)</f>
        <v>0.11312404369640242</v>
      </c>
      <c r="U184" s="76">
        <v>3.3578815316010048E-17</v>
      </c>
      <c r="V184" s="103"/>
      <c r="Y184" s="199"/>
    </row>
    <row r="185" spans="1:25" ht="9.75" customHeight="1">
      <c r="B185" s="66"/>
      <c r="D185" s="67"/>
      <c r="E185" s="67"/>
      <c r="G185" s="73"/>
      <c r="H185" s="73"/>
      <c r="I185" s="73"/>
      <c r="J185" s="73"/>
      <c r="K185" s="73"/>
      <c r="L185" s="73"/>
      <c r="M185" s="73"/>
      <c r="N185" s="107"/>
      <c r="O185" s="73"/>
      <c r="P185" s="73"/>
      <c r="Q185" s="73"/>
      <c r="R185" s="73"/>
      <c r="S185" s="73"/>
      <c r="T185" s="73"/>
      <c r="U185" s="244"/>
      <c r="V185" s="250"/>
      <c r="W185" s="199"/>
      <c r="X185" s="199"/>
      <c r="Y185" s="199"/>
    </row>
    <row r="186" spans="1:25" ht="12.75">
      <c r="A186" s="22">
        <v>13</v>
      </c>
      <c r="B186" s="66" t="s">
        <v>127</v>
      </c>
      <c r="D186" s="67"/>
      <c r="E186" s="67"/>
      <c r="G186" s="68" t="str">
        <f>H170</f>
        <v>Not used due to deminimus values that resulted in extraordinary variablility</v>
      </c>
      <c r="H186" s="68"/>
      <c r="I186" s="68"/>
      <c r="J186" s="68"/>
      <c r="K186" s="68"/>
      <c r="L186" s="68"/>
      <c r="M186" s="68"/>
      <c r="N186" s="106"/>
      <c r="O186" s="68"/>
      <c r="P186" s="68"/>
      <c r="Q186" s="68"/>
      <c r="R186" s="68"/>
      <c r="S186" s="68"/>
      <c r="T186" s="68"/>
      <c r="U186" s="76"/>
      <c r="V186" s="103"/>
    </row>
    <row r="187" spans="1:25" ht="12.75">
      <c r="D187" s="67"/>
      <c r="E187" s="67"/>
      <c r="G187" s="73"/>
      <c r="H187" s="73"/>
      <c r="I187" s="73"/>
      <c r="J187" s="73"/>
      <c r="K187" s="73"/>
      <c r="L187" s="73"/>
      <c r="M187" s="73"/>
      <c r="N187" s="107"/>
      <c r="O187" s="73"/>
      <c r="P187" s="73"/>
      <c r="Q187" s="73"/>
      <c r="R187" s="73"/>
      <c r="S187" s="73"/>
      <c r="T187" s="73"/>
      <c r="U187" s="244"/>
      <c r="V187" s="250"/>
    </row>
    <row r="188" spans="1:25" ht="12.75">
      <c r="B188" s="69" t="s">
        <v>254</v>
      </c>
      <c r="C188" s="69"/>
      <c r="D188" s="70"/>
      <c r="E188" s="70"/>
      <c r="F188" s="60"/>
      <c r="G188" s="178"/>
      <c r="H188" s="178" t="s">
        <v>238</v>
      </c>
      <c r="I188" s="178" t="s">
        <v>239</v>
      </c>
      <c r="J188" s="178" t="s">
        <v>240</v>
      </c>
      <c r="K188" s="178" t="s">
        <v>241</v>
      </c>
      <c r="L188" s="178" t="s">
        <v>242</v>
      </c>
      <c r="M188" s="178" t="s">
        <v>243</v>
      </c>
      <c r="N188" s="178" t="s">
        <v>244</v>
      </c>
      <c r="O188" s="178" t="s">
        <v>245</v>
      </c>
      <c r="P188" s="178" t="s">
        <v>246</v>
      </c>
      <c r="Q188" s="178" t="s">
        <v>247</v>
      </c>
      <c r="R188" s="178" t="s">
        <v>248</v>
      </c>
      <c r="S188" s="178" t="s">
        <v>236</v>
      </c>
      <c r="T188" s="178" t="s">
        <v>237</v>
      </c>
      <c r="U188" s="245" t="s">
        <v>237</v>
      </c>
      <c r="V188" s="249"/>
    </row>
    <row r="189" spans="1:25" ht="9" customHeight="1" thickBot="1">
      <c r="F189" s="75"/>
      <c r="G189"/>
      <c r="H189"/>
      <c r="I189"/>
      <c r="J189"/>
      <c r="K189"/>
      <c r="L189"/>
      <c r="M189"/>
      <c r="N189"/>
      <c r="O189"/>
      <c r="R189" s="4"/>
      <c r="S189" s="4"/>
      <c r="T189" s="4"/>
      <c r="U189" s="29"/>
      <c r="V189" s="193"/>
    </row>
    <row r="190" spans="1:25" ht="12.75">
      <c r="A190" s="22">
        <v>14</v>
      </c>
      <c r="B190" s="64" t="s">
        <v>196</v>
      </c>
      <c r="F190" s="75" t="s">
        <v>129</v>
      </c>
      <c r="G190" s="195" t="s">
        <v>249</v>
      </c>
      <c r="H190" s="68">
        <f>2*H174</f>
        <v>0.10318206935785935</v>
      </c>
      <c r="I190" s="68">
        <f t="shared" ref="I190:T190" si="80">2*I174</f>
        <v>7.9585004424075026E-2</v>
      </c>
      <c r="J190" s="68">
        <f t="shared" si="80"/>
        <v>7.669261196952179E-2</v>
      </c>
      <c r="K190" s="68">
        <f t="shared" si="80"/>
        <v>9.2635176974547859E-2</v>
      </c>
      <c r="L190" s="68">
        <f t="shared" si="80"/>
        <v>9.593631848755968E-2</v>
      </c>
      <c r="M190" s="68">
        <f t="shared" si="80"/>
        <v>0.10914131909040715</v>
      </c>
      <c r="N190" s="225">
        <f t="shared" si="80"/>
        <v>0.11527902725517751</v>
      </c>
      <c r="O190" s="68">
        <f t="shared" si="80"/>
        <v>0.12547359078981815</v>
      </c>
      <c r="P190" s="68">
        <f t="shared" si="80"/>
        <v>0.10047437732204767</v>
      </c>
      <c r="Q190" s="68">
        <f t="shared" si="80"/>
        <v>9.7494781069536116E-2</v>
      </c>
      <c r="R190" s="68">
        <f t="shared" si="80"/>
        <v>8.2998915286735059E-2</v>
      </c>
      <c r="S190" s="68">
        <f t="shared" si="80"/>
        <v>2.3238579946254882E-2</v>
      </c>
      <c r="T190" s="68">
        <f t="shared" si="80"/>
        <v>2.7266881028938872E-2</v>
      </c>
      <c r="U190" s="76">
        <v>7.9238919579833235E-17</v>
      </c>
      <c r="V190" s="103"/>
    </row>
    <row r="191" spans="1:25" ht="12.75">
      <c r="B191" s="64"/>
      <c r="F191" s="75"/>
      <c r="G191" s="3"/>
      <c r="H191" s="68"/>
      <c r="I191" s="68"/>
      <c r="J191" s="68"/>
      <c r="K191" s="68"/>
      <c r="L191" s="68"/>
      <c r="M191" s="68"/>
      <c r="N191" s="203"/>
      <c r="O191" s="68"/>
      <c r="P191" s="68"/>
      <c r="Q191" s="68"/>
      <c r="R191" s="68"/>
      <c r="S191" s="68"/>
      <c r="T191" s="68"/>
      <c r="U191" s="76"/>
      <c r="V191" s="103"/>
    </row>
    <row r="192" spans="1:25" ht="12.75">
      <c r="A192" s="22" t="s">
        <v>173</v>
      </c>
      <c r="B192" s="185" t="s">
        <v>234</v>
      </c>
      <c r="F192" s="75" t="s">
        <v>129</v>
      </c>
      <c r="G192" s="195" t="s">
        <v>249</v>
      </c>
      <c r="H192" s="68"/>
      <c r="I192" s="68"/>
      <c r="J192" s="68"/>
      <c r="K192" s="68"/>
      <c r="L192" s="68"/>
      <c r="M192" s="68"/>
      <c r="N192" s="206">
        <f>2*N176</f>
        <v>0.06</v>
      </c>
      <c r="O192" s="68"/>
      <c r="P192" s="68"/>
      <c r="Q192" s="68"/>
      <c r="R192" s="68"/>
      <c r="S192" s="68"/>
      <c r="T192" s="68"/>
      <c r="U192" s="76"/>
      <c r="V192" s="103"/>
    </row>
    <row r="193" spans="1:25" ht="12.75">
      <c r="B193" s="64"/>
      <c r="F193" s="75"/>
      <c r="G193" s="3"/>
      <c r="H193" s="68"/>
      <c r="I193" s="68"/>
      <c r="J193" s="68"/>
      <c r="K193" s="68"/>
      <c r="L193" s="68"/>
      <c r="M193" s="68"/>
      <c r="N193" s="203"/>
      <c r="O193" s="68"/>
      <c r="P193" s="68"/>
      <c r="Q193" s="68"/>
      <c r="R193" s="68"/>
      <c r="S193" s="68"/>
      <c r="T193" s="68"/>
      <c r="U193" s="76"/>
      <c r="V193" s="103"/>
    </row>
    <row r="194" spans="1:25" ht="12.75">
      <c r="A194" s="22">
        <v>16</v>
      </c>
      <c r="B194" s="64" t="s">
        <v>231</v>
      </c>
      <c r="F194" s="75" t="s">
        <v>130</v>
      </c>
      <c r="G194" s="195" t="s">
        <v>249</v>
      </c>
      <c r="H194" s="68">
        <f>2*H178</f>
        <v>0.1340548674936759</v>
      </c>
      <c r="I194" s="68">
        <f t="shared" ref="I194:T194" si="81">2*I178</f>
        <v>0.13521388201688742</v>
      </c>
      <c r="J194" s="68">
        <f t="shared" si="81"/>
        <v>0.13821253634617633</v>
      </c>
      <c r="K194" s="68">
        <f t="shared" si="81"/>
        <v>0.1521440540687605</v>
      </c>
      <c r="L194" s="68">
        <f t="shared" si="81"/>
        <v>0.15693188263108049</v>
      </c>
      <c r="M194" s="68">
        <f t="shared" si="81"/>
        <v>0.16859386990837388</v>
      </c>
      <c r="N194" s="220">
        <f t="shared" si="81"/>
        <v>0.17427278244789529</v>
      </c>
      <c r="O194" s="68">
        <f t="shared" si="81"/>
        <v>0.18839009802909601</v>
      </c>
      <c r="P194" s="68">
        <f t="shared" si="81"/>
        <v>0.18974451942046214</v>
      </c>
      <c r="Q194" s="68">
        <f t="shared" si="81"/>
        <v>0.19757417142943151</v>
      </c>
      <c r="R194" s="68">
        <f t="shared" si="81"/>
        <v>0.21619207108127328</v>
      </c>
      <c r="S194" s="68">
        <f t="shared" si="81"/>
        <v>0.23095925543283305</v>
      </c>
      <c r="T194" s="68">
        <f t="shared" si="81"/>
        <v>0.18582107943810042</v>
      </c>
      <c r="U194" s="76">
        <v>1.0134206562723101E-16</v>
      </c>
      <c r="V194" s="103"/>
      <c r="W194" s="27"/>
      <c r="X194" s="27"/>
      <c r="Y194" s="27"/>
    </row>
    <row r="195" spans="1:25" ht="9.75" customHeight="1">
      <c r="B195" s="64"/>
      <c r="F195" s="75"/>
      <c r="G195" s="3"/>
      <c r="H195" s="73"/>
      <c r="I195" s="73"/>
      <c r="J195" s="73"/>
      <c r="K195" s="73"/>
      <c r="L195" s="73"/>
      <c r="M195" s="73"/>
      <c r="N195" s="203"/>
      <c r="O195" s="73"/>
      <c r="P195" s="73"/>
      <c r="Q195" s="73"/>
      <c r="R195" s="73"/>
      <c r="S195" s="73"/>
      <c r="T195" s="73"/>
      <c r="U195" s="244"/>
      <c r="V195" s="250"/>
      <c r="W195" s="27"/>
      <c r="X195" s="27"/>
      <c r="Y195" s="27"/>
    </row>
    <row r="196" spans="1:25" ht="12.75">
      <c r="A196" s="22">
        <v>17</v>
      </c>
      <c r="B196" s="65" t="s">
        <v>67</v>
      </c>
      <c r="C196" s="65"/>
      <c r="F196" s="75" t="s">
        <v>130</v>
      </c>
      <c r="G196" s="195" t="s">
        <v>249</v>
      </c>
      <c r="H196" s="68">
        <f>2*H180</f>
        <v>8.9869659266059984E-2</v>
      </c>
      <c r="I196" s="68">
        <f t="shared" ref="I196:T196" si="82">2*I180</f>
        <v>6.6962849618832712E-2</v>
      </c>
      <c r="J196" s="68">
        <f t="shared" si="82"/>
        <v>9.2036520680413389E-2</v>
      </c>
      <c r="K196" s="68">
        <f t="shared" si="82"/>
        <v>7.8121817696060428E-2</v>
      </c>
      <c r="L196" s="68">
        <f t="shared" si="82"/>
        <v>0.11375599058379009</v>
      </c>
      <c r="M196" s="68">
        <f t="shared" si="82"/>
        <v>0.11071790277942394</v>
      </c>
      <c r="N196" s="220">
        <f t="shared" si="82"/>
        <v>0.1311226303687851</v>
      </c>
      <c r="O196" s="68">
        <f t="shared" si="82"/>
        <v>0.21897683429966386</v>
      </c>
      <c r="P196" s="68">
        <f t="shared" si="82"/>
        <v>0.16356438389943126</v>
      </c>
      <c r="Q196" s="68">
        <f t="shared" si="82"/>
        <v>0.19109258599261594</v>
      </c>
      <c r="R196" s="68">
        <f t="shared" si="82"/>
        <v>0.17122708822882865</v>
      </c>
      <c r="S196" s="68">
        <f t="shared" si="82"/>
        <v>0.19339362854833358</v>
      </c>
      <c r="T196" s="68">
        <f t="shared" si="82"/>
        <v>0.12791369678289372</v>
      </c>
      <c r="U196" s="76">
        <v>-1.6626207924451904E-16</v>
      </c>
      <c r="V196" s="103"/>
      <c r="W196" s="200"/>
      <c r="X196" s="109"/>
      <c r="Y196" s="27"/>
    </row>
    <row r="197" spans="1:25" ht="12.75">
      <c r="B197"/>
      <c r="F197" s="75"/>
      <c r="G197" s="3"/>
      <c r="H197" s="73"/>
      <c r="I197" s="73"/>
      <c r="J197" s="73"/>
      <c r="K197" s="73"/>
      <c r="L197" s="73"/>
      <c r="M197" s="73"/>
      <c r="N197" s="207"/>
      <c r="O197" s="73"/>
      <c r="P197" s="73"/>
      <c r="Q197" s="73"/>
      <c r="R197" s="73"/>
      <c r="S197" s="73"/>
      <c r="T197" s="73"/>
      <c r="U197" s="244"/>
      <c r="V197" s="250"/>
      <c r="W197" s="27"/>
      <c r="X197" s="27"/>
      <c r="Y197" s="27"/>
    </row>
    <row r="198" spans="1:25" ht="12.75">
      <c r="A198" s="22">
        <v>18</v>
      </c>
      <c r="B198" s="66" t="s">
        <v>232</v>
      </c>
      <c r="F198" s="4" t="s">
        <v>130</v>
      </c>
      <c r="G198" s="195" t="s">
        <v>249</v>
      </c>
      <c r="H198" s="68">
        <f>2*H182</f>
        <v>8.7460820511164758E-2</v>
      </c>
      <c r="I198" s="68">
        <f t="shared" ref="I198:T198" si="83">2*I182</f>
        <v>9.4596389759835586E-2</v>
      </c>
      <c r="J198" s="68">
        <f t="shared" si="83"/>
        <v>0.11047628815758041</v>
      </c>
      <c r="K198" s="68">
        <f t="shared" si="83"/>
        <v>0.1220137074432662</v>
      </c>
      <c r="L198" s="68">
        <f t="shared" si="83"/>
        <v>0.12193512410789176</v>
      </c>
      <c r="M198" s="68">
        <f t="shared" si="83"/>
        <v>0.12177180641571665</v>
      </c>
      <c r="N198" s="220">
        <f t="shared" si="83"/>
        <v>0.12972529927967066</v>
      </c>
      <c r="O198" s="68">
        <f t="shared" si="83"/>
        <v>0.13175615061215218</v>
      </c>
      <c r="P198" s="68">
        <f t="shared" si="83"/>
        <v>0.10766058238327791</v>
      </c>
      <c r="Q198" s="68">
        <f t="shared" si="83"/>
        <v>0.12307304613166022</v>
      </c>
      <c r="R198" s="68">
        <f t="shared" si="83"/>
        <v>0.14329631757729724</v>
      </c>
      <c r="S198" s="68">
        <f t="shared" si="83"/>
        <v>0.1510594107342087</v>
      </c>
      <c r="T198" s="68">
        <f t="shared" si="83"/>
        <v>0.17464466039979001</v>
      </c>
      <c r="U198" s="76">
        <v>6.7807345123544587E-17</v>
      </c>
      <c r="V198" s="103"/>
      <c r="W198" s="109"/>
      <c r="X198" s="27"/>
      <c r="Y198" s="27"/>
    </row>
    <row r="199" spans="1:25" ht="12.75">
      <c r="B199" s="66"/>
      <c r="G199" s="195"/>
      <c r="H199" s="68"/>
      <c r="I199" s="68"/>
      <c r="J199" s="68"/>
      <c r="K199" s="68"/>
      <c r="L199" s="68"/>
      <c r="M199" s="68"/>
      <c r="N199" s="207"/>
      <c r="O199" s="68"/>
      <c r="P199" s="68"/>
      <c r="Q199" s="68"/>
      <c r="R199" s="68"/>
      <c r="S199" s="68"/>
      <c r="T199" s="68"/>
      <c r="U199" s="76"/>
      <c r="V199" s="103"/>
      <c r="W199" s="109"/>
      <c r="X199" s="27"/>
      <c r="Y199" s="27"/>
    </row>
    <row r="200" spans="1:25" ht="13.5" thickBot="1">
      <c r="A200" s="22">
        <v>19</v>
      </c>
      <c r="B200" s="66" t="s">
        <v>72</v>
      </c>
      <c r="F200" s="75" t="s">
        <v>130</v>
      </c>
      <c r="G200" s="195" t="s">
        <v>249</v>
      </c>
      <c r="H200" s="68">
        <f>2*H184</f>
        <v>9.6621318535919293E-2</v>
      </c>
      <c r="I200" s="68">
        <f t="shared" ref="I200:T200" si="84">2*I184</f>
        <v>0.10379976199977478</v>
      </c>
      <c r="J200" s="68">
        <f t="shared" si="84"/>
        <v>0.12030033574006357</v>
      </c>
      <c r="K200" s="68">
        <f t="shared" si="84"/>
        <v>0.13419982335466837</v>
      </c>
      <c r="L200" s="68">
        <f t="shared" si="84"/>
        <v>0.13198967733338382</v>
      </c>
      <c r="M200" s="68">
        <f t="shared" si="84"/>
        <v>0.13328195558447486</v>
      </c>
      <c r="N200" s="226">
        <f t="shared" si="84"/>
        <v>0.14826395105651147</v>
      </c>
      <c r="O200" s="68">
        <f t="shared" si="84"/>
        <v>0.13380878517670886</v>
      </c>
      <c r="P200" s="68">
        <f t="shared" si="84"/>
        <v>0.13441137629592506</v>
      </c>
      <c r="Q200" s="68">
        <f t="shared" si="84"/>
        <v>0.15135762976490194</v>
      </c>
      <c r="R200" s="68">
        <f t="shared" si="84"/>
        <v>0.16870288525020186</v>
      </c>
      <c r="S200" s="68">
        <f t="shared" si="84"/>
        <v>0.19600058304496748</v>
      </c>
      <c r="T200" s="68">
        <f t="shared" si="84"/>
        <v>0.22624808739280483</v>
      </c>
      <c r="U200" s="76">
        <v>6.7157630632020096E-17</v>
      </c>
      <c r="V200" s="103"/>
    </row>
    <row r="201" spans="1:25">
      <c r="B201" s="66"/>
      <c r="G201" s="73"/>
      <c r="H201" s="73"/>
      <c r="I201" s="73"/>
      <c r="J201" s="73"/>
      <c r="K201" s="73"/>
      <c r="L201" s="73"/>
      <c r="M201" s="73"/>
      <c r="N201" s="107"/>
      <c r="O201" s="73"/>
      <c r="P201" s="73"/>
      <c r="Q201" s="73"/>
      <c r="R201" s="73"/>
    </row>
    <row r="202" spans="1:25" ht="12.75">
      <c r="A202" s="22">
        <v>20</v>
      </c>
      <c r="B202" s="66" t="s">
        <v>127</v>
      </c>
      <c r="F202" s="4" t="s">
        <v>129</v>
      </c>
      <c r="G202" s="68" t="str">
        <f>G186</f>
        <v>Not used due to deminimus values that resulted in extraordinary variablility</v>
      </c>
      <c r="H202" s="68"/>
      <c r="I202" s="68"/>
      <c r="J202" s="68"/>
      <c r="K202" s="68"/>
      <c r="L202" s="68"/>
      <c r="M202" s="68"/>
      <c r="N202" s="106"/>
      <c r="O202" s="68"/>
      <c r="P202" s="68"/>
      <c r="Q202" s="68"/>
      <c r="R202" s="68"/>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__(EMA-3)</oddHeader>
    <oddFooter xml:space="preserve">&amp;RPage &amp;P of &amp;N  </oddFooter>
  </headerFooter>
  <rowBreaks count="3" manualBreakCount="3">
    <brk id="58" max="21" man="1"/>
    <brk id="93" max="21" man="1"/>
    <brk id="151" max="19" man="1"/>
  </rowBreaks>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6" tint="0.39997558519241921"/>
  </sheetPr>
  <dimension ref="A1:AU65"/>
  <sheetViews>
    <sheetView workbookViewId="0"/>
  </sheetViews>
  <sheetFormatPr defaultRowHeight="12.75"/>
  <cols>
    <col min="1" max="1" width="5.7109375" style="22" customWidth="1"/>
    <col min="2" max="3" width="1.7109375" style="3" customWidth="1"/>
    <col min="4" max="4" width="23.28515625" style="3" customWidth="1"/>
    <col min="5" max="5" width="9" style="104" customWidth="1"/>
    <col min="6" max="6" width="3.85546875" style="104"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9.140625" customWidth="1"/>
    <col min="44" max="44" width="9.140625" style="104"/>
    <col min="45" max="46" width="9.140625" customWidth="1"/>
  </cols>
  <sheetData>
    <row r="1" spans="1:47">
      <c r="A1" s="2" t="s">
        <v>43</v>
      </c>
    </row>
    <row r="2" spans="1:47">
      <c r="A2" s="2" t="s">
        <v>48</v>
      </c>
    </row>
    <row r="3" spans="1:47">
      <c r="A3" s="2" t="s">
        <v>55</v>
      </c>
      <c r="I3" s="91"/>
      <c r="M3" s="91"/>
    </row>
    <row r="4" spans="1:47">
      <c r="A4" s="2" t="s">
        <v>39</v>
      </c>
      <c r="B4" s="2"/>
      <c r="C4" s="2"/>
      <c r="D4" s="2"/>
      <c r="I4" s="91"/>
      <c r="M4" s="91"/>
    </row>
    <row r="5" spans="1:47">
      <c r="A5" s="2"/>
      <c r="G5" s="45"/>
      <c r="H5" s="91"/>
      <c r="I5" s="45"/>
      <c r="J5" s="91"/>
      <c r="K5" s="45"/>
      <c r="L5" s="91"/>
      <c r="M5" s="45"/>
      <c r="N5" s="91"/>
      <c r="O5" s="45"/>
      <c r="P5" s="91"/>
      <c r="Q5" s="45"/>
      <c r="R5" s="91"/>
      <c r="S5" s="45"/>
      <c r="T5" s="91"/>
      <c r="U5" s="45"/>
      <c r="V5" s="91"/>
      <c r="W5" s="53"/>
      <c r="X5" s="45"/>
      <c r="Y5" s="91"/>
      <c r="Z5" s="91"/>
      <c r="AA5" s="45"/>
      <c r="AD5" s="45"/>
      <c r="AG5" s="45"/>
      <c r="AJ5" s="45"/>
      <c r="AK5" s="91"/>
      <c r="AL5" s="53"/>
      <c r="AM5" s="45"/>
      <c r="AN5" s="91"/>
      <c r="AO5" s="53"/>
      <c r="AP5" s="45"/>
      <c r="AQ5" s="91"/>
      <c r="AR5" s="219" t="s">
        <v>250</v>
      </c>
      <c r="AS5" s="475"/>
      <c r="AT5" s="476"/>
      <c r="AU5" s="477" t="s">
        <v>250</v>
      </c>
    </row>
    <row r="6" spans="1:47">
      <c r="A6" s="5"/>
      <c r="B6" s="6"/>
      <c r="C6" s="6"/>
      <c r="D6" s="6"/>
      <c r="G6" s="46">
        <v>2000</v>
      </c>
      <c r="H6" s="100"/>
      <c r="I6" s="46">
        <v>2001</v>
      </c>
      <c r="J6" s="100"/>
      <c r="K6" s="46">
        <v>2002</v>
      </c>
      <c r="L6" s="100"/>
      <c r="M6" s="46">
        <v>2003</v>
      </c>
      <c r="N6" s="100"/>
      <c r="O6" s="63" t="s">
        <v>68</v>
      </c>
      <c r="P6" s="98"/>
      <c r="Q6" s="46">
        <v>2005</v>
      </c>
      <c r="R6" s="100"/>
      <c r="S6" s="63" t="s">
        <v>69</v>
      </c>
      <c r="T6" s="98"/>
      <c r="U6" s="46" t="s">
        <v>65</v>
      </c>
      <c r="V6" s="54"/>
      <c r="W6" s="92"/>
      <c r="X6" s="46" t="s">
        <v>64</v>
      </c>
      <c r="Y6" s="92"/>
      <c r="Z6" s="92"/>
      <c r="AA6" s="46" t="s">
        <v>63</v>
      </c>
      <c r="AB6" s="41"/>
      <c r="AC6" s="41"/>
      <c r="AD6" s="46" t="s">
        <v>62</v>
      </c>
      <c r="AE6" s="41"/>
      <c r="AF6" s="41"/>
      <c r="AG6" s="46" t="s">
        <v>60</v>
      </c>
      <c r="AH6" s="41"/>
      <c r="AI6" s="41"/>
      <c r="AJ6" s="535" t="s">
        <v>96</v>
      </c>
      <c r="AK6" s="536"/>
      <c r="AL6" s="537"/>
      <c r="AM6" s="535" t="s">
        <v>224</v>
      </c>
      <c r="AN6" s="536"/>
      <c r="AO6" s="537"/>
      <c r="AP6" s="535" t="s">
        <v>235</v>
      </c>
      <c r="AQ6" s="536"/>
      <c r="AR6" s="537"/>
      <c r="AS6" s="538" t="s">
        <v>336</v>
      </c>
      <c r="AT6" s="539"/>
      <c r="AU6" s="540"/>
    </row>
    <row r="7" spans="1:47">
      <c r="A7" s="8"/>
      <c r="B7" s="9"/>
      <c r="C7" s="10"/>
      <c r="D7" s="11"/>
      <c r="G7" s="47"/>
      <c r="H7" s="99"/>
      <c r="I7" s="47"/>
      <c r="J7" s="99"/>
      <c r="K7" s="47"/>
      <c r="L7" s="99"/>
      <c r="M7" s="47"/>
      <c r="N7" s="99"/>
      <c r="O7" s="47"/>
      <c r="P7" s="99"/>
      <c r="Q7" s="47"/>
      <c r="R7" s="99"/>
      <c r="S7" s="47"/>
      <c r="T7" s="99"/>
      <c r="U7" s="47"/>
      <c r="V7" s="93" t="s">
        <v>57</v>
      </c>
      <c r="W7" s="55"/>
      <c r="X7" s="47"/>
      <c r="Y7" s="93" t="s">
        <v>57</v>
      </c>
      <c r="Z7" s="55"/>
      <c r="AA7" s="47"/>
      <c r="AB7" s="40" t="s">
        <v>57</v>
      </c>
      <c r="AC7" s="40"/>
      <c r="AD7" s="47"/>
      <c r="AE7" s="40" t="s">
        <v>57</v>
      </c>
      <c r="AF7" s="40"/>
      <c r="AG7" s="47"/>
      <c r="AH7" s="40" t="s">
        <v>57</v>
      </c>
      <c r="AI7" s="40"/>
      <c r="AJ7" s="47"/>
      <c r="AK7" s="93" t="s">
        <v>57</v>
      </c>
      <c r="AL7" s="53"/>
      <c r="AM7" s="47"/>
      <c r="AN7" s="93" t="s">
        <v>57</v>
      </c>
      <c r="AO7" s="53"/>
      <c r="AP7" s="47"/>
      <c r="AQ7" s="93" t="s">
        <v>57</v>
      </c>
      <c r="AR7" s="208"/>
      <c r="AS7" s="478"/>
      <c r="AT7" s="479" t="s">
        <v>57</v>
      </c>
      <c r="AU7" s="480"/>
    </row>
    <row r="8" spans="1:47">
      <c r="A8" s="12" t="s">
        <v>0</v>
      </c>
      <c r="B8" s="13"/>
      <c r="C8" s="14"/>
      <c r="D8" s="15"/>
      <c r="G8" s="48" t="s">
        <v>57</v>
      </c>
      <c r="H8" s="93" t="s">
        <v>57</v>
      </c>
      <c r="I8" s="48" t="s">
        <v>57</v>
      </c>
      <c r="J8" s="93" t="s">
        <v>57</v>
      </c>
      <c r="K8" s="48" t="s">
        <v>57</v>
      </c>
      <c r="L8" s="93" t="s">
        <v>57</v>
      </c>
      <c r="M8" s="48" t="s">
        <v>57</v>
      </c>
      <c r="N8" s="93" t="s">
        <v>57</v>
      </c>
      <c r="O8" s="48" t="s">
        <v>57</v>
      </c>
      <c r="P8" s="93" t="s">
        <v>57</v>
      </c>
      <c r="Q8" s="48" t="s">
        <v>57</v>
      </c>
      <c r="R8" s="93" t="s">
        <v>57</v>
      </c>
      <c r="S8" s="48" t="s">
        <v>57</v>
      </c>
      <c r="T8" s="93" t="s">
        <v>57</v>
      </c>
      <c r="U8" s="48" t="s">
        <v>57</v>
      </c>
      <c r="V8" s="93" t="s">
        <v>61</v>
      </c>
      <c r="W8" s="93" t="s">
        <v>57</v>
      </c>
      <c r="X8" s="48" t="s">
        <v>57</v>
      </c>
      <c r="Y8" s="93" t="s">
        <v>61</v>
      </c>
      <c r="Z8" s="93" t="s">
        <v>57</v>
      </c>
      <c r="AA8" s="48" t="s">
        <v>57</v>
      </c>
      <c r="AB8" s="93" t="s">
        <v>61</v>
      </c>
      <c r="AC8" s="93" t="s">
        <v>57</v>
      </c>
      <c r="AD8" s="48" t="s">
        <v>57</v>
      </c>
      <c r="AE8" s="93" t="s">
        <v>61</v>
      </c>
      <c r="AF8" s="93" t="s">
        <v>57</v>
      </c>
      <c r="AG8" s="48" t="s">
        <v>57</v>
      </c>
      <c r="AH8" s="93" t="s">
        <v>61</v>
      </c>
      <c r="AI8" s="93" t="s">
        <v>57</v>
      </c>
      <c r="AJ8" s="48" t="s">
        <v>57</v>
      </c>
      <c r="AK8" s="93" t="s">
        <v>61</v>
      </c>
      <c r="AL8" s="55" t="s">
        <v>57</v>
      </c>
      <c r="AM8" s="48" t="s">
        <v>57</v>
      </c>
      <c r="AN8" s="93" t="s">
        <v>61</v>
      </c>
      <c r="AO8" s="55" t="s">
        <v>57</v>
      </c>
      <c r="AP8" s="48" t="s">
        <v>57</v>
      </c>
      <c r="AQ8" s="93" t="s">
        <v>61</v>
      </c>
      <c r="AR8" s="209" t="s">
        <v>57</v>
      </c>
      <c r="AS8" s="481" t="s">
        <v>57</v>
      </c>
      <c r="AT8" s="479" t="s">
        <v>61</v>
      </c>
      <c r="AU8" s="482" t="s">
        <v>57</v>
      </c>
    </row>
    <row r="9" spans="1:47">
      <c r="A9" s="17" t="s">
        <v>2</v>
      </c>
      <c r="B9" s="18"/>
      <c r="C9" s="19"/>
      <c r="D9" s="20" t="s">
        <v>3</v>
      </c>
      <c r="E9" s="105" t="s">
        <v>56</v>
      </c>
      <c r="F9" s="105"/>
      <c r="G9" s="49" t="s">
        <v>58</v>
      </c>
      <c r="H9" s="94" t="s">
        <v>119</v>
      </c>
      <c r="I9" s="49" t="s">
        <v>58</v>
      </c>
      <c r="J9" s="94" t="s">
        <v>119</v>
      </c>
      <c r="K9" s="49" t="s">
        <v>58</v>
      </c>
      <c r="L9" s="94" t="s">
        <v>119</v>
      </c>
      <c r="M9" s="49" t="s">
        <v>58</v>
      </c>
      <c r="N9" s="94" t="s">
        <v>119</v>
      </c>
      <c r="O9" s="49" t="s">
        <v>58</v>
      </c>
      <c r="P9" s="94" t="s">
        <v>119</v>
      </c>
      <c r="Q9" s="49" t="s">
        <v>58</v>
      </c>
      <c r="R9" s="94" t="s">
        <v>119</v>
      </c>
      <c r="S9" s="49" t="s">
        <v>58</v>
      </c>
      <c r="T9" s="94" t="s">
        <v>119</v>
      </c>
      <c r="U9" s="49" t="s">
        <v>58</v>
      </c>
      <c r="V9" s="94" t="s">
        <v>59</v>
      </c>
      <c r="W9" s="94" t="s">
        <v>119</v>
      </c>
      <c r="X9" s="49" t="s">
        <v>58</v>
      </c>
      <c r="Y9" s="94" t="s">
        <v>59</v>
      </c>
      <c r="Z9" s="94" t="s">
        <v>119</v>
      </c>
      <c r="AA9" s="49" t="s">
        <v>58</v>
      </c>
      <c r="AB9" s="94" t="s">
        <v>59</v>
      </c>
      <c r="AC9" s="94" t="s">
        <v>119</v>
      </c>
      <c r="AD9" s="49" t="s">
        <v>58</v>
      </c>
      <c r="AE9" s="94" t="s">
        <v>59</v>
      </c>
      <c r="AF9" s="94" t="s">
        <v>119</v>
      </c>
      <c r="AG9" s="49" t="s">
        <v>58</v>
      </c>
      <c r="AH9" s="94" t="s">
        <v>59</v>
      </c>
      <c r="AI9" s="94" t="s">
        <v>119</v>
      </c>
      <c r="AJ9" s="49" t="s">
        <v>58</v>
      </c>
      <c r="AK9" s="94" t="s">
        <v>59</v>
      </c>
      <c r="AL9" s="56" t="s">
        <v>119</v>
      </c>
      <c r="AM9" s="49" t="s">
        <v>58</v>
      </c>
      <c r="AN9" s="94" t="s">
        <v>59</v>
      </c>
      <c r="AO9" s="56" t="s">
        <v>119</v>
      </c>
      <c r="AP9" s="49" t="s">
        <v>58</v>
      </c>
      <c r="AQ9" s="94" t="s">
        <v>59</v>
      </c>
      <c r="AR9" s="210" t="s">
        <v>119</v>
      </c>
      <c r="AS9" s="483" t="s">
        <v>58</v>
      </c>
      <c r="AT9" s="484" t="s">
        <v>59</v>
      </c>
      <c r="AU9" s="485" t="s">
        <v>119</v>
      </c>
    </row>
    <row r="10" spans="1:47">
      <c r="B10" s="3" t="s">
        <v>6</v>
      </c>
      <c r="G10" s="45"/>
      <c r="H10" s="91"/>
      <c r="I10" s="45"/>
      <c r="J10" s="91"/>
      <c r="K10" s="45"/>
      <c r="L10" s="91"/>
      <c r="M10" s="45"/>
      <c r="N10" s="91"/>
      <c r="O10" s="45"/>
      <c r="P10" s="91"/>
      <c r="Q10" s="45"/>
      <c r="R10" s="91"/>
      <c r="S10" s="45"/>
      <c r="T10" s="91"/>
      <c r="U10" s="45"/>
      <c r="V10" s="91"/>
      <c r="W10" s="91"/>
      <c r="X10" s="45"/>
      <c r="Y10" s="91"/>
      <c r="Z10" s="91"/>
      <c r="AA10" s="45"/>
      <c r="AD10" s="45"/>
      <c r="AG10" s="45"/>
      <c r="AJ10" s="45"/>
      <c r="AK10" s="91"/>
      <c r="AL10" s="53"/>
      <c r="AM10" s="45"/>
      <c r="AN10" s="91"/>
      <c r="AO10" s="53"/>
      <c r="AP10" s="45"/>
      <c r="AQ10" s="91"/>
      <c r="AR10" s="208"/>
      <c r="AS10" s="475"/>
      <c r="AT10" s="476"/>
      <c r="AU10" s="480"/>
    </row>
    <row r="11" spans="1:47">
      <c r="A11" s="22">
        <v>1</v>
      </c>
      <c r="B11" s="23" t="s">
        <v>7</v>
      </c>
      <c r="C11" s="23"/>
      <c r="D11" s="23"/>
      <c r="E11" s="108">
        <f>'2) ROR'!N20</f>
        <v>0.95483913024920664</v>
      </c>
      <c r="F11" s="108"/>
      <c r="G11" s="50">
        <f>ROUND(G36/$E11,0)</f>
        <v>0</v>
      </c>
      <c r="H11" s="95">
        <f>ROUND((H21-H13)/$E11,0)</f>
        <v>-60091</v>
      </c>
      <c r="I11" s="50">
        <f>ROUND(I36/$E11,0)</f>
        <v>-994</v>
      </c>
      <c r="J11" s="95">
        <f>ROUND((J21-J13)/$E11,0)</f>
        <v>-111836</v>
      </c>
      <c r="K11" s="50">
        <f>ROUND(K36/$E11,0)-1</f>
        <v>-1777</v>
      </c>
      <c r="L11" s="95">
        <f>ROUND((L21-L13)/$E11,0)+1</f>
        <v>-115437</v>
      </c>
      <c r="M11" s="50">
        <f>ROUND(M36/$E11,0)+1</f>
        <v>-2124</v>
      </c>
      <c r="N11" s="95">
        <f>ROUND((N21-N13)/$E11,0)+0</f>
        <v>-101717</v>
      </c>
      <c r="O11" s="50">
        <f>ROUND(O36/$E11,0)</f>
        <v>0</v>
      </c>
      <c r="P11" s="95">
        <f>ROUND((P21-P13)/$E11,0)-1</f>
        <v>-119781</v>
      </c>
      <c r="Q11" s="50">
        <f>ROUND(Q36/$E11,0)</f>
        <v>-2976</v>
      </c>
      <c r="R11" s="95">
        <f>ROUND((R21-R13)/$E11,0)-1</f>
        <v>-136684</v>
      </c>
      <c r="S11" s="50">
        <f>ROUND(S36/$E11,0)</f>
        <v>0</v>
      </c>
      <c r="T11" s="95">
        <f>ROUND((T21-T13)/$E11,0)+1</f>
        <v>-156886</v>
      </c>
      <c r="U11" s="50">
        <f>ROUND(U36/$E11,0)</f>
        <v>-4016</v>
      </c>
      <c r="V11" s="95">
        <f>ROUND(V41/$E11,0)+1</f>
        <v>-88</v>
      </c>
      <c r="W11" s="95">
        <f>ROUND((W21-W13)/$E11,0)</f>
        <v>-163337</v>
      </c>
      <c r="X11" s="50">
        <f>ROUND(X36/$E11,0)</f>
        <v>-4588</v>
      </c>
      <c r="Y11" s="95">
        <f>ROUND(Y41/$E11,0)+1</f>
        <v>-451</v>
      </c>
      <c r="Z11" s="95">
        <f>ROUND((Z21-Z13)/$E11,0)-1</f>
        <v>-154345</v>
      </c>
      <c r="AA11" s="50">
        <f>ROUND(AA36/$E11,0)+0</f>
        <v>-7098</v>
      </c>
      <c r="AB11" s="42">
        <f>ROUND(AB41/$E11,0)+1</f>
        <v>-743</v>
      </c>
      <c r="AC11" s="95">
        <f>ROUND((AC21-AC13)/$E11,0)-1</f>
        <v>-126720</v>
      </c>
      <c r="AD11" s="50">
        <f>ROUND(AD36/$E11,0)-0</f>
        <v>-8814</v>
      </c>
      <c r="AE11" s="42">
        <f>ROUND(AE41/$E11,0)-0</f>
        <v>-517</v>
      </c>
      <c r="AF11" s="95">
        <f>ROUND((AF21-AF13)/$E11,0)-1</f>
        <v>-82715</v>
      </c>
      <c r="AG11" s="50">
        <f>ROUND(AG36/$E11,0)+0</f>
        <v>-9376</v>
      </c>
      <c r="AH11" s="42">
        <f>ROUND(AH41/$E11,0)-0</f>
        <v>-517</v>
      </c>
      <c r="AI11" s="95">
        <f>ROUND((AI21-AI13)/$E11,0)+1</f>
        <v>-88014</v>
      </c>
      <c r="AJ11" s="50">
        <f>ROUND(AJ36/$E11,0)</f>
        <v>-6223</v>
      </c>
      <c r="AK11" s="95">
        <f>ROUND(AK41/$E11,0)+1</f>
        <v>-191</v>
      </c>
      <c r="AL11" s="57">
        <f>ROUND((AL21-AL13)/$E11,0)</f>
        <v>-78343</v>
      </c>
      <c r="AM11" s="50">
        <f>ROUND(AM36/$E11,0)</f>
        <v>0</v>
      </c>
      <c r="AN11" s="95">
        <f>ROUND(AN41/$E11,0)</f>
        <v>0</v>
      </c>
      <c r="AO11" s="57">
        <f>ROUND((AO21-AO13)/$E11,0)</f>
        <v>-80433</v>
      </c>
      <c r="AP11" s="50">
        <f>ROUND(AP36/$E11,0)</f>
        <v>0</v>
      </c>
      <c r="AQ11" s="95">
        <f>ROUND(AQ41/$E11,0)</f>
        <v>0</v>
      </c>
      <c r="AR11" s="197">
        <f>ROUND((AR21-AR13)/$E11,0)</f>
        <v>-88169</v>
      </c>
      <c r="AS11" s="486">
        <f>ROUND(AS36/$E11,0)</f>
        <v>0</v>
      </c>
      <c r="AT11" s="238">
        <f>ROUND(AT41/$E11,0)</f>
        <v>0</v>
      </c>
      <c r="AU11" s="487">
        <f>ROUND((AU21-AU13)/$E11,0)</f>
        <v>-83400</v>
      </c>
    </row>
    <row r="12" spans="1:47">
      <c r="A12" s="22">
        <v>2</v>
      </c>
      <c r="B12" s="24" t="s">
        <v>8</v>
      </c>
      <c r="D12" s="24"/>
      <c r="E12" s="108"/>
      <c r="F12" s="108"/>
      <c r="G12" s="50"/>
      <c r="H12" s="95"/>
      <c r="I12" s="50"/>
      <c r="J12" s="95"/>
      <c r="K12" s="50"/>
      <c r="L12" s="95"/>
      <c r="M12" s="50"/>
      <c r="N12" s="95"/>
      <c r="O12" s="50"/>
      <c r="P12" s="95"/>
      <c r="Q12" s="50"/>
      <c r="R12" s="95"/>
      <c r="S12" s="50"/>
      <c r="T12" s="95"/>
      <c r="U12" s="50"/>
      <c r="V12" s="95"/>
      <c r="W12" s="95"/>
      <c r="X12" s="50"/>
      <c r="Y12" s="95"/>
      <c r="Z12" s="95"/>
      <c r="AA12" s="50"/>
      <c r="AB12" s="42"/>
      <c r="AC12" s="95"/>
      <c r="AD12" s="50"/>
      <c r="AE12" s="42"/>
      <c r="AF12" s="95"/>
      <c r="AG12" s="50"/>
      <c r="AH12" s="42"/>
      <c r="AI12" s="95"/>
      <c r="AJ12" s="50"/>
      <c r="AK12" s="95"/>
      <c r="AL12" s="57"/>
      <c r="AM12" s="50"/>
      <c r="AN12" s="95"/>
      <c r="AO12" s="57"/>
      <c r="AP12" s="50"/>
      <c r="AQ12" s="95"/>
      <c r="AR12" s="197"/>
      <c r="AS12" s="486"/>
      <c r="AT12" s="238"/>
      <c r="AU12" s="487"/>
    </row>
    <row r="13" spans="1:47">
      <c r="A13" s="22">
        <v>3</v>
      </c>
      <c r="B13" s="24" t="s">
        <v>9</v>
      </c>
      <c r="D13" s="24"/>
      <c r="E13" s="108"/>
      <c r="F13" s="108"/>
      <c r="G13" s="51"/>
      <c r="H13" s="43">
        <f>-H61</f>
        <v>-242</v>
      </c>
      <c r="I13" s="51"/>
      <c r="J13" s="43">
        <f>-J61</f>
        <v>-244</v>
      </c>
      <c r="K13" s="51"/>
      <c r="L13" s="43">
        <f>-L61</f>
        <v>-144</v>
      </c>
      <c r="M13" s="51"/>
      <c r="N13" s="43">
        <f>-N61</f>
        <v>0</v>
      </c>
      <c r="O13" s="51"/>
      <c r="P13" s="43">
        <f>-P61</f>
        <v>0</v>
      </c>
      <c r="Q13" s="51"/>
      <c r="R13" s="43">
        <f>-R61</f>
        <v>-28334</v>
      </c>
      <c r="S13" s="51"/>
      <c r="T13" s="43">
        <v>0</v>
      </c>
      <c r="U13" s="51"/>
      <c r="V13" s="43"/>
      <c r="W13" s="43">
        <f>-W61</f>
        <v>-66686</v>
      </c>
      <c r="X13" s="51"/>
      <c r="Y13" s="95"/>
      <c r="Z13" s="43">
        <f>-Z61</f>
        <v>-153018</v>
      </c>
      <c r="AA13" s="51"/>
      <c r="AB13" s="43"/>
      <c r="AC13" s="43">
        <f>-AC61</f>
        <v>-83992</v>
      </c>
      <c r="AD13" s="51"/>
      <c r="AE13" s="43"/>
      <c r="AF13" s="43">
        <f>-AF61</f>
        <v>-115193</v>
      </c>
      <c r="AG13" s="51"/>
      <c r="AH13" s="43"/>
      <c r="AI13" s="43">
        <f>-AI61</f>
        <v>-98794</v>
      </c>
      <c r="AJ13" s="51"/>
      <c r="AK13" s="43"/>
      <c r="AL13" s="58">
        <f>-AL61</f>
        <v>-67822</v>
      </c>
      <c r="AM13" s="51"/>
      <c r="AN13" s="43"/>
      <c r="AO13" s="58">
        <f>-AO61</f>
        <v>0</v>
      </c>
      <c r="AP13" s="51"/>
      <c r="AQ13" s="43"/>
      <c r="AR13" s="196">
        <f>-AR61</f>
        <v>0</v>
      </c>
      <c r="AS13" s="488"/>
      <c r="AT13" s="489"/>
      <c r="AU13" s="490">
        <f>-AU61</f>
        <v>0</v>
      </c>
    </row>
    <row r="14" spans="1:47">
      <c r="A14" s="22">
        <v>4</v>
      </c>
      <c r="B14" s="3" t="s">
        <v>10</v>
      </c>
      <c r="C14" s="24"/>
      <c r="D14" s="24"/>
      <c r="E14" s="108"/>
      <c r="F14" s="108"/>
      <c r="G14" s="50">
        <f t="shared" ref="G14:P14" si="0">SUM(G11:G13)</f>
        <v>0</v>
      </c>
      <c r="H14" s="95">
        <f>SUM(H11:H13)</f>
        <v>-60333</v>
      </c>
      <c r="I14" s="50">
        <f t="shared" si="0"/>
        <v>-994</v>
      </c>
      <c r="J14" s="95">
        <f>SUM(J11:J13)</f>
        <v>-112080</v>
      </c>
      <c r="K14" s="50">
        <f t="shared" si="0"/>
        <v>-1777</v>
      </c>
      <c r="L14" s="95">
        <f t="shared" si="0"/>
        <v>-115581</v>
      </c>
      <c r="M14" s="50">
        <f t="shared" si="0"/>
        <v>-2124</v>
      </c>
      <c r="N14" s="95">
        <f t="shared" si="0"/>
        <v>-101717</v>
      </c>
      <c r="O14" s="50">
        <f t="shared" si="0"/>
        <v>0</v>
      </c>
      <c r="P14" s="95">
        <f t="shared" si="0"/>
        <v>-119781</v>
      </c>
      <c r="Q14" s="50">
        <f t="shared" ref="Q14:AI14" si="1">SUM(Q11:Q13)</f>
        <v>-2976</v>
      </c>
      <c r="R14" s="95">
        <f t="shared" si="1"/>
        <v>-165018</v>
      </c>
      <c r="S14" s="50">
        <f t="shared" si="1"/>
        <v>0</v>
      </c>
      <c r="T14" s="95">
        <f t="shared" si="1"/>
        <v>-156886</v>
      </c>
      <c r="U14" s="50">
        <f t="shared" si="1"/>
        <v>-4016</v>
      </c>
      <c r="V14" s="95">
        <f t="shared" si="1"/>
        <v>-88</v>
      </c>
      <c r="W14" s="95">
        <f t="shared" si="1"/>
        <v>-230023</v>
      </c>
      <c r="X14" s="50">
        <f t="shared" si="1"/>
        <v>-4588</v>
      </c>
      <c r="Y14" s="96">
        <f t="shared" si="1"/>
        <v>-451</v>
      </c>
      <c r="Z14" s="95">
        <f t="shared" si="1"/>
        <v>-307363</v>
      </c>
      <c r="AA14" s="50">
        <f t="shared" si="1"/>
        <v>-7098</v>
      </c>
      <c r="AB14" s="42">
        <f t="shared" si="1"/>
        <v>-743</v>
      </c>
      <c r="AC14" s="95">
        <f t="shared" si="1"/>
        <v>-210712</v>
      </c>
      <c r="AD14" s="50">
        <f t="shared" si="1"/>
        <v>-8814</v>
      </c>
      <c r="AE14" s="42">
        <f t="shared" si="1"/>
        <v>-517</v>
      </c>
      <c r="AF14" s="95">
        <f t="shared" si="1"/>
        <v>-197908</v>
      </c>
      <c r="AG14" s="50">
        <f t="shared" si="1"/>
        <v>-9376</v>
      </c>
      <c r="AH14" s="42">
        <f t="shared" si="1"/>
        <v>-517</v>
      </c>
      <c r="AI14" s="95">
        <f t="shared" si="1"/>
        <v>-186808</v>
      </c>
      <c r="AJ14" s="50">
        <f t="shared" ref="AJ14:AU14" si="2">SUM(AJ11:AJ13)</f>
        <v>-6223</v>
      </c>
      <c r="AK14" s="95">
        <f t="shared" si="2"/>
        <v>-191</v>
      </c>
      <c r="AL14" s="57">
        <f t="shared" si="2"/>
        <v>-146165</v>
      </c>
      <c r="AM14" s="50">
        <f t="shared" si="2"/>
        <v>0</v>
      </c>
      <c r="AN14" s="95">
        <f t="shared" si="2"/>
        <v>0</v>
      </c>
      <c r="AO14" s="57">
        <f t="shared" si="2"/>
        <v>-80433</v>
      </c>
      <c r="AP14" s="50">
        <f t="shared" si="2"/>
        <v>0</v>
      </c>
      <c r="AQ14" s="95">
        <f t="shared" si="2"/>
        <v>0</v>
      </c>
      <c r="AR14" s="197">
        <f t="shared" si="2"/>
        <v>-88169</v>
      </c>
      <c r="AS14" s="486">
        <f t="shared" si="2"/>
        <v>0</v>
      </c>
      <c r="AT14" s="238">
        <f t="shared" si="2"/>
        <v>0</v>
      </c>
      <c r="AU14" s="487">
        <f t="shared" si="2"/>
        <v>-83400</v>
      </c>
    </row>
    <row r="15" spans="1:47">
      <c r="C15" s="24"/>
      <c r="D15" s="24"/>
      <c r="E15" s="108"/>
      <c r="F15" s="108"/>
      <c r="G15" s="50"/>
      <c r="H15" s="95"/>
      <c r="I15" s="50"/>
      <c r="J15" s="95"/>
      <c r="K15" s="50"/>
      <c r="L15" s="95"/>
      <c r="M15" s="50"/>
      <c r="N15" s="95"/>
      <c r="O15" s="50"/>
      <c r="P15" s="95"/>
      <c r="Q15" s="50"/>
      <c r="R15" s="95"/>
      <c r="S15" s="50"/>
      <c r="T15" s="95"/>
      <c r="U15" s="50"/>
      <c r="V15" s="95"/>
      <c r="W15" s="95"/>
      <c r="X15" s="50"/>
      <c r="Y15" s="95"/>
      <c r="Z15" s="95"/>
      <c r="AA15" s="50"/>
      <c r="AB15" s="42"/>
      <c r="AC15" s="95"/>
      <c r="AD15" s="50"/>
      <c r="AE15" s="42"/>
      <c r="AF15" s="95"/>
      <c r="AG15" s="50"/>
      <c r="AH15" s="42"/>
      <c r="AI15" s="95"/>
      <c r="AJ15" s="50"/>
      <c r="AK15" s="95"/>
      <c r="AL15" s="57"/>
      <c r="AM15" s="50"/>
      <c r="AN15" s="95"/>
      <c r="AO15" s="57"/>
      <c r="AP15" s="50"/>
      <c r="AQ15" s="95"/>
      <c r="AR15" s="197"/>
      <c r="AS15" s="486"/>
      <c r="AT15" s="238"/>
      <c r="AU15" s="487"/>
    </row>
    <row r="16" spans="1:47">
      <c r="B16" s="3" t="s">
        <v>11</v>
      </c>
      <c r="C16" s="24"/>
      <c r="D16" s="24"/>
      <c r="E16" s="108"/>
      <c r="F16" s="108"/>
      <c r="G16" s="50"/>
      <c r="H16" s="95"/>
      <c r="I16" s="50"/>
      <c r="J16" s="95"/>
      <c r="K16" s="50"/>
      <c r="L16" s="95"/>
      <c r="M16" s="50"/>
      <c r="N16" s="95"/>
      <c r="O16" s="50"/>
      <c r="P16" s="95"/>
      <c r="Q16" s="50"/>
      <c r="R16" s="95"/>
      <c r="S16" s="50"/>
      <c r="T16" s="95"/>
      <c r="U16" s="50"/>
      <c r="V16" s="95"/>
      <c r="W16" s="95"/>
      <c r="X16" s="50"/>
      <c r="Y16" s="95"/>
      <c r="Z16" s="95"/>
      <c r="AA16" s="50"/>
      <c r="AB16" s="42"/>
      <c r="AC16" s="95"/>
      <c r="AD16" s="50"/>
      <c r="AE16" s="42"/>
      <c r="AF16" s="95"/>
      <c r="AG16" s="50"/>
      <c r="AH16" s="42"/>
      <c r="AI16" s="95"/>
      <c r="AJ16" s="50"/>
      <c r="AK16" s="95"/>
      <c r="AL16" s="57"/>
      <c r="AM16" s="50"/>
      <c r="AN16" s="95"/>
      <c r="AO16" s="57"/>
      <c r="AP16" s="50"/>
      <c r="AQ16" s="95"/>
      <c r="AR16" s="197"/>
      <c r="AS16" s="486"/>
      <c r="AT16" s="238"/>
      <c r="AU16" s="487"/>
    </row>
    <row r="17" spans="1:47">
      <c r="B17" s="24" t="s">
        <v>51</v>
      </c>
      <c r="D17" s="24"/>
      <c r="E17" s="108"/>
      <c r="F17" s="108"/>
      <c r="G17" s="50"/>
      <c r="H17" s="95"/>
      <c r="I17" s="50"/>
      <c r="J17" s="95"/>
      <c r="K17" s="50"/>
      <c r="L17" s="95"/>
      <c r="M17" s="50"/>
      <c r="N17" s="95"/>
      <c r="O17" s="50"/>
      <c r="P17" s="95"/>
      <c r="Q17" s="50"/>
      <c r="R17" s="95"/>
      <c r="S17" s="50"/>
      <c r="T17" s="95"/>
      <c r="U17" s="50"/>
      <c r="V17" s="95"/>
      <c r="W17" s="95"/>
      <c r="X17" s="50"/>
      <c r="Y17" s="95"/>
      <c r="Z17" s="95"/>
      <c r="AA17" s="50"/>
      <c r="AB17" s="42"/>
      <c r="AC17" s="95"/>
      <c r="AD17" s="50"/>
      <c r="AE17" s="42"/>
      <c r="AF17" s="95"/>
      <c r="AG17" s="50"/>
      <c r="AH17" s="42"/>
      <c r="AI17" s="95"/>
      <c r="AJ17" s="50"/>
      <c r="AK17" s="95"/>
      <c r="AL17" s="57"/>
      <c r="AM17" s="50"/>
      <c r="AN17" s="95"/>
      <c r="AO17" s="57"/>
      <c r="AP17" s="50"/>
      <c r="AQ17" s="95"/>
      <c r="AR17" s="197"/>
      <c r="AS17" s="486"/>
      <c r="AT17" s="238"/>
      <c r="AU17" s="487"/>
    </row>
    <row r="18" spans="1:47">
      <c r="A18" s="22">
        <v>5</v>
      </c>
      <c r="C18" s="24" t="s">
        <v>12</v>
      </c>
      <c r="D18" s="24"/>
      <c r="E18" s="108"/>
      <c r="F18" s="108"/>
      <c r="G18" s="50"/>
      <c r="H18" s="95">
        <f>-'Cost Trends'!F19</f>
        <v>-59659</v>
      </c>
      <c r="I18" s="50"/>
      <c r="J18" s="95">
        <f>-'Cost Trends'!G19</f>
        <v>-106139</v>
      </c>
      <c r="K18" s="50"/>
      <c r="L18" s="95">
        <f>-'Cost Trends'!H19</f>
        <v>-109325</v>
      </c>
      <c r="M18" s="50"/>
      <c r="N18" s="95">
        <f>-'Cost Trends'!I19</f>
        <v>-96222</v>
      </c>
      <c r="O18" s="50"/>
      <c r="P18" s="95">
        <f>-'Cost Trends'!J19</f>
        <v>-114371</v>
      </c>
      <c r="Q18" s="50"/>
      <c r="R18" s="95">
        <f>-'Cost Trends'!K19</f>
        <v>-167251</v>
      </c>
      <c r="S18" s="50"/>
      <c r="T18" s="95">
        <f>-'Cost Trends'!L19</f>
        <v>-149802</v>
      </c>
      <c r="U18" s="50"/>
      <c r="V18" s="95"/>
      <c r="W18" s="95">
        <f>-'Cost Trends'!M19</f>
        <v>-222364</v>
      </c>
      <c r="X18" s="50"/>
      <c r="Y18" s="95"/>
      <c r="Z18" s="95">
        <f>-'Cost Trends'!N19</f>
        <v>-310276</v>
      </c>
      <c r="AA18" s="50"/>
      <c r="AB18" s="42"/>
      <c r="AC18" s="95">
        <f>-'Cost Trends'!O19</f>
        <v>-194267</v>
      </c>
      <c r="AD18" s="50"/>
      <c r="AE18" s="42"/>
      <c r="AF18" s="95">
        <f>-'Cost Trends'!P19</f>
        <v>-197494</v>
      </c>
      <c r="AG18" s="50"/>
      <c r="AH18" s="42"/>
      <c r="AI18" s="95">
        <f>-'Cost Trends'!Q19</f>
        <v>-188167</v>
      </c>
      <c r="AJ18" s="50"/>
      <c r="AK18" s="95"/>
      <c r="AL18" s="57">
        <f>-'Cost Trends'!R19</f>
        <v>-139073</v>
      </c>
      <c r="AM18" s="50"/>
      <c r="AN18" s="95"/>
      <c r="AO18" s="57">
        <f>-'Cost Trends'!S19</f>
        <v>-76801</v>
      </c>
      <c r="AP18" s="50"/>
      <c r="AQ18" s="95"/>
      <c r="AR18" s="197">
        <f>-'[9]Cost Trends'!T19</f>
        <v>-84187</v>
      </c>
      <c r="AS18" s="486"/>
      <c r="AT18" s="238"/>
      <c r="AU18" s="487">
        <f>-'[9]Cost Trends'!U19</f>
        <v>-79634</v>
      </c>
    </row>
    <row r="19" spans="1:47">
      <c r="A19" s="22">
        <v>6</v>
      </c>
      <c r="C19" s="24" t="s">
        <v>13</v>
      </c>
      <c r="D19" s="24"/>
      <c r="E19" s="108"/>
      <c r="F19" s="108"/>
      <c r="G19" s="50"/>
      <c r="H19" s="95">
        <f>-'Cost Trends'!F20+H63</f>
        <v>2078</v>
      </c>
      <c r="I19" s="50"/>
      <c r="J19" s="95">
        <f>-'Cost Trends'!G20+J63</f>
        <v>-756</v>
      </c>
      <c r="K19" s="50"/>
      <c r="L19" s="95">
        <f>-'Cost Trends'!H20+L63</f>
        <v>-916</v>
      </c>
      <c r="M19" s="50"/>
      <c r="N19" s="95">
        <f>-'Cost Trends'!I20+N63</f>
        <v>-901</v>
      </c>
      <c r="O19" s="50"/>
      <c r="P19" s="95">
        <f>-'Cost Trends'!J20+P63</f>
        <v>0</v>
      </c>
      <c r="Q19" s="50"/>
      <c r="R19" s="95">
        <f>-'Cost Trends'!K20+R63</f>
        <v>0</v>
      </c>
      <c r="S19" s="50"/>
      <c r="T19" s="95">
        <f>-'Cost Trends'!L20+T63</f>
        <v>0</v>
      </c>
      <c r="U19" s="50"/>
      <c r="V19" s="95"/>
      <c r="W19" s="95">
        <f>-'Cost Trends'!M20+W63</f>
        <v>0</v>
      </c>
      <c r="X19" s="50"/>
      <c r="Y19" s="95"/>
      <c r="Z19" s="95">
        <f>-'Cost Trends'!N20+Z63</f>
        <v>9886</v>
      </c>
      <c r="AA19" s="50"/>
      <c r="AB19" s="42"/>
      <c r="AC19" s="95">
        <f>-'Cost Trends'!O20+AC63</f>
        <v>-1</v>
      </c>
      <c r="AD19" s="50"/>
      <c r="AE19" s="42"/>
      <c r="AF19" s="95">
        <f>-'Cost Trends'!P20+AF63</f>
        <v>0</v>
      </c>
      <c r="AG19" s="50"/>
      <c r="AH19" s="42"/>
      <c r="AI19" s="95">
        <f>-'Cost Trends'!Q20+AI63</f>
        <v>967</v>
      </c>
      <c r="AJ19" s="50"/>
      <c r="AK19" s="95"/>
      <c r="AL19" s="57">
        <f>-'Cost Trends'!R20+AL63</f>
        <v>798</v>
      </c>
      <c r="AM19" s="50"/>
      <c r="AN19" s="95"/>
      <c r="AO19" s="57">
        <f>-'Cost Trends'!S20+AO63</f>
        <v>0</v>
      </c>
      <c r="AP19" s="50"/>
      <c r="AQ19" s="95"/>
      <c r="AR19" s="197">
        <f>-'[9]Cost Trends'!T20+AR63</f>
        <v>0</v>
      </c>
      <c r="AS19" s="486"/>
      <c r="AT19" s="238"/>
      <c r="AU19" s="487">
        <f>-'[9]Cost Trends'!U20+AU63</f>
        <v>0</v>
      </c>
    </row>
    <row r="20" spans="1:47">
      <c r="A20" s="22">
        <v>7</v>
      </c>
      <c r="C20" s="24" t="s">
        <v>14</v>
      </c>
      <c r="D20" s="24"/>
      <c r="E20" s="108"/>
      <c r="F20" s="108"/>
      <c r="G20" s="51"/>
      <c r="H20" s="95">
        <f>-'Cost Trends'!F21</f>
        <v>-38</v>
      </c>
      <c r="I20" s="51"/>
      <c r="J20" s="95">
        <f>-'Cost Trends'!G21</f>
        <v>-134</v>
      </c>
      <c r="K20" s="51"/>
      <c r="L20" s="95">
        <f>-'Cost Trends'!H21</f>
        <v>-128</v>
      </c>
      <c r="M20" s="51"/>
      <c r="N20" s="95">
        <f>-'Cost Trends'!I21</f>
        <v>0</v>
      </c>
      <c r="O20" s="51"/>
      <c r="P20" s="95">
        <f>-'Cost Trends'!J21</f>
        <v>0</v>
      </c>
      <c r="Q20" s="51"/>
      <c r="R20" s="95">
        <f>-'Cost Trends'!K21</f>
        <v>8407</v>
      </c>
      <c r="S20" s="51"/>
      <c r="T20" s="95">
        <f>-'Cost Trends'!L21</f>
        <v>0</v>
      </c>
      <c r="U20" s="51"/>
      <c r="V20" s="43"/>
      <c r="W20" s="95">
        <f>-'Cost Trends'!M21</f>
        <v>-283</v>
      </c>
      <c r="X20" s="51"/>
      <c r="Y20" s="95"/>
      <c r="Z20" s="95">
        <f>-'Cost Trends'!N21</f>
        <v>-2</v>
      </c>
      <c r="AA20" s="51"/>
      <c r="AB20" s="43"/>
      <c r="AC20" s="95">
        <f>-'Cost Trends'!O21</f>
        <v>-10720</v>
      </c>
      <c r="AD20" s="51"/>
      <c r="AE20" s="43"/>
      <c r="AF20" s="95">
        <f>-'Cost Trends'!P21</f>
        <v>3322</v>
      </c>
      <c r="AG20" s="51"/>
      <c r="AH20" s="43"/>
      <c r="AI20" s="95">
        <f>-'Cost Trends'!Q21</f>
        <v>4366</v>
      </c>
      <c r="AJ20" s="51"/>
      <c r="AK20" s="43"/>
      <c r="AL20" s="57">
        <f>-'Cost Trends'!R21</f>
        <v>-4352</v>
      </c>
      <c r="AM20" s="51"/>
      <c r="AN20" s="43"/>
      <c r="AO20" s="57">
        <f>-'Cost Trends'!S21</f>
        <v>0</v>
      </c>
      <c r="AP20" s="51"/>
      <c r="AQ20" s="43"/>
      <c r="AR20" s="197">
        <f>-'[9]Cost Trends'!T21</f>
        <v>0</v>
      </c>
      <c r="AS20" s="488"/>
      <c r="AT20" s="489"/>
      <c r="AU20" s="487">
        <f>-'[9]Cost Trends'!W21</f>
        <v>0</v>
      </c>
    </row>
    <row r="21" spans="1:47">
      <c r="A21" s="22">
        <v>8</v>
      </c>
      <c r="B21" s="24" t="s">
        <v>15</v>
      </c>
      <c r="C21" s="24"/>
      <c r="E21" s="108"/>
      <c r="F21" s="108"/>
      <c r="G21" s="50">
        <f t="shared" ref="G21:P21" si="3">SUM(G18:G20)</f>
        <v>0</v>
      </c>
      <c r="H21" s="97">
        <f>SUM(H18:H20)</f>
        <v>-57619</v>
      </c>
      <c r="I21" s="50">
        <f t="shared" si="3"/>
        <v>0</v>
      </c>
      <c r="J21" s="97">
        <f>SUM(J18:J20)</f>
        <v>-107029</v>
      </c>
      <c r="K21" s="50">
        <f t="shared" si="3"/>
        <v>0</v>
      </c>
      <c r="L21" s="97">
        <f t="shared" si="3"/>
        <v>-110369</v>
      </c>
      <c r="M21" s="50">
        <f t="shared" si="3"/>
        <v>0</v>
      </c>
      <c r="N21" s="97">
        <f t="shared" si="3"/>
        <v>-97123</v>
      </c>
      <c r="O21" s="50">
        <f t="shared" si="3"/>
        <v>0</v>
      </c>
      <c r="P21" s="97">
        <f t="shared" si="3"/>
        <v>-114371</v>
      </c>
      <c r="Q21" s="50">
        <f t="shared" ref="Q21:AI21" si="4">SUM(Q18:Q20)</f>
        <v>0</v>
      </c>
      <c r="R21" s="97">
        <f t="shared" si="4"/>
        <v>-158844</v>
      </c>
      <c r="S21" s="50">
        <f t="shared" si="4"/>
        <v>0</v>
      </c>
      <c r="T21" s="97">
        <f t="shared" si="4"/>
        <v>-149802</v>
      </c>
      <c r="U21" s="50">
        <f t="shared" si="4"/>
        <v>0</v>
      </c>
      <c r="V21" s="95">
        <f t="shared" si="4"/>
        <v>0</v>
      </c>
      <c r="W21" s="97">
        <f t="shared" si="4"/>
        <v>-222647</v>
      </c>
      <c r="X21" s="50">
        <f t="shared" si="4"/>
        <v>0</v>
      </c>
      <c r="Y21" s="96">
        <f t="shared" si="4"/>
        <v>0</v>
      </c>
      <c r="Z21" s="97">
        <f t="shared" si="4"/>
        <v>-300392</v>
      </c>
      <c r="AA21" s="50">
        <f t="shared" si="4"/>
        <v>0</v>
      </c>
      <c r="AB21" s="42">
        <f t="shared" si="4"/>
        <v>0</v>
      </c>
      <c r="AC21" s="97">
        <f t="shared" si="4"/>
        <v>-204988</v>
      </c>
      <c r="AD21" s="50">
        <f t="shared" si="4"/>
        <v>0</v>
      </c>
      <c r="AE21" s="42">
        <f t="shared" si="4"/>
        <v>0</v>
      </c>
      <c r="AF21" s="97">
        <f t="shared" si="4"/>
        <v>-194172</v>
      </c>
      <c r="AG21" s="50">
        <f t="shared" si="4"/>
        <v>0</v>
      </c>
      <c r="AH21" s="42">
        <f t="shared" si="4"/>
        <v>0</v>
      </c>
      <c r="AI21" s="97">
        <f t="shared" si="4"/>
        <v>-182834</v>
      </c>
      <c r="AJ21" s="50">
        <f t="shared" ref="AJ21:AU21" si="5">SUM(AJ18:AJ20)</f>
        <v>0</v>
      </c>
      <c r="AK21" s="95">
        <f t="shared" si="5"/>
        <v>0</v>
      </c>
      <c r="AL21" s="97">
        <f t="shared" si="5"/>
        <v>-142627</v>
      </c>
      <c r="AM21" s="50">
        <f t="shared" si="5"/>
        <v>0</v>
      </c>
      <c r="AN21" s="95">
        <f t="shared" si="5"/>
        <v>0</v>
      </c>
      <c r="AO21" s="97">
        <f t="shared" si="5"/>
        <v>-76801</v>
      </c>
      <c r="AP21" s="50">
        <f t="shared" si="5"/>
        <v>0</v>
      </c>
      <c r="AQ21" s="95">
        <f t="shared" si="5"/>
        <v>0</v>
      </c>
      <c r="AR21" s="491">
        <f t="shared" si="5"/>
        <v>-84187</v>
      </c>
      <c r="AS21" s="486">
        <f t="shared" si="5"/>
        <v>0</v>
      </c>
      <c r="AT21" s="238">
        <f t="shared" si="5"/>
        <v>0</v>
      </c>
      <c r="AU21" s="492">
        <f t="shared" si="5"/>
        <v>-79634</v>
      </c>
    </row>
    <row r="22" spans="1:47">
      <c r="B22" s="24"/>
      <c r="C22" s="24"/>
      <c r="E22" s="108"/>
      <c r="F22" s="108"/>
      <c r="G22" s="50"/>
      <c r="H22" s="95"/>
      <c r="I22" s="50"/>
      <c r="J22" s="95"/>
      <c r="K22" s="50"/>
      <c r="L22" s="95"/>
      <c r="M22" s="50"/>
      <c r="N22" s="95"/>
      <c r="O22" s="50"/>
      <c r="P22" s="95"/>
      <c r="Q22" s="50"/>
      <c r="R22" s="95"/>
      <c r="S22" s="50"/>
      <c r="T22" s="95"/>
      <c r="U22" s="50"/>
      <c r="V22" s="95"/>
      <c r="W22" s="95"/>
      <c r="X22" s="50"/>
      <c r="Y22" s="95"/>
      <c r="Z22" s="95"/>
      <c r="AA22" s="50"/>
      <c r="AB22" s="42"/>
      <c r="AC22" s="95"/>
      <c r="AD22" s="50"/>
      <c r="AE22" s="42"/>
      <c r="AF22" s="95"/>
      <c r="AG22" s="50"/>
      <c r="AH22" s="42"/>
      <c r="AI22" s="95"/>
      <c r="AJ22" s="50"/>
      <c r="AK22" s="95"/>
      <c r="AL22" s="57"/>
      <c r="AM22" s="50"/>
      <c r="AN22" s="95"/>
      <c r="AO22" s="57"/>
      <c r="AP22" s="50"/>
      <c r="AQ22" s="95"/>
      <c r="AR22" s="197"/>
      <c r="AS22" s="486"/>
      <c r="AT22" s="238"/>
      <c r="AU22" s="487"/>
    </row>
    <row r="23" spans="1:47">
      <c r="B23" s="24" t="s">
        <v>16</v>
      </c>
      <c r="D23" s="24"/>
      <c r="E23" s="108"/>
      <c r="F23" s="108"/>
      <c r="G23" s="50"/>
      <c r="H23" s="95"/>
      <c r="I23" s="50"/>
      <c r="J23" s="95"/>
      <c r="K23" s="50"/>
      <c r="L23" s="95"/>
      <c r="M23" s="50"/>
      <c r="N23" s="95"/>
      <c r="O23" s="50"/>
      <c r="P23" s="95"/>
      <c r="Q23" s="50"/>
      <c r="R23" s="95"/>
      <c r="S23" s="50"/>
      <c r="T23" s="95"/>
      <c r="U23" s="50"/>
      <c r="V23" s="95"/>
      <c r="W23" s="95"/>
      <c r="X23" s="50"/>
      <c r="Y23" s="95"/>
      <c r="Z23" s="95"/>
      <c r="AA23" s="50"/>
      <c r="AB23" s="42"/>
      <c r="AC23" s="95"/>
      <c r="AD23" s="50"/>
      <c r="AE23" s="42"/>
      <c r="AF23" s="95"/>
      <c r="AG23" s="50"/>
      <c r="AH23" s="42"/>
      <c r="AI23" s="95"/>
      <c r="AJ23" s="50"/>
      <c r="AK23" s="95"/>
      <c r="AL23" s="57"/>
      <c r="AM23" s="50"/>
      <c r="AN23" s="95"/>
      <c r="AO23" s="57"/>
      <c r="AP23" s="50"/>
      <c r="AQ23" s="95"/>
      <c r="AR23" s="197"/>
      <c r="AS23" s="486"/>
      <c r="AT23" s="238"/>
      <c r="AU23" s="487"/>
    </row>
    <row r="24" spans="1:47">
      <c r="A24" s="22">
        <v>9</v>
      </c>
      <c r="C24" s="24" t="s">
        <v>17</v>
      </c>
      <c r="D24" s="24"/>
      <c r="E24" s="108"/>
      <c r="F24" s="108"/>
      <c r="G24" s="50"/>
      <c r="H24" s="95"/>
      <c r="I24" s="50"/>
      <c r="J24" s="95"/>
      <c r="K24" s="50"/>
      <c r="L24" s="95"/>
      <c r="M24" s="50"/>
      <c r="N24" s="95"/>
      <c r="O24" s="50"/>
      <c r="P24" s="95"/>
      <c r="Q24" s="50"/>
      <c r="R24" s="95"/>
      <c r="S24" s="50"/>
      <c r="T24" s="95"/>
      <c r="U24" s="50"/>
      <c r="V24" s="95"/>
      <c r="W24" s="95"/>
      <c r="X24" s="50"/>
      <c r="Y24" s="95"/>
      <c r="Z24" s="95"/>
      <c r="AA24" s="50"/>
      <c r="AB24" s="42"/>
      <c r="AC24" s="95"/>
      <c r="AD24" s="50"/>
      <c r="AE24" s="42"/>
      <c r="AF24" s="95"/>
      <c r="AG24" s="50"/>
      <c r="AH24" s="42"/>
      <c r="AI24" s="95"/>
      <c r="AJ24" s="50"/>
      <c r="AK24" s="95"/>
      <c r="AL24" s="57"/>
      <c r="AM24" s="50"/>
      <c r="AN24" s="95"/>
      <c r="AO24" s="57"/>
      <c r="AP24" s="50"/>
      <c r="AQ24" s="95"/>
      <c r="AR24" s="197"/>
      <c r="AS24" s="486"/>
      <c r="AT24" s="238"/>
      <c r="AU24" s="487"/>
    </row>
    <row r="25" spans="1:47">
      <c r="A25" s="22">
        <v>10</v>
      </c>
      <c r="C25" s="24" t="s">
        <v>47</v>
      </c>
      <c r="D25" s="24"/>
      <c r="E25" s="108"/>
      <c r="F25" s="108"/>
      <c r="G25" s="50"/>
      <c r="H25" s="95"/>
      <c r="I25" s="50"/>
      <c r="J25" s="95"/>
      <c r="K25" s="50"/>
      <c r="L25" s="95"/>
      <c r="M25" s="50"/>
      <c r="N25" s="95"/>
      <c r="O25" s="50"/>
      <c r="P25" s="95"/>
      <c r="Q25" s="50"/>
      <c r="R25" s="95"/>
      <c r="S25" s="50"/>
      <c r="T25" s="95"/>
      <c r="U25" s="50"/>
      <c r="V25" s="95"/>
      <c r="W25" s="95"/>
      <c r="X25" s="50"/>
      <c r="Y25" s="95"/>
      <c r="Z25" s="95"/>
      <c r="AA25" s="50"/>
      <c r="AB25" s="42"/>
      <c r="AC25" s="95"/>
      <c r="AD25" s="50"/>
      <c r="AE25" s="42"/>
      <c r="AF25" s="95"/>
      <c r="AG25" s="50"/>
      <c r="AH25" s="42"/>
      <c r="AI25" s="95"/>
      <c r="AJ25" s="50"/>
      <c r="AK25" s="95"/>
      <c r="AL25" s="57"/>
      <c r="AM25" s="50"/>
      <c r="AN25" s="95"/>
      <c r="AO25" s="57"/>
      <c r="AP25" s="50"/>
      <c r="AQ25" s="95"/>
      <c r="AR25" s="197"/>
      <c r="AS25" s="486"/>
      <c r="AT25" s="238"/>
      <c r="AU25" s="487"/>
    </row>
    <row r="26" spans="1:47">
      <c r="A26" s="22">
        <v>11</v>
      </c>
      <c r="C26" s="24" t="s">
        <v>4</v>
      </c>
      <c r="D26" s="24"/>
      <c r="E26" s="108"/>
      <c r="F26" s="108"/>
      <c r="G26" s="51"/>
      <c r="H26" s="43"/>
      <c r="I26" s="51"/>
      <c r="J26" s="43"/>
      <c r="K26" s="51"/>
      <c r="L26" s="43"/>
      <c r="M26" s="51"/>
      <c r="N26" s="43"/>
      <c r="O26" s="51"/>
      <c r="P26" s="43"/>
      <c r="Q26" s="51"/>
      <c r="R26" s="43"/>
      <c r="S26" s="51"/>
      <c r="T26" s="43"/>
      <c r="U26" s="51"/>
      <c r="V26" s="43"/>
      <c r="W26" s="43"/>
      <c r="X26" s="51"/>
      <c r="Y26" s="95"/>
      <c r="Z26" s="43"/>
      <c r="AA26" s="51"/>
      <c r="AB26" s="43"/>
      <c r="AC26" s="43"/>
      <c r="AD26" s="51"/>
      <c r="AE26" s="43"/>
      <c r="AF26" s="43"/>
      <c r="AG26" s="51"/>
      <c r="AH26" s="43"/>
      <c r="AI26" s="43"/>
      <c r="AJ26" s="51"/>
      <c r="AK26" s="43"/>
      <c r="AL26" s="58"/>
      <c r="AM26" s="51"/>
      <c r="AN26" s="43"/>
      <c r="AO26" s="58"/>
      <c r="AP26" s="51"/>
      <c r="AQ26" s="43"/>
      <c r="AR26" s="196"/>
      <c r="AS26" s="488"/>
      <c r="AT26" s="489"/>
      <c r="AU26" s="490"/>
    </row>
    <row r="27" spans="1:47">
      <c r="A27" s="22">
        <v>12</v>
      </c>
      <c r="B27" s="24" t="s">
        <v>18</v>
      </c>
      <c r="C27" s="24"/>
      <c r="E27" s="108"/>
      <c r="F27" s="108"/>
      <c r="G27" s="50">
        <f t="shared" ref="G27:P27" si="6">SUM(G24:G26)</f>
        <v>0</v>
      </c>
      <c r="H27" s="95">
        <f>SUM(H24:H26)</f>
        <v>0</v>
      </c>
      <c r="I27" s="50">
        <f t="shared" si="6"/>
        <v>0</v>
      </c>
      <c r="J27" s="95">
        <f>SUM(J24:J26)</f>
        <v>0</v>
      </c>
      <c r="K27" s="50">
        <f t="shared" si="6"/>
        <v>0</v>
      </c>
      <c r="L27" s="95">
        <f t="shared" si="6"/>
        <v>0</v>
      </c>
      <c r="M27" s="50">
        <f t="shared" si="6"/>
        <v>0</v>
      </c>
      <c r="N27" s="95">
        <f t="shared" si="6"/>
        <v>0</v>
      </c>
      <c r="O27" s="50">
        <f t="shared" si="6"/>
        <v>0</v>
      </c>
      <c r="P27" s="95">
        <f t="shared" si="6"/>
        <v>0</v>
      </c>
      <c r="Q27" s="50">
        <f t="shared" ref="Q27:AI27" si="7">SUM(Q24:Q26)</f>
        <v>0</v>
      </c>
      <c r="R27" s="95">
        <f t="shared" si="7"/>
        <v>0</v>
      </c>
      <c r="S27" s="50">
        <f t="shared" si="7"/>
        <v>0</v>
      </c>
      <c r="T27" s="95">
        <f t="shared" si="7"/>
        <v>0</v>
      </c>
      <c r="U27" s="50">
        <f t="shared" si="7"/>
        <v>0</v>
      </c>
      <c r="V27" s="95">
        <f t="shared" si="7"/>
        <v>0</v>
      </c>
      <c r="W27" s="95">
        <f t="shared" si="7"/>
        <v>0</v>
      </c>
      <c r="X27" s="50">
        <f t="shared" si="7"/>
        <v>0</v>
      </c>
      <c r="Y27" s="96">
        <f t="shared" si="7"/>
        <v>0</v>
      </c>
      <c r="Z27" s="95">
        <f t="shared" si="7"/>
        <v>0</v>
      </c>
      <c r="AA27" s="50">
        <f t="shared" si="7"/>
        <v>0</v>
      </c>
      <c r="AB27" s="42">
        <f t="shared" si="7"/>
        <v>0</v>
      </c>
      <c r="AC27" s="95">
        <f t="shared" si="7"/>
        <v>0</v>
      </c>
      <c r="AD27" s="50">
        <f t="shared" si="7"/>
        <v>0</v>
      </c>
      <c r="AE27" s="42">
        <f t="shared" si="7"/>
        <v>0</v>
      </c>
      <c r="AF27" s="95">
        <f t="shared" si="7"/>
        <v>0</v>
      </c>
      <c r="AG27" s="50">
        <f t="shared" si="7"/>
        <v>0</v>
      </c>
      <c r="AH27" s="42">
        <f t="shared" si="7"/>
        <v>0</v>
      </c>
      <c r="AI27" s="95">
        <f t="shared" si="7"/>
        <v>0</v>
      </c>
      <c r="AJ27" s="50">
        <f t="shared" ref="AJ27:AU27" si="8">SUM(AJ24:AJ26)</f>
        <v>0</v>
      </c>
      <c r="AK27" s="95">
        <f t="shared" si="8"/>
        <v>0</v>
      </c>
      <c r="AL27" s="57">
        <f t="shared" si="8"/>
        <v>0</v>
      </c>
      <c r="AM27" s="50">
        <f t="shared" si="8"/>
        <v>0</v>
      </c>
      <c r="AN27" s="95">
        <f t="shared" si="8"/>
        <v>0</v>
      </c>
      <c r="AO27" s="57">
        <f t="shared" si="8"/>
        <v>0</v>
      </c>
      <c r="AP27" s="50">
        <f t="shared" si="8"/>
        <v>0</v>
      </c>
      <c r="AQ27" s="95">
        <f t="shared" si="8"/>
        <v>0</v>
      </c>
      <c r="AR27" s="197">
        <f t="shared" si="8"/>
        <v>0</v>
      </c>
      <c r="AS27" s="486">
        <f t="shared" si="8"/>
        <v>0</v>
      </c>
      <c r="AT27" s="238">
        <f t="shared" si="8"/>
        <v>0</v>
      </c>
      <c r="AU27" s="487">
        <f t="shared" si="8"/>
        <v>0</v>
      </c>
    </row>
    <row r="28" spans="1:47">
      <c r="B28" s="24"/>
      <c r="C28" s="24"/>
      <c r="E28" s="108"/>
      <c r="F28" s="108"/>
      <c r="G28" s="50"/>
      <c r="H28" s="95"/>
      <c r="I28" s="50"/>
      <c r="J28" s="95"/>
      <c r="K28" s="50"/>
      <c r="L28" s="95"/>
      <c r="M28" s="50"/>
      <c r="N28" s="95"/>
      <c r="O28" s="50"/>
      <c r="P28" s="95"/>
      <c r="Q28" s="50"/>
      <c r="R28" s="95"/>
      <c r="S28" s="50"/>
      <c r="T28" s="95"/>
      <c r="U28" s="50"/>
      <c r="V28" s="95"/>
      <c r="W28" s="95"/>
      <c r="X28" s="50"/>
      <c r="Y28" s="95"/>
      <c r="Z28" s="95"/>
      <c r="AA28" s="50"/>
      <c r="AB28" s="42"/>
      <c r="AC28" s="95"/>
      <c r="AD28" s="50"/>
      <c r="AE28" s="42"/>
      <c r="AF28" s="95"/>
      <c r="AG28" s="50"/>
      <c r="AH28" s="42"/>
      <c r="AI28" s="95"/>
      <c r="AJ28" s="50"/>
      <c r="AK28" s="95"/>
      <c r="AL28" s="57"/>
      <c r="AM28" s="50"/>
      <c r="AN28" s="95"/>
      <c r="AO28" s="57"/>
      <c r="AP28" s="50"/>
      <c r="AQ28" s="95"/>
      <c r="AR28" s="197"/>
      <c r="AS28" s="486"/>
      <c r="AT28" s="238"/>
      <c r="AU28" s="487"/>
    </row>
    <row r="29" spans="1:47">
      <c r="B29" s="24" t="s">
        <v>19</v>
      </c>
      <c r="D29" s="24"/>
      <c r="E29" s="108"/>
      <c r="F29" s="108"/>
      <c r="G29" s="50"/>
      <c r="H29" s="95"/>
      <c r="I29" s="50"/>
      <c r="J29" s="95"/>
      <c r="K29" s="50"/>
      <c r="L29" s="95"/>
      <c r="M29" s="50"/>
      <c r="N29" s="95"/>
      <c r="O29" s="50"/>
      <c r="P29" s="95"/>
      <c r="Q29" s="50"/>
      <c r="R29" s="95"/>
      <c r="S29" s="50"/>
      <c r="T29" s="95"/>
      <c r="U29" s="50"/>
      <c r="V29" s="95"/>
      <c r="W29" s="95"/>
      <c r="X29" s="50"/>
      <c r="Y29" s="95"/>
      <c r="Z29" s="95"/>
      <c r="AA29" s="50"/>
      <c r="AB29" s="42"/>
      <c r="AC29" s="95"/>
      <c r="AD29" s="50"/>
      <c r="AE29" s="42"/>
      <c r="AF29" s="95"/>
      <c r="AG29" s="50"/>
      <c r="AH29" s="42"/>
      <c r="AI29" s="95"/>
      <c r="AJ29" s="50"/>
      <c r="AK29" s="95"/>
      <c r="AL29" s="57"/>
      <c r="AM29" s="50"/>
      <c r="AN29" s="95"/>
      <c r="AO29" s="57"/>
      <c r="AP29" s="50"/>
      <c r="AQ29" s="95"/>
      <c r="AR29" s="197"/>
      <c r="AS29" s="486"/>
      <c r="AT29" s="238"/>
      <c r="AU29" s="487"/>
    </row>
    <row r="30" spans="1:47">
      <c r="A30" s="22">
        <v>13</v>
      </c>
      <c r="C30" s="24" t="s">
        <v>17</v>
      </c>
      <c r="D30" s="24"/>
      <c r="E30" s="108"/>
      <c r="F30" s="108"/>
      <c r="G30" s="50"/>
      <c r="H30" s="95"/>
      <c r="I30" s="50"/>
      <c r="J30" s="95"/>
      <c r="K30" s="50"/>
      <c r="L30" s="95"/>
      <c r="M30" s="50"/>
      <c r="N30" s="95"/>
      <c r="O30" s="50"/>
      <c r="P30" s="95"/>
      <c r="Q30" s="50"/>
      <c r="R30" s="95"/>
      <c r="S30" s="50"/>
      <c r="T30" s="95"/>
      <c r="U30" s="50"/>
      <c r="V30" s="95"/>
      <c r="W30" s="95"/>
      <c r="X30" s="50"/>
      <c r="Y30" s="95"/>
      <c r="Z30" s="95"/>
      <c r="AA30" s="50"/>
      <c r="AB30" s="42"/>
      <c r="AC30" s="95"/>
      <c r="AD30" s="50"/>
      <c r="AE30" s="42"/>
      <c r="AF30" s="95"/>
      <c r="AG30" s="50"/>
      <c r="AH30" s="42"/>
      <c r="AI30" s="95"/>
      <c r="AJ30" s="50"/>
      <c r="AK30" s="95"/>
      <c r="AL30" s="57"/>
      <c r="AM30" s="50"/>
      <c r="AN30" s="95"/>
      <c r="AO30" s="57"/>
      <c r="AP30" s="50"/>
      <c r="AQ30" s="95"/>
      <c r="AR30" s="197"/>
      <c r="AS30" s="486"/>
      <c r="AT30" s="238"/>
      <c r="AU30" s="487"/>
    </row>
    <row r="31" spans="1:47">
      <c r="A31" s="22">
        <v>14</v>
      </c>
      <c r="C31" s="24" t="s">
        <v>47</v>
      </c>
      <c r="D31" s="24"/>
      <c r="E31" s="108"/>
      <c r="F31" s="108"/>
      <c r="G31" s="50"/>
      <c r="H31" s="95"/>
      <c r="I31" s="50"/>
      <c r="J31" s="95"/>
      <c r="K31" s="50"/>
      <c r="L31" s="95"/>
      <c r="M31" s="50"/>
      <c r="N31" s="95"/>
      <c r="O31" s="50"/>
      <c r="P31" s="95"/>
      <c r="Q31" s="50"/>
      <c r="R31" s="95"/>
      <c r="S31" s="50"/>
      <c r="T31" s="95"/>
      <c r="U31" s="50"/>
      <c r="V31" s="95"/>
      <c r="W31" s="95"/>
      <c r="X31" s="50"/>
      <c r="Y31" s="95"/>
      <c r="Z31" s="95"/>
      <c r="AA31" s="50"/>
      <c r="AB31" s="42"/>
      <c r="AC31" s="95"/>
      <c r="AD31" s="50"/>
      <c r="AE31" s="42"/>
      <c r="AF31" s="95"/>
      <c r="AG31" s="50"/>
      <c r="AH31" s="42"/>
      <c r="AI31" s="95"/>
      <c r="AJ31" s="50"/>
      <c r="AK31" s="95"/>
      <c r="AL31" s="57"/>
      <c r="AM31" s="50"/>
      <c r="AN31" s="95"/>
      <c r="AO31" s="57"/>
      <c r="AP31" s="50"/>
      <c r="AQ31" s="95"/>
      <c r="AR31" s="197"/>
      <c r="AS31" s="486"/>
      <c r="AT31" s="238"/>
      <c r="AU31" s="487"/>
    </row>
    <row r="32" spans="1:47">
      <c r="A32" s="22">
        <v>15</v>
      </c>
      <c r="C32" s="24" t="s">
        <v>4</v>
      </c>
      <c r="D32" s="24"/>
      <c r="E32" s="108">
        <f>'2) ROR'!N16</f>
        <v>3.8334071740649248E-2</v>
      </c>
      <c r="F32" s="108"/>
      <c r="G32" s="51">
        <f>ROUND(G11*$E32,0)</f>
        <v>0</v>
      </c>
      <c r="H32" s="43">
        <f>ROUND(H11*$E32,0)</f>
        <v>-2304</v>
      </c>
      <c r="I32" s="51">
        <f t="shared" ref="I32:P32" si="9">ROUND(I11*$E32,0)</f>
        <v>-38</v>
      </c>
      <c r="J32" s="43">
        <f t="shared" si="9"/>
        <v>-4287</v>
      </c>
      <c r="K32" s="51">
        <f t="shared" si="9"/>
        <v>-68</v>
      </c>
      <c r="L32" s="43">
        <f t="shared" si="9"/>
        <v>-4425</v>
      </c>
      <c r="M32" s="51">
        <f t="shared" si="9"/>
        <v>-81</v>
      </c>
      <c r="N32" s="43">
        <f t="shared" si="9"/>
        <v>-3899</v>
      </c>
      <c r="O32" s="51">
        <f t="shared" si="9"/>
        <v>0</v>
      </c>
      <c r="P32" s="43">
        <f t="shared" si="9"/>
        <v>-4592</v>
      </c>
      <c r="Q32" s="51">
        <f t="shared" ref="Q32:AI32" si="10">ROUND(Q11*$E32,0)</f>
        <v>-114</v>
      </c>
      <c r="R32" s="43">
        <f t="shared" si="10"/>
        <v>-5240</v>
      </c>
      <c r="S32" s="51">
        <f t="shared" si="10"/>
        <v>0</v>
      </c>
      <c r="T32" s="43">
        <f t="shared" si="10"/>
        <v>-6014</v>
      </c>
      <c r="U32" s="51">
        <f t="shared" si="10"/>
        <v>-154</v>
      </c>
      <c r="V32" s="43">
        <f t="shared" si="10"/>
        <v>-3</v>
      </c>
      <c r="W32" s="43">
        <f t="shared" si="10"/>
        <v>-6261</v>
      </c>
      <c r="X32" s="51">
        <f t="shared" si="10"/>
        <v>-176</v>
      </c>
      <c r="Y32" s="95">
        <f t="shared" si="10"/>
        <v>-17</v>
      </c>
      <c r="Z32" s="43">
        <f t="shared" si="10"/>
        <v>-5917</v>
      </c>
      <c r="AA32" s="51">
        <f t="shared" si="10"/>
        <v>-272</v>
      </c>
      <c r="AB32" s="43">
        <f t="shared" si="10"/>
        <v>-28</v>
      </c>
      <c r="AC32" s="43">
        <f t="shared" si="10"/>
        <v>-4858</v>
      </c>
      <c r="AD32" s="51">
        <f t="shared" si="10"/>
        <v>-338</v>
      </c>
      <c r="AE32" s="43">
        <f t="shared" si="10"/>
        <v>-20</v>
      </c>
      <c r="AF32" s="43">
        <f t="shared" si="10"/>
        <v>-3171</v>
      </c>
      <c r="AG32" s="51">
        <f t="shared" si="10"/>
        <v>-359</v>
      </c>
      <c r="AH32" s="43">
        <f t="shared" si="10"/>
        <v>-20</v>
      </c>
      <c r="AI32" s="43">
        <f t="shared" si="10"/>
        <v>-3374</v>
      </c>
      <c r="AJ32" s="51">
        <f t="shared" ref="AJ32:AU32" si="11">ROUND(AJ11*$E32,0)</f>
        <v>-239</v>
      </c>
      <c r="AK32" s="43">
        <f t="shared" si="11"/>
        <v>-7</v>
      </c>
      <c r="AL32" s="58">
        <f t="shared" si="11"/>
        <v>-3003</v>
      </c>
      <c r="AM32" s="51">
        <f t="shared" si="11"/>
        <v>0</v>
      </c>
      <c r="AN32" s="43">
        <f t="shared" si="11"/>
        <v>0</v>
      </c>
      <c r="AO32" s="58">
        <f t="shared" si="11"/>
        <v>-3083</v>
      </c>
      <c r="AP32" s="51">
        <f t="shared" si="11"/>
        <v>0</v>
      </c>
      <c r="AQ32" s="43">
        <f t="shared" si="11"/>
        <v>0</v>
      </c>
      <c r="AR32" s="196">
        <f t="shared" si="11"/>
        <v>-3380</v>
      </c>
      <c r="AS32" s="488">
        <f t="shared" si="11"/>
        <v>0</v>
      </c>
      <c r="AT32" s="489">
        <f t="shared" si="11"/>
        <v>0</v>
      </c>
      <c r="AU32" s="490">
        <f t="shared" si="11"/>
        <v>-3197</v>
      </c>
    </row>
    <row r="33" spans="1:47">
      <c r="A33" s="22">
        <v>16</v>
      </c>
      <c r="B33" s="24" t="s">
        <v>20</v>
      </c>
      <c r="C33" s="24"/>
      <c r="E33" s="108"/>
      <c r="F33" s="108"/>
      <c r="G33" s="50">
        <f t="shared" ref="G33:P33" si="12">SUM(G30:G32)</f>
        <v>0</v>
      </c>
      <c r="H33" s="95">
        <f>SUM(H30:H32)</f>
        <v>-2304</v>
      </c>
      <c r="I33" s="50">
        <f t="shared" si="12"/>
        <v>-38</v>
      </c>
      <c r="J33" s="95">
        <f>SUM(J30:J32)</f>
        <v>-4287</v>
      </c>
      <c r="K33" s="50">
        <f t="shared" si="12"/>
        <v>-68</v>
      </c>
      <c r="L33" s="95">
        <f t="shared" si="12"/>
        <v>-4425</v>
      </c>
      <c r="M33" s="50">
        <f t="shared" si="12"/>
        <v>-81</v>
      </c>
      <c r="N33" s="95">
        <f t="shared" si="12"/>
        <v>-3899</v>
      </c>
      <c r="O33" s="50">
        <f t="shared" si="12"/>
        <v>0</v>
      </c>
      <c r="P33" s="95">
        <f t="shared" si="12"/>
        <v>-4592</v>
      </c>
      <c r="Q33" s="50">
        <f t="shared" ref="Q33:AI33" si="13">SUM(Q30:Q32)</f>
        <v>-114</v>
      </c>
      <c r="R33" s="95">
        <f t="shared" si="13"/>
        <v>-5240</v>
      </c>
      <c r="S33" s="50">
        <f t="shared" si="13"/>
        <v>0</v>
      </c>
      <c r="T33" s="95">
        <f t="shared" si="13"/>
        <v>-6014</v>
      </c>
      <c r="U33" s="50">
        <f t="shared" si="13"/>
        <v>-154</v>
      </c>
      <c r="V33" s="95">
        <f t="shared" si="13"/>
        <v>-3</v>
      </c>
      <c r="W33" s="95">
        <f t="shared" si="13"/>
        <v>-6261</v>
      </c>
      <c r="X33" s="50">
        <f t="shared" si="13"/>
        <v>-176</v>
      </c>
      <c r="Y33" s="96">
        <f t="shared" si="13"/>
        <v>-17</v>
      </c>
      <c r="Z33" s="95">
        <f t="shared" si="13"/>
        <v>-5917</v>
      </c>
      <c r="AA33" s="50">
        <f t="shared" si="13"/>
        <v>-272</v>
      </c>
      <c r="AB33" s="42">
        <f t="shared" si="13"/>
        <v>-28</v>
      </c>
      <c r="AC33" s="95">
        <f t="shared" si="13"/>
        <v>-4858</v>
      </c>
      <c r="AD33" s="50">
        <f t="shared" si="13"/>
        <v>-338</v>
      </c>
      <c r="AE33" s="42">
        <f t="shared" si="13"/>
        <v>-20</v>
      </c>
      <c r="AF33" s="95">
        <f t="shared" si="13"/>
        <v>-3171</v>
      </c>
      <c r="AG33" s="50">
        <f t="shared" si="13"/>
        <v>-359</v>
      </c>
      <c r="AH33" s="42">
        <f t="shared" si="13"/>
        <v>-20</v>
      </c>
      <c r="AI33" s="95">
        <f t="shared" si="13"/>
        <v>-3374</v>
      </c>
      <c r="AJ33" s="50">
        <f t="shared" ref="AJ33:AU33" si="14">SUM(AJ30:AJ32)</f>
        <v>-239</v>
      </c>
      <c r="AK33" s="95">
        <f t="shared" si="14"/>
        <v>-7</v>
      </c>
      <c r="AL33" s="57">
        <f t="shared" si="14"/>
        <v>-3003</v>
      </c>
      <c r="AM33" s="50">
        <f t="shared" si="14"/>
        <v>0</v>
      </c>
      <c r="AN33" s="95">
        <f t="shared" si="14"/>
        <v>0</v>
      </c>
      <c r="AO33" s="57">
        <f t="shared" si="14"/>
        <v>-3083</v>
      </c>
      <c r="AP33" s="50">
        <f t="shared" si="14"/>
        <v>0</v>
      </c>
      <c r="AQ33" s="95">
        <f t="shared" si="14"/>
        <v>0</v>
      </c>
      <c r="AR33" s="197">
        <f t="shared" si="14"/>
        <v>-3380</v>
      </c>
      <c r="AS33" s="486">
        <f t="shared" si="14"/>
        <v>0</v>
      </c>
      <c r="AT33" s="238">
        <f t="shared" si="14"/>
        <v>0</v>
      </c>
      <c r="AU33" s="487">
        <f t="shared" si="14"/>
        <v>-3197</v>
      </c>
    </row>
    <row r="34" spans="1:47">
      <c r="C34" s="24"/>
      <c r="D34" s="24"/>
      <c r="E34" s="108"/>
      <c r="F34" s="108"/>
      <c r="G34" s="50"/>
      <c r="H34" s="95"/>
      <c r="I34" s="50"/>
      <c r="J34" s="95"/>
      <c r="K34" s="50"/>
      <c r="L34" s="95"/>
      <c r="M34" s="50"/>
      <c r="N34" s="95"/>
      <c r="O34" s="50"/>
      <c r="P34" s="95"/>
      <c r="Q34" s="50"/>
      <c r="R34" s="95"/>
      <c r="S34" s="50"/>
      <c r="T34" s="95"/>
      <c r="U34" s="50"/>
      <c r="V34" s="95"/>
      <c r="W34" s="95"/>
      <c r="X34" s="50"/>
      <c r="Y34" s="95"/>
      <c r="Z34" s="95"/>
      <c r="AA34" s="50"/>
      <c r="AB34" s="42"/>
      <c r="AC34" s="95"/>
      <c r="AD34" s="50"/>
      <c r="AE34" s="42"/>
      <c r="AF34" s="95"/>
      <c r="AG34" s="50"/>
      <c r="AH34" s="42"/>
      <c r="AI34" s="95"/>
      <c r="AJ34" s="50"/>
      <c r="AK34" s="95"/>
      <c r="AL34" s="57"/>
      <c r="AM34" s="50"/>
      <c r="AN34" s="95"/>
      <c r="AO34" s="57"/>
      <c r="AP34" s="50"/>
      <c r="AQ34" s="95"/>
      <c r="AR34" s="197"/>
      <c r="AS34" s="486"/>
      <c r="AT34" s="238"/>
      <c r="AU34" s="487"/>
    </row>
    <row r="35" spans="1:47">
      <c r="A35" s="22">
        <v>17</v>
      </c>
      <c r="B35" s="3" t="s">
        <v>21</v>
      </c>
      <c r="C35" s="24"/>
      <c r="D35" s="24"/>
      <c r="E35" s="108">
        <f>'2) ROR'!N12</f>
        <v>4.8267980101441661E-3</v>
      </c>
      <c r="F35" s="108"/>
      <c r="G35" s="50">
        <f>ROUND(G11*$E35,0)</f>
        <v>0</v>
      </c>
      <c r="H35" s="95">
        <f>ROUND(H11*$E35,0)</f>
        <v>-290</v>
      </c>
      <c r="I35" s="50">
        <f t="shared" ref="I35:P35" si="15">ROUND(I11*$E35,0)</f>
        <v>-5</v>
      </c>
      <c r="J35" s="95">
        <f t="shared" si="15"/>
        <v>-540</v>
      </c>
      <c r="K35" s="50">
        <f t="shared" si="15"/>
        <v>-9</v>
      </c>
      <c r="L35" s="95">
        <f t="shared" si="15"/>
        <v>-557</v>
      </c>
      <c r="M35" s="50">
        <f t="shared" si="15"/>
        <v>-10</v>
      </c>
      <c r="N35" s="95">
        <f t="shared" si="15"/>
        <v>-491</v>
      </c>
      <c r="O35" s="50">
        <f t="shared" si="15"/>
        <v>0</v>
      </c>
      <c r="P35" s="95">
        <f t="shared" si="15"/>
        <v>-578</v>
      </c>
      <c r="Q35" s="50">
        <f t="shared" ref="Q35:AI35" si="16">ROUND(Q11*$E35,0)</f>
        <v>-14</v>
      </c>
      <c r="R35" s="95">
        <f t="shared" si="16"/>
        <v>-660</v>
      </c>
      <c r="S35" s="50">
        <f t="shared" si="16"/>
        <v>0</v>
      </c>
      <c r="T35" s="95">
        <f t="shared" si="16"/>
        <v>-757</v>
      </c>
      <c r="U35" s="50">
        <f t="shared" si="16"/>
        <v>-19</v>
      </c>
      <c r="V35" s="95">
        <f t="shared" si="16"/>
        <v>0</v>
      </c>
      <c r="W35" s="95">
        <f t="shared" si="16"/>
        <v>-788</v>
      </c>
      <c r="X35" s="50">
        <f t="shared" si="16"/>
        <v>-22</v>
      </c>
      <c r="Y35" s="95">
        <f t="shared" si="16"/>
        <v>-2</v>
      </c>
      <c r="Z35" s="95">
        <f t="shared" si="16"/>
        <v>-745</v>
      </c>
      <c r="AA35" s="50">
        <f t="shared" si="16"/>
        <v>-34</v>
      </c>
      <c r="AB35" s="42">
        <f t="shared" si="16"/>
        <v>-4</v>
      </c>
      <c r="AC35" s="95">
        <f t="shared" si="16"/>
        <v>-612</v>
      </c>
      <c r="AD35" s="50">
        <f t="shared" si="16"/>
        <v>-43</v>
      </c>
      <c r="AE35" s="42">
        <f t="shared" si="16"/>
        <v>-2</v>
      </c>
      <c r="AF35" s="95">
        <f t="shared" si="16"/>
        <v>-399</v>
      </c>
      <c r="AG35" s="50">
        <f t="shared" si="16"/>
        <v>-45</v>
      </c>
      <c r="AH35" s="42">
        <f t="shared" si="16"/>
        <v>-2</v>
      </c>
      <c r="AI35" s="95">
        <f t="shared" si="16"/>
        <v>-425</v>
      </c>
      <c r="AJ35" s="50">
        <f t="shared" ref="AJ35:AU35" si="17">ROUND(AJ11*$E35,0)</f>
        <v>-30</v>
      </c>
      <c r="AK35" s="95">
        <f t="shared" si="17"/>
        <v>-1</v>
      </c>
      <c r="AL35" s="57">
        <f t="shared" si="17"/>
        <v>-378</v>
      </c>
      <c r="AM35" s="50">
        <f t="shared" si="17"/>
        <v>0</v>
      </c>
      <c r="AN35" s="95">
        <f t="shared" si="17"/>
        <v>0</v>
      </c>
      <c r="AO35" s="57">
        <f t="shared" si="17"/>
        <v>-388</v>
      </c>
      <c r="AP35" s="50">
        <f t="shared" si="17"/>
        <v>0</v>
      </c>
      <c r="AQ35" s="95">
        <f t="shared" si="17"/>
        <v>0</v>
      </c>
      <c r="AR35" s="197">
        <f t="shared" si="17"/>
        <v>-426</v>
      </c>
      <c r="AS35" s="486">
        <f t="shared" si="17"/>
        <v>0</v>
      </c>
      <c r="AT35" s="238">
        <f t="shared" si="17"/>
        <v>0</v>
      </c>
      <c r="AU35" s="487">
        <f t="shared" si="17"/>
        <v>-403</v>
      </c>
    </row>
    <row r="36" spans="1:47">
      <c r="A36" s="22">
        <v>18</v>
      </c>
      <c r="B36" s="3" t="s">
        <v>22</v>
      </c>
      <c r="C36" s="24"/>
      <c r="D36" s="24"/>
      <c r="E36" s="108"/>
      <c r="F36" s="108"/>
      <c r="G36" s="50">
        <v>0</v>
      </c>
      <c r="H36" s="95"/>
      <c r="I36" s="50">
        <v>-949</v>
      </c>
      <c r="J36" s="95"/>
      <c r="K36" s="50">
        <v>-1696</v>
      </c>
      <c r="L36" s="95"/>
      <c r="M36" s="50">
        <v>-2029</v>
      </c>
      <c r="N36" s="95"/>
      <c r="O36" s="50">
        <v>0</v>
      </c>
      <c r="P36" s="95"/>
      <c r="Q36" s="50">
        <v>-2842</v>
      </c>
      <c r="R36" s="95"/>
      <c r="S36" s="50">
        <v>0</v>
      </c>
      <c r="T36" s="95"/>
      <c r="U36" s="50">
        <v>-3835</v>
      </c>
      <c r="V36" s="95"/>
      <c r="W36" s="95"/>
      <c r="X36" s="50">
        <v>-4381</v>
      </c>
      <c r="Y36" s="95"/>
      <c r="Z36" s="95"/>
      <c r="AA36" s="50">
        <v>-6777</v>
      </c>
      <c r="AB36" s="42"/>
      <c r="AC36" s="95"/>
      <c r="AD36" s="50">
        <v>-8416</v>
      </c>
      <c r="AE36" s="42"/>
      <c r="AF36" s="95"/>
      <c r="AG36" s="50">
        <v>-8953</v>
      </c>
      <c r="AH36" s="42"/>
      <c r="AI36" s="95"/>
      <c r="AJ36" s="50">
        <f>-6212+270</f>
        <v>-5942</v>
      </c>
      <c r="AK36" s="95"/>
      <c r="AL36" s="57"/>
      <c r="AM36" s="50">
        <v>0</v>
      </c>
      <c r="AN36" s="95"/>
      <c r="AO36" s="57"/>
      <c r="AP36" s="50">
        <v>0</v>
      </c>
      <c r="AQ36" s="95"/>
      <c r="AR36" s="197"/>
      <c r="AS36" s="486">
        <v>0</v>
      </c>
      <c r="AT36" s="238"/>
      <c r="AU36" s="487"/>
    </row>
    <row r="37" spans="1:47">
      <c r="A37" s="22">
        <v>19</v>
      </c>
      <c r="B37" s="3" t="s">
        <v>23</v>
      </c>
      <c r="C37" s="24"/>
      <c r="D37" s="24"/>
      <c r="E37" s="108"/>
      <c r="F37" s="108"/>
      <c r="G37" s="50"/>
      <c r="H37" s="95"/>
      <c r="I37" s="50"/>
      <c r="J37" s="95"/>
      <c r="K37" s="50"/>
      <c r="L37" s="95"/>
      <c r="M37" s="50"/>
      <c r="N37" s="95"/>
      <c r="O37" s="50"/>
      <c r="P37" s="95"/>
      <c r="Q37" s="50"/>
      <c r="R37" s="95"/>
      <c r="S37" s="50"/>
      <c r="T37" s="95"/>
      <c r="U37" s="50"/>
      <c r="V37" s="95"/>
      <c r="W37" s="95"/>
      <c r="X37" s="50"/>
      <c r="Y37" s="95"/>
      <c r="Z37" s="95"/>
      <c r="AA37" s="50"/>
      <c r="AB37" s="42"/>
      <c r="AC37" s="95"/>
      <c r="AD37" s="50"/>
      <c r="AE37" s="42"/>
      <c r="AF37" s="95"/>
      <c r="AG37" s="50"/>
      <c r="AH37" s="42"/>
      <c r="AI37" s="95"/>
      <c r="AJ37" s="50"/>
      <c r="AK37" s="95"/>
      <c r="AL37" s="57"/>
      <c r="AM37" s="50"/>
      <c r="AN37" s="95"/>
      <c r="AO37" s="57"/>
      <c r="AP37" s="50"/>
      <c r="AQ37" s="95"/>
      <c r="AR37" s="197"/>
      <c r="AS37" s="486"/>
      <c r="AT37" s="238"/>
      <c r="AU37" s="487"/>
    </row>
    <row r="38" spans="1:47">
      <c r="C38" s="24"/>
      <c r="D38" s="24"/>
      <c r="E38" s="108"/>
      <c r="F38" s="108"/>
      <c r="G38" s="50"/>
      <c r="H38" s="95"/>
      <c r="I38" s="50"/>
      <c r="J38" s="95"/>
      <c r="K38" s="50"/>
      <c r="L38" s="95"/>
      <c r="M38" s="50"/>
      <c r="N38" s="95"/>
      <c r="O38" s="50"/>
      <c r="P38" s="95"/>
      <c r="Q38" s="50"/>
      <c r="R38" s="95"/>
      <c r="S38" s="50"/>
      <c r="T38" s="95"/>
      <c r="U38" s="50"/>
      <c r="V38" s="95"/>
      <c r="W38" s="95"/>
      <c r="X38" s="50"/>
      <c r="Y38" s="95"/>
      <c r="Z38" s="95"/>
      <c r="AA38" s="50"/>
      <c r="AB38" s="42"/>
      <c r="AC38" s="95"/>
      <c r="AD38" s="50"/>
      <c r="AE38" s="42"/>
      <c r="AF38" s="95"/>
      <c r="AG38" s="50"/>
      <c r="AH38" s="42"/>
      <c r="AI38" s="95"/>
      <c r="AJ38" s="50"/>
      <c r="AK38" s="95"/>
      <c r="AL38" s="57"/>
      <c r="AM38" s="50"/>
      <c r="AN38" s="95"/>
      <c r="AO38" s="57"/>
      <c r="AP38" s="50"/>
      <c r="AQ38" s="95"/>
      <c r="AR38" s="197"/>
      <c r="AS38" s="486"/>
      <c r="AT38" s="238"/>
      <c r="AU38" s="487"/>
    </row>
    <row r="39" spans="1:47">
      <c r="B39" s="3" t="s">
        <v>24</v>
      </c>
      <c r="C39" s="24"/>
      <c r="D39" s="24"/>
      <c r="E39" s="108"/>
      <c r="F39" s="108"/>
      <c r="G39" s="50"/>
      <c r="H39" s="95"/>
      <c r="I39" s="50"/>
      <c r="J39" s="95"/>
      <c r="K39" s="50"/>
      <c r="L39" s="95"/>
      <c r="M39" s="50"/>
      <c r="N39" s="95"/>
      <c r="O39" s="50"/>
      <c r="P39" s="95"/>
      <c r="Q39" s="50"/>
      <c r="R39" s="95"/>
      <c r="S39" s="50"/>
      <c r="T39" s="95"/>
      <c r="U39" s="50"/>
      <c r="V39" s="95"/>
      <c r="W39" s="95"/>
      <c r="X39" s="50"/>
      <c r="Y39" s="95"/>
      <c r="Z39" s="95"/>
      <c r="AA39" s="50"/>
      <c r="AB39" s="42"/>
      <c r="AC39" s="95"/>
      <c r="AD39" s="50"/>
      <c r="AE39" s="42"/>
      <c r="AF39" s="95"/>
      <c r="AG39" s="50"/>
      <c r="AH39" s="42"/>
      <c r="AI39" s="95"/>
      <c r="AJ39" s="50"/>
      <c r="AK39" s="95"/>
      <c r="AL39" s="57"/>
      <c r="AM39" s="50"/>
      <c r="AN39" s="95"/>
      <c r="AO39" s="57"/>
      <c r="AP39" s="50"/>
      <c r="AQ39" s="95"/>
      <c r="AR39" s="197"/>
      <c r="AS39" s="486"/>
      <c r="AT39" s="238"/>
      <c r="AU39" s="487"/>
    </row>
    <row r="40" spans="1:47">
      <c r="A40" s="22">
        <v>20</v>
      </c>
      <c r="C40" s="24" t="s">
        <v>17</v>
      </c>
      <c r="D40" s="24"/>
      <c r="E40" s="108">
        <f>'2) ROR'!N14</f>
        <v>2E-3</v>
      </c>
      <c r="F40" s="108"/>
      <c r="G40" s="50">
        <f>ROUND(G11*$E40,0)</f>
        <v>0</v>
      </c>
      <c r="H40" s="95">
        <f>ROUND(H11*$E40,0)</f>
        <v>-120</v>
      </c>
      <c r="I40" s="50">
        <f t="shared" ref="I40:P40" si="18">ROUND(I11*$E40,0)</f>
        <v>-2</v>
      </c>
      <c r="J40" s="95">
        <f t="shared" si="18"/>
        <v>-224</v>
      </c>
      <c r="K40" s="50">
        <f t="shared" si="18"/>
        <v>-4</v>
      </c>
      <c r="L40" s="95">
        <f t="shared" si="18"/>
        <v>-231</v>
      </c>
      <c r="M40" s="50">
        <f t="shared" si="18"/>
        <v>-4</v>
      </c>
      <c r="N40" s="95">
        <f t="shared" si="18"/>
        <v>-203</v>
      </c>
      <c r="O40" s="50">
        <f t="shared" si="18"/>
        <v>0</v>
      </c>
      <c r="P40" s="95">
        <f t="shared" si="18"/>
        <v>-240</v>
      </c>
      <c r="Q40" s="50">
        <f t="shared" ref="Q40:AI40" si="19">ROUND(Q11*$E40,0)</f>
        <v>-6</v>
      </c>
      <c r="R40" s="95">
        <f t="shared" si="19"/>
        <v>-273</v>
      </c>
      <c r="S40" s="50">
        <f t="shared" si="19"/>
        <v>0</v>
      </c>
      <c r="T40" s="95">
        <f t="shared" si="19"/>
        <v>-314</v>
      </c>
      <c r="U40" s="50">
        <f t="shared" si="19"/>
        <v>-8</v>
      </c>
      <c r="V40" s="95">
        <f t="shared" si="19"/>
        <v>0</v>
      </c>
      <c r="W40" s="95">
        <f t="shared" si="19"/>
        <v>-327</v>
      </c>
      <c r="X40" s="50">
        <f t="shared" si="19"/>
        <v>-9</v>
      </c>
      <c r="Y40" s="95">
        <f t="shared" si="19"/>
        <v>-1</v>
      </c>
      <c r="Z40" s="95">
        <f t="shared" si="19"/>
        <v>-309</v>
      </c>
      <c r="AA40" s="50">
        <f t="shared" si="19"/>
        <v>-14</v>
      </c>
      <c r="AB40" s="42">
        <f t="shared" si="19"/>
        <v>-1</v>
      </c>
      <c r="AC40" s="95">
        <f t="shared" si="19"/>
        <v>-253</v>
      </c>
      <c r="AD40" s="50">
        <f t="shared" si="19"/>
        <v>-18</v>
      </c>
      <c r="AE40" s="42">
        <f t="shared" si="19"/>
        <v>-1</v>
      </c>
      <c r="AF40" s="95">
        <f t="shared" si="19"/>
        <v>-165</v>
      </c>
      <c r="AG40" s="50">
        <f t="shared" si="19"/>
        <v>-19</v>
      </c>
      <c r="AH40" s="42">
        <f t="shared" si="19"/>
        <v>-1</v>
      </c>
      <c r="AI40" s="95">
        <f t="shared" si="19"/>
        <v>-176</v>
      </c>
      <c r="AJ40" s="50">
        <f t="shared" ref="AJ40:AT40" si="20">ROUND(AJ11*$E40,0)</f>
        <v>-12</v>
      </c>
      <c r="AK40" s="95">
        <f t="shared" si="20"/>
        <v>0</v>
      </c>
      <c r="AL40" s="57">
        <f t="shared" si="20"/>
        <v>-157</v>
      </c>
      <c r="AM40" s="50">
        <f t="shared" si="20"/>
        <v>0</v>
      </c>
      <c r="AN40" s="95">
        <f t="shared" si="20"/>
        <v>0</v>
      </c>
      <c r="AO40" s="57">
        <f t="shared" si="20"/>
        <v>-161</v>
      </c>
      <c r="AP40" s="50">
        <f t="shared" si="20"/>
        <v>0</v>
      </c>
      <c r="AQ40" s="95">
        <f t="shared" si="20"/>
        <v>0</v>
      </c>
      <c r="AR40" s="197">
        <f t="shared" si="20"/>
        <v>-176</v>
      </c>
      <c r="AS40" s="486">
        <f t="shared" si="20"/>
        <v>0</v>
      </c>
      <c r="AT40" s="238">
        <f t="shared" si="20"/>
        <v>0</v>
      </c>
      <c r="AU40" s="487">
        <f>ROUND(AU11*$E40,0)</f>
        <v>-167</v>
      </c>
    </row>
    <row r="41" spans="1:47">
      <c r="A41" s="22">
        <v>21</v>
      </c>
      <c r="C41" s="24" t="s">
        <v>47</v>
      </c>
      <c r="D41" s="24"/>
      <c r="G41" s="50"/>
      <c r="H41" s="95"/>
      <c r="I41" s="50"/>
      <c r="J41" s="95"/>
      <c r="K41" s="50"/>
      <c r="L41" s="95"/>
      <c r="M41" s="50"/>
      <c r="N41" s="95"/>
      <c r="O41" s="50"/>
      <c r="P41" s="95"/>
      <c r="Q41" s="50"/>
      <c r="R41" s="95"/>
      <c r="S41" s="50"/>
      <c r="T41" s="95"/>
      <c r="U41" s="50"/>
      <c r="V41" s="95">
        <v>-85</v>
      </c>
      <c r="W41" s="95"/>
      <c r="X41" s="50"/>
      <c r="Y41" s="95">
        <v>-432</v>
      </c>
      <c r="Z41" s="95"/>
      <c r="AA41" s="50"/>
      <c r="AB41" s="42">
        <v>-710</v>
      </c>
      <c r="AC41" s="95"/>
      <c r="AD41" s="50"/>
      <c r="AE41" s="42">
        <v>-494</v>
      </c>
      <c r="AF41" s="95"/>
      <c r="AG41" s="50"/>
      <c r="AH41" s="42">
        <v>-494</v>
      </c>
      <c r="AI41" s="95"/>
      <c r="AJ41" s="50"/>
      <c r="AK41" s="95">
        <f>-184+1</f>
        <v>-183</v>
      </c>
      <c r="AL41" s="57"/>
      <c r="AM41" s="50"/>
      <c r="AN41" s="95">
        <v>0</v>
      </c>
      <c r="AO41" s="57"/>
      <c r="AP41" s="50"/>
      <c r="AQ41" s="95">
        <v>0</v>
      </c>
      <c r="AR41" s="197"/>
      <c r="AS41" s="486"/>
      <c r="AT41" s="238">
        <v>0</v>
      </c>
      <c r="AU41" s="487"/>
    </row>
    <row r="42" spans="1:47">
      <c r="A42" s="22">
        <v>22</v>
      </c>
      <c r="C42" s="1" t="s">
        <v>52</v>
      </c>
      <c r="D42" s="24"/>
      <c r="G42" s="50"/>
      <c r="H42" s="95"/>
      <c r="I42" s="50"/>
      <c r="J42" s="95"/>
      <c r="K42" s="50"/>
      <c r="L42" s="95"/>
      <c r="M42" s="50"/>
      <c r="N42" s="95"/>
      <c r="O42" s="50"/>
      <c r="P42" s="95"/>
      <c r="Q42" s="50"/>
      <c r="R42" s="95"/>
      <c r="S42" s="50"/>
      <c r="T42" s="95"/>
      <c r="U42" s="50"/>
      <c r="V42" s="95"/>
      <c r="W42" s="95"/>
      <c r="X42" s="50"/>
      <c r="Y42" s="95"/>
      <c r="Z42" s="95"/>
      <c r="AA42" s="50"/>
      <c r="AB42" s="42"/>
      <c r="AC42" s="95"/>
      <c r="AD42" s="50"/>
      <c r="AE42" s="42"/>
      <c r="AF42" s="95"/>
      <c r="AG42" s="50"/>
      <c r="AH42" s="42"/>
      <c r="AI42" s="95"/>
      <c r="AJ42" s="50"/>
      <c r="AK42" s="95"/>
      <c r="AL42" s="57"/>
      <c r="AM42" s="50"/>
      <c r="AN42" s="95"/>
      <c r="AO42" s="57"/>
      <c r="AP42" s="50"/>
      <c r="AQ42" s="95"/>
      <c r="AR42" s="197"/>
      <c r="AS42" s="486"/>
      <c r="AT42" s="238"/>
      <c r="AU42" s="487"/>
    </row>
    <row r="43" spans="1:47">
      <c r="A43" s="22">
        <v>23</v>
      </c>
      <c r="C43" s="24" t="s">
        <v>4</v>
      </c>
      <c r="D43" s="24"/>
      <c r="G43" s="51"/>
      <c r="H43" s="43"/>
      <c r="I43" s="51"/>
      <c r="J43" s="43"/>
      <c r="K43" s="51"/>
      <c r="L43" s="43"/>
      <c r="M43" s="51"/>
      <c r="N43" s="43"/>
      <c r="O43" s="51"/>
      <c r="P43" s="43"/>
      <c r="Q43" s="51"/>
      <c r="R43" s="43"/>
      <c r="S43" s="51"/>
      <c r="T43" s="43"/>
      <c r="U43" s="51"/>
      <c r="V43" s="43"/>
      <c r="W43" s="43"/>
      <c r="X43" s="51"/>
      <c r="Y43" s="95"/>
      <c r="Z43" s="43"/>
      <c r="AA43" s="51"/>
      <c r="AB43" s="43"/>
      <c r="AC43" s="43"/>
      <c r="AD43" s="51"/>
      <c r="AE43" s="43"/>
      <c r="AF43" s="43"/>
      <c r="AG43" s="51"/>
      <c r="AH43" s="43"/>
      <c r="AI43" s="43"/>
      <c r="AJ43" s="51"/>
      <c r="AK43" s="43"/>
      <c r="AL43" s="58"/>
      <c r="AM43" s="51"/>
      <c r="AN43" s="43"/>
      <c r="AO43" s="58"/>
      <c r="AP43" s="51"/>
      <c r="AQ43" s="43"/>
      <c r="AR43" s="196"/>
      <c r="AS43" s="488"/>
      <c r="AT43" s="489"/>
      <c r="AU43" s="490"/>
    </row>
    <row r="44" spans="1:47">
      <c r="A44" s="22">
        <v>24</v>
      </c>
      <c r="B44" s="24" t="s">
        <v>25</v>
      </c>
      <c r="C44" s="24"/>
      <c r="G44" s="52">
        <f t="shared" ref="G44:P44" si="21">SUM(G40:G43)</f>
        <v>0</v>
      </c>
      <c r="H44" s="44">
        <f>SUM(H40:H43)</f>
        <v>-120</v>
      </c>
      <c r="I44" s="52">
        <f t="shared" si="21"/>
        <v>-2</v>
      </c>
      <c r="J44" s="44">
        <f>SUM(J40:J43)</f>
        <v>-224</v>
      </c>
      <c r="K44" s="52">
        <f t="shared" si="21"/>
        <v>-4</v>
      </c>
      <c r="L44" s="44">
        <f t="shared" si="21"/>
        <v>-231</v>
      </c>
      <c r="M44" s="52">
        <f t="shared" si="21"/>
        <v>-4</v>
      </c>
      <c r="N44" s="44">
        <f t="shared" si="21"/>
        <v>-203</v>
      </c>
      <c r="O44" s="52">
        <f t="shared" si="21"/>
        <v>0</v>
      </c>
      <c r="P44" s="44">
        <f t="shared" si="21"/>
        <v>-240</v>
      </c>
      <c r="Q44" s="52">
        <f t="shared" ref="Q44:AI44" si="22">SUM(Q40:Q43)</f>
        <v>-6</v>
      </c>
      <c r="R44" s="44">
        <f t="shared" si="22"/>
        <v>-273</v>
      </c>
      <c r="S44" s="52">
        <f t="shared" si="22"/>
        <v>0</v>
      </c>
      <c r="T44" s="44">
        <f t="shared" si="22"/>
        <v>-314</v>
      </c>
      <c r="U44" s="52">
        <f t="shared" si="22"/>
        <v>-8</v>
      </c>
      <c r="V44" s="44">
        <f t="shared" si="22"/>
        <v>-85</v>
      </c>
      <c r="W44" s="44">
        <f t="shared" si="22"/>
        <v>-327</v>
      </c>
      <c r="X44" s="52">
        <f t="shared" si="22"/>
        <v>-9</v>
      </c>
      <c r="Y44" s="96">
        <f t="shared" si="22"/>
        <v>-433</v>
      </c>
      <c r="Z44" s="44">
        <f t="shared" si="22"/>
        <v>-309</v>
      </c>
      <c r="AA44" s="52">
        <f t="shared" si="22"/>
        <v>-14</v>
      </c>
      <c r="AB44" s="44">
        <f t="shared" si="22"/>
        <v>-711</v>
      </c>
      <c r="AC44" s="44">
        <f t="shared" si="22"/>
        <v>-253</v>
      </c>
      <c r="AD44" s="52">
        <f t="shared" si="22"/>
        <v>-18</v>
      </c>
      <c r="AE44" s="44">
        <f t="shared" si="22"/>
        <v>-495</v>
      </c>
      <c r="AF44" s="44">
        <f t="shared" si="22"/>
        <v>-165</v>
      </c>
      <c r="AG44" s="52">
        <f t="shared" si="22"/>
        <v>-19</v>
      </c>
      <c r="AH44" s="44">
        <f t="shared" si="22"/>
        <v>-495</v>
      </c>
      <c r="AI44" s="44">
        <f t="shared" si="22"/>
        <v>-176</v>
      </c>
      <c r="AJ44" s="52">
        <f t="shared" ref="AJ44:AU44" si="23">SUM(AJ40:AJ43)</f>
        <v>-12</v>
      </c>
      <c r="AK44" s="44">
        <f t="shared" si="23"/>
        <v>-183</v>
      </c>
      <c r="AL44" s="59">
        <f t="shared" si="23"/>
        <v>-157</v>
      </c>
      <c r="AM44" s="52">
        <f t="shared" si="23"/>
        <v>0</v>
      </c>
      <c r="AN44" s="44">
        <f t="shared" si="23"/>
        <v>0</v>
      </c>
      <c r="AO44" s="59">
        <f t="shared" si="23"/>
        <v>-161</v>
      </c>
      <c r="AP44" s="493">
        <f t="shared" si="23"/>
        <v>0</v>
      </c>
      <c r="AQ44" s="494">
        <f t="shared" si="23"/>
        <v>0</v>
      </c>
      <c r="AR44" s="495">
        <f t="shared" si="23"/>
        <v>-176</v>
      </c>
      <c r="AS44" s="496">
        <f t="shared" si="23"/>
        <v>0</v>
      </c>
      <c r="AT44" s="497">
        <f t="shared" si="23"/>
        <v>0</v>
      </c>
      <c r="AU44" s="498">
        <f t="shared" si="23"/>
        <v>-167</v>
      </c>
    </row>
    <row r="45" spans="1:47">
      <c r="A45" s="22">
        <v>25</v>
      </c>
      <c r="B45" s="3" t="s">
        <v>26</v>
      </c>
      <c r="C45" s="24"/>
      <c r="D45" s="24"/>
      <c r="G45" s="52">
        <f t="shared" ref="G45:P45" si="24">G21+G27+G33+G35+G36+G37+G44</f>
        <v>0</v>
      </c>
      <c r="H45" s="44">
        <f>H21+H27+H33+H35+H36+H37+H44</f>
        <v>-60333</v>
      </c>
      <c r="I45" s="52">
        <f t="shared" si="24"/>
        <v>-994</v>
      </c>
      <c r="J45" s="44">
        <f>J21+J27+J33+J35+J36+J37+J44</f>
        <v>-112080</v>
      </c>
      <c r="K45" s="52">
        <f t="shared" si="24"/>
        <v>-1777</v>
      </c>
      <c r="L45" s="44">
        <f t="shared" si="24"/>
        <v>-115582</v>
      </c>
      <c r="M45" s="52">
        <f t="shared" si="24"/>
        <v>-2124</v>
      </c>
      <c r="N45" s="44">
        <f t="shared" si="24"/>
        <v>-101716</v>
      </c>
      <c r="O45" s="52">
        <f t="shared" si="24"/>
        <v>0</v>
      </c>
      <c r="P45" s="44">
        <f t="shared" si="24"/>
        <v>-119781</v>
      </c>
      <c r="Q45" s="52">
        <f t="shared" ref="Q45:AI45" si="25">Q21+Q27+Q33+Q35+Q36+Q37+Q44</f>
        <v>-2976</v>
      </c>
      <c r="R45" s="44">
        <f t="shared" si="25"/>
        <v>-165017</v>
      </c>
      <c r="S45" s="52">
        <f t="shared" si="25"/>
        <v>0</v>
      </c>
      <c r="T45" s="44">
        <f t="shared" si="25"/>
        <v>-156887</v>
      </c>
      <c r="U45" s="52">
        <f t="shared" si="25"/>
        <v>-4016</v>
      </c>
      <c r="V45" s="44">
        <f t="shared" si="25"/>
        <v>-88</v>
      </c>
      <c r="W45" s="44">
        <f t="shared" si="25"/>
        <v>-230023</v>
      </c>
      <c r="X45" s="52">
        <f t="shared" si="25"/>
        <v>-4588</v>
      </c>
      <c r="Y45" s="96">
        <f t="shared" si="25"/>
        <v>-452</v>
      </c>
      <c r="Z45" s="44">
        <f t="shared" si="25"/>
        <v>-307363</v>
      </c>
      <c r="AA45" s="52">
        <f t="shared" si="25"/>
        <v>-7097</v>
      </c>
      <c r="AB45" s="44">
        <f t="shared" si="25"/>
        <v>-743</v>
      </c>
      <c r="AC45" s="44">
        <f t="shared" si="25"/>
        <v>-210711</v>
      </c>
      <c r="AD45" s="52">
        <f t="shared" si="25"/>
        <v>-8815</v>
      </c>
      <c r="AE45" s="44">
        <f t="shared" si="25"/>
        <v>-517</v>
      </c>
      <c r="AF45" s="44">
        <f t="shared" si="25"/>
        <v>-197907</v>
      </c>
      <c r="AG45" s="52">
        <f t="shared" si="25"/>
        <v>-9376</v>
      </c>
      <c r="AH45" s="44">
        <f t="shared" si="25"/>
        <v>-517</v>
      </c>
      <c r="AI45" s="44">
        <f t="shared" si="25"/>
        <v>-186809</v>
      </c>
      <c r="AJ45" s="52">
        <f t="shared" ref="AJ45:AU45" si="26">AJ21+AJ27+AJ33+AJ35+AJ36+AJ37+AJ44</f>
        <v>-6223</v>
      </c>
      <c r="AK45" s="44">
        <f t="shared" si="26"/>
        <v>-191</v>
      </c>
      <c r="AL45" s="59">
        <f t="shared" si="26"/>
        <v>-146165</v>
      </c>
      <c r="AM45" s="52">
        <f t="shared" si="26"/>
        <v>0</v>
      </c>
      <c r="AN45" s="44">
        <f t="shared" si="26"/>
        <v>0</v>
      </c>
      <c r="AO45" s="59">
        <f t="shared" si="26"/>
        <v>-80433</v>
      </c>
      <c r="AP45" s="493">
        <f t="shared" si="26"/>
        <v>0</v>
      </c>
      <c r="AQ45" s="494">
        <f t="shared" si="26"/>
        <v>0</v>
      </c>
      <c r="AR45" s="495">
        <f t="shared" si="26"/>
        <v>-88169</v>
      </c>
      <c r="AS45" s="496">
        <f t="shared" si="26"/>
        <v>0</v>
      </c>
      <c r="AT45" s="497">
        <f t="shared" si="26"/>
        <v>0</v>
      </c>
      <c r="AU45" s="498">
        <f t="shared" si="26"/>
        <v>-83401</v>
      </c>
    </row>
    <row r="46" spans="1:47">
      <c r="C46" s="24"/>
      <c r="D46" s="24"/>
      <c r="G46" s="50"/>
      <c r="H46" s="95"/>
      <c r="I46" s="50"/>
      <c r="J46" s="95"/>
      <c r="K46" s="50"/>
      <c r="L46" s="95"/>
      <c r="M46" s="50"/>
      <c r="N46" s="95"/>
      <c r="O46" s="50"/>
      <c r="P46" s="95"/>
      <c r="Q46" s="50"/>
      <c r="R46" s="95"/>
      <c r="S46" s="50"/>
      <c r="T46" s="95"/>
      <c r="U46" s="50"/>
      <c r="V46" s="95"/>
      <c r="W46" s="95"/>
      <c r="X46" s="50"/>
      <c r="Y46" s="96"/>
      <c r="Z46" s="95"/>
      <c r="AA46" s="50"/>
      <c r="AB46" s="42"/>
      <c r="AC46" s="95"/>
      <c r="AD46" s="50"/>
      <c r="AE46" s="42"/>
      <c r="AF46" s="95"/>
      <c r="AG46" s="50"/>
      <c r="AH46" s="42"/>
      <c r="AI46" s="95"/>
      <c r="AJ46" s="50"/>
      <c r="AK46" s="95"/>
      <c r="AL46" s="57"/>
      <c r="AM46" s="50"/>
      <c r="AN46" s="95"/>
      <c r="AO46" s="57"/>
      <c r="AP46" s="50"/>
      <c r="AQ46" s="95"/>
      <c r="AR46" s="197"/>
      <c r="AS46" s="486"/>
      <c r="AT46" s="238"/>
      <c r="AU46" s="487"/>
    </row>
    <row r="47" spans="1:47">
      <c r="A47" s="22">
        <v>26</v>
      </c>
      <c r="B47" s="3" t="s">
        <v>27</v>
      </c>
      <c r="C47" s="24"/>
      <c r="D47" s="24"/>
      <c r="G47" s="50">
        <f>G14-G45</f>
        <v>0</v>
      </c>
      <c r="H47" s="95">
        <f>H14-H45</f>
        <v>0</v>
      </c>
      <c r="I47" s="50">
        <f t="shared" ref="I47:P47" si="27">I14-I45</f>
        <v>0</v>
      </c>
      <c r="J47" s="95">
        <f t="shared" si="27"/>
        <v>0</v>
      </c>
      <c r="K47" s="50">
        <f t="shared" si="27"/>
        <v>0</v>
      </c>
      <c r="L47" s="95">
        <f t="shared" si="27"/>
        <v>1</v>
      </c>
      <c r="M47" s="50">
        <f t="shared" si="27"/>
        <v>0</v>
      </c>
      <c r="N47" s="95">
        <f t="shared" si="27"/>
        <v>-1</v>
      </c>
      <c r="O47" s="50">
        <f t="shared" si="27"/>
        <v>0</v>
      </c>
      <c r="P47" s="95">
        <f t="shared" si="27"/>
        <v>0</v>
      </c>
      <c r="Q47" s="50">
        <f t="shared" ref="Q47:AI47" si="28">Q14-Q45</f>
        <v>0</v>
      </c>
      <c r="R47" s="95">
        <f t="shared" si="28"/>
        <v>-1</v>
      </c>
      <c r="S47" s="50">
        <f t="shared" si="28"/>
        <v>0</v>
      </c>
      <c r="T47" s="95">
        <f t="shared" si="28"/>
        <v>1</v>
      </c>
      <c r="U47" s="50">
        <f t="shared" si="28"/>
        <v>0</v>
      </c>
      <c r="V47" s="95">
        <f t="shared" si="28"/>
        <v>0</v>
      </c>
      <c r="W47" s="95">
        <f t="shared" si="28"/>
        <v>0</v>
      </c>
      <c r="X47" s="50">
        <f t="shared" si="28"/>
        <v>0</v>
      </c>
      <c r="Y47" s="95">
        <f t="shared" si="28"/>
        <v>1</v>
      </c>
      <c r="Z47" s="95">
        <f t="shared" si="28"/>
        <v>0</v>
      </c>
      <c r="AA47" s="50">
        <f t="shared" si="28"/>
        <v>-1</v>
      </c>
      <c r="AB47" s="42">
        <f t="shared" si="28"/>
        <v>0</v>
      </c>
      <c r="AC47" s="95">
        <f t="shared" si="28"/>
        <v>-1</v>
      </c>
      <c r="AD47" s="50">
        <f t="shared" si="28"/>
        <v>1</v>
      </c>
      <c r="AE47" s="42">
        <f t="shared" si="28"/>
        <v>0</v>
      </c>
      <c r="AF47" s="95">
        <f t="shared" si="28"/>
        <v>-1</v>
      </c>
      <c r="AG47" s="50">
        <f t="shared" si="28"/>
        <v>0</v>
      </c>
      <c r="AH47" s="42">
        <f t="shared" si="28"/>
        <v>0</v>
      </c>
      <c r="AI47" s="95">
        <f t="shared" si="28"/>
        <v>1</v>
      </c>
      <c r="AJ47" s="50">
        <f t="shared" ref="AJ47:AU47" si="29">AJ14-AJ45</f>
        <v>0</v>
      </c>
      <c r="AK47" s="95">
        <f t="shared" si="29"/>
        <v>0</v>
      </c>
      <c r="AL47" s="57">
        <f t="shared" si="29"/>
        <v>0</v>
      </c>
      <c r="AM47" s="50">
        <f t="shared" si="29"/>
        <v>0</v>
      </c>
      <c r="AN47" s="95">
        <f t="shared" si="29"/>
        <v>0</v>
      </c>
      <c r="AO47" s="57">
        <f t="shared" si="29"/>
        <v>0</v>
      </c>
      <c r="AP47" s="50">
        <f t="shared" si="29"/>
        <v>0</v>
      </c>
      <c r="AQ47" s="95">
        <f t="shared" si="29"/>
        <v>0</v>
      </c>
      <c r="AR47" s="197">
        <f t="shared" si="29"/>
        <v>0</v>
      </c>
      <c r="AS47" s="486">
        <f t="shared" si="29"/>
        <v>0</v>
      </c>
      <c r="AT47" s="238">
        <f t="shared" si="29"/>
        <v>0</v>
      </c>
      <c r="AU47" s="487">
        <f t="shared" si="29"/>
        <v>1</v>
      </c>
    </row>
    <row r="48" spans="1:47">
      <c r="C48" s="24"/>
      <c r="D48" s="24"/>
      <c r="G48" s="50"/>
      <c r="H48" s="95"/>
      <c r="I48" s="50"/>
      <c r="J48" s="95"/>
      <c r="K48" s="50"/>
      <c r="L48" s="95"/>
      <c r="M48" s="50"/>
      <c r="N48" s="95"/>
      <c r="O48" s="50"/>
      <c r="P48" s="95"/>
      <c r="Q48" s="50"/>
      <c r="R48" s="95"/>
      <c r="S48" s="50"/>
      <c r="T48" s="95"/>
      <c r="U48" s="50"/>
      <c r="V48" s="95"/>
      <c r="W48" s="95"/>
      <c r="X48" s="50"/>
      <c r="Y48" s="95"/>
      <c r="Z48" s="95"/>
      <c r="AA48" s="50"/>
      <c r="AB48" s="42"/>
      <c r="AC48" s="95"/>
      <c r="AD48" s="50"/>
      <c r="AE48" s="42"/>
      <c r="AF48" s="95"/>
      <c r="AG48" s="50"/>
      <c r="AH48" s="42"/>
      <c r="AI48" s="95"/>
      <c r="AJ48" s="50"/>
      <c r="AK48" s="95"/>
      <c r="AL48" s="57"/>
      <c r="AM48" s="50"/>
      <c r="AN48" s="95"/>
      <c r="AO48" s="57"/>
      <c r="AP48" s="50"/>
      <c r="AQ48" s="95"/>
      <c r="AR48" s="197"/>
      <c r="AS48" s="486"/>
      <c r="AT48" s="238"/>
      <c r="AU48" s="487"/>
    </row>
    <row r="49" spans="1:47">
      <c r="B49" s="3" t="s">
        <v>28</v>
      </c>
      <c r="C49" s="24"/>
      <c r="D49" s="24"/>
      <c r="G49" s="50"/>
      <c r="H49" s="95"/>
      <c r="I49" s="50"/>
      <c r="J49" s="95"/>
      <c r="K49" s="50"/>
      <c r="L49" s="95"/>
      <c r="M49" s="50"/>
      <c r="N49" s="95"/>
      <c r="O49" s="50"/>
      <c r="P49" s="95"/>
      <c r="Q49" s="50"/>
      <c r="R49" s="95"/>
      <c r="S49" s="50"/>
      <c r="T49" s="95"/>
      <c r="U49" s="50"/>
      <c r="V49" s="95"/>
      <c r="W49" s="95"/>
      <c r="X49" s="50"/>
      <c r="Y49" s="95"/>
      <c r="Z49" s="95"/>
      <c r="AA49" s="50"/>
      <c r="AB49" s="42"/>
      <c r="AC49" s="95"/>
      <c r="AD49" s="50"/>
      <c r="AE49" s="42"/>
      <c r="AF49" s="95"/>
      <c r="AG49" s="50"/>
      <c r="AH49" s="42"/>
      <c r="AI49" s="95"/>
      <c r="AJ49" s="50"/>
      <c r="AK49" s="95"/>
      <c r="AL49" s="57"/>
      <c r="AM49" s="50"/>
      <c r="AN49" s="95"/>
      <c r="AO49" s="57"/>
      <c r="AP49" s="50"/>
      <c r="AQ49" s="95"/>
      <c r="AR49" s="197"/>
      <c r="AS49" s="486"/>
      <c r="AT49" s="238"/>
      <c r="AU49" s="487"/>
    </row>
    <row r="50" spans="1:47">
      <c r="A50" s="22">
        <v>27</v>
      </c>
      <c r="B50" s="24" t="s">
        <v>29</v>
      </c>
      <c r="D50" s="24"/>
      <c r="G50" s="50"/>
      <c r="H50" s="95"/>
      <c r="I50" s="50"/>
      <c r="J50" s="95"/>
      <c r="K50" s="50"/>
      <c r="L50" s="95"/>
      <c r="M50" s="50"/>
      <c r="N50" s="95"/>
      <c r="O50" s="50"/>
      <c r="P50" s="95"/>
      <c r="Q50" s="50"/>
      <c r="R50" s="95"/>
      <c r="S50" s="50"/>
      <c r="T50" s="95"/>
      <c r="U50" s="50"/>
      <c r="V50" s="95"/>
      <c r="W50" s="95"/>
      <c r="X50" s="50"/>
      <c r="Y50" s="95"/>
      <c r="Z50" s="95"/>
      <c r="AA50" s="50"/>
      <c r="AB50" s="42"/>
      <c r="AC50" s="95"/>
      <c r="AD50" s="50"/>
      <c r="AE50" s="42"/>
      <c r="AF50" s="95"/>
      <c r="AG50" s="50"/>
      <c r="AH50" s="42"/>
      <c r="AI50" s="95"/>
      <c r="AJ50" s="50"/>
      <c r="AK50" s="95"/>
      <c r="AL50" s="57"/>
      <c r="AM50" s="50"/>
      <c r="AN50" s="95"/>
      <c r="AO50" s="57"/>
      <c r="AP50" s="50"/>
      <c r="AQ50" s="95"/>
      <c r="AR50" s="197"/>
      <c r="AS50" s="486"/>
      <c r="AT50" s="238"/>
      <c r="AU50" s="487"/>
    </row>
    <row r="51" spans="1:47">
      <c r="A51" s="22">
        <v>28</v>
      </c>
      <c r="B51" s="24" t="s">
        <v>46</v>
      </c>
      <c r="D51" s="24"/>
      <c r="G51" s="50"/>
      <c r="H51" s="95"/>
      <c r="I51" s="50"/>
      <c r="J51" s="95"/>
      <c r="K51" s="50"/>
      <c r="L51" s="95"/>
      <c r="M51" s="50"/>
      <c r="N51" s="95"/>
      <c r="O51" s="50"/>
      <c r="P51" s="95"/>
      <c r="Q51" s="50"/>
      <c r="R51" s="95"/>
      <c r="S51" s="50"/>
      <c r="T51" s="95"/>
      <c r="U51" s="50"/>
      <c r="V51" s="95"/>
      <c r="W51" s="95"/>
      <c r="X51" s="50"/>
      <c r="Y51" s="95"/>
      <c r="Z51" s="95"/>
      <c r="AA51" s="50"/>
      <c r="AB51" s="42"/>
      <c r="AC51" s="95"/>
      <c r="AD51" s="50"/>
      <c r="AE51" s="42"/>
      <c r="AF51" s="95"/>
      <c r="AG51" s="50"/>
      <c r="AH51" s="42"/>
      <c r="AI51" s="95"/>
      <c r="AJ51" s="50"/>
      <c r="AK51" s="95"/>
      <c r="AL51" s="57"/>
      <c r="AM51" s="50"/>
      <c r="AN51" s="95"/>
      <c r="AO51" s="57"/>
      <c r="AP51" s="50"/>
      <c r="AQ51" s="95"/>
      <c r="AR51" s="197"/>
      <c r="AS51" s="486"/>
      <c r="AT51" s="238"/>
      <c r="AU51" s="487"/>
    </row>
    <row r="52" spans="1:47">
      <c r="A52" s="22">
        <v>29</v>
      </c>
      <c r="B52" s="24" t="s">
        <v>30</v>
      </c>
      <c r="D52" s="24"/>
      <c r="G52" s="50"/>
      <c r="H52" s="95"/>
      <c r="I52" s="50"/>
      <c r="J52" s="95"/>
      <c r="K52" s="50"/>
      <c r="L52" s="95"/>
      <c r="M52" s="50"/>
      <c r="N52" s="95"/>
      <c r="O52" s="50"/>
      <c r="P52" s="95"/>
      <c r="Q52" s="50"/>
      <c r="R52" s="95"/>
      <c r="S52" s="50"/>
      <c r="T52" s="95"/>
      <c r="U52" s="50"/>
      <c r="V52" s="95"/>
      <c r="W52" s="95"/>
      <c r="X52" s="50"/>
      <c r="Y52" s="95"/>
      <c r="Z52" s="95"/>
      <c r="AA52" s="50"/>
      <c r="AB52" s="42"/>
      <c r="AC52" s="95"/>
      <c r="AD52" s="50"/>
      <c r="AE52" s="42"/>
      <c r="AF52" s="95"/>
      <c r="AG52" s="50"/>
      <c r="AH52" s="42"/>
      <c r="AI52" s="95"/>
      <c r="AJ52" s="50"/>
      <c r="AK52" s="95"/>
      <c r="AL52" s="57"/>
      <c r="AM52" s="50"/>
      <c r="AN52" s="95"/>
      <c r="AO52" s="57"/>
      <c r="AP52" s="50"/>
      <c r="AQ52" s="95"/>
      <c r="AR52" s="197"/>
      <c r="AS52" s="486"/>
      <c r="AT52" s="238"/>
      <c r="AU52" s="487"/>
    </row>
    <row r="53" spans="1:47">
      <c r="A53" s="22">
        <v>30</v>
      </c>
      <c r="B53" s="24" t="s">
        <v>31</v>
      </c>
      <c r="D53" s="24"/>
      <c r="G53" s="51"/>
      <c r="H53" s="43"/>
      <c r="I53" s="51"/>
      <c r="J53" s="43"/>
      <c r="K53" s="51"/>
      <c r="L53" s="43"/>
      <c r="M53" s="51"/>
      <c r="N53" s="43"/>
      <c r="O53" s="51"/>
      <c r="P53" s="43"/>
      <c r="Q53" s="51"/>
      <c r="R53" s="43"/>
      <c r="S53" s="51"/>
      <c r="T53" s="43"/>
      <c r="U53" s="51"/>
      <c r="V53" s="43"/>
      <c r="W53" s="43"/>
      <c r="X53" s="51"/>
      <c r="Y53" s="95"/>
      <c r="Z53" s="43"/>
      <c r="AA53" s="51"/>
      <c r="AB53" s="43"/>
      <c r="AC53" s="43"/>
      <c r="AD53" s="51"/>
      <c r="AE53" s="43"/>
      <c r="AF53" s="43"/>
      <c r="AG53" s="51"/>
      <c r="AH53" s="43"/>
      <c r="AI53" s="43"/>
      <c r="AJ53" s="51"/>
      <c r="AK53" s="43"/>
      <c r="AL53" s="58"/>
      <c r="AM53" s="51"/>
      <c r="AN53" s="43"/>
      <c r="AO53" s="58"/>
      <c r="AP53" s="51"/>
      <c r="AQ53" s="43"/>
      <c r="AR53" s="196"/>
      <c r="AS53" s="488"/>
      <c r="AT53" s="489"/>
      <c r="AU53" s="490"/>
    </row>
    <row r="54" spans="1:47">
      <c r="G54" s="50"/>
      <c r="H54" s="95"/>
      <c r="I54" s="50"/>
      <c r="J54" s="95"/>
      <c r="K54" s="50"/>
      <c r="L54" s="95"/>
      <c r="M54" s="50"/>
      <c r="N54" s="95"/>
      <c r="O54" s="50"/>
      <c r="P54" s="95"/>
      <c r="Q54" s="50"/>
      <c r="R54" s="95"/>
      <c r="S54" s="50"/>
      <c r="T54" s="95"/>
      <c r="U54" s="50"/>
      <c r="V54" s="95"/>
      <c r="W54" s="95"/>
      <c r="X54" s="50"/>
      <c r="Y54" s="96"/>
      <c r="Z54" s="95"/>
      <c r="AA54" s="50"/>
      <c r="AB54" s="42"/>
      <c r="AC54" s="95"/>
      <c r="AD54" s="50"/>
      <c r="AE54" s="42"/>
      <c r="AF54" s="95"/>
      <c r="AG54" s="50"/>
      <c r="AH54" s="42"/>
      <c r="AI54" s="95"/>
      <c r="AJ54" s="50"/>
      <c r="AK54" s="95"/>
      <c r="AL54" s="57"/>
      <c r="AM54" s="50"/>
      <c r="AN54" s="95"/>
      <c r="AO54" s="57"/>
      <c r="AP54" s="50"/>
      <c r="AQ54" s="95"/>
      <c r="AR54" s="197"/>
      <c r="AS54" s="486"/>
      <c r="AT54" s="238"/>
      <c r="AU54" s="487"/>
    </row>
    <row r="55" spans="1:47">
      <c r="A55" s="22">
        <v>31</v>
      </c>
      <c r="B55" s="23" t="s">
        <v>32</v>
      </c>
      <c r="C55" s="23"/>
      <c r="D55" s="23"/>
      <c r="G55" s="50">
        <f>G47-G50-G51-G52-G53</f>
        <v>0</v>
      </c>
      <c r="H55" s="95">
        <f>H47-H50-H51-H52-H53</f>
        <v>0</v>
      </c>
      <c r="I55" s="50">
        <f t="shared" ref="I55:P55" si="30">I47-I50-I51-I52-I53</f>
        <v>0</v>
      </c>
      <c r="J55" s="95">
        <f t="shared" si="30"/>
        <v>0</v>
      </c>
      <c r="K55" s="50">
        <f t="shared" si="30"/>
        <v>0</v>
      </c>
      <c r="L55" s="95">
        <f t="shared" si="30"/>
        <v>1</v>
      </c>
      <c r="M55" s="50">
        <f t="shared" si="30"/>
        <v>0</v>
      </c>
      <c r="N55" s="95">
        <f t="shared" si="30"/>
        <v>-1</v>
      </c>
      <c r="O55" s="50">
        <f t="shared" si="30"/>
        <v>0</v>
      </c>
      <c r="P55" s="95">
        <f t="shared" si="30"/>
        <v>0</v>
      </c>
      <c r="Q55" s="50">
        <f t="shared" ref="Q55:AI55" si="31">Q47-Q50-Q51-Q52-Q53</f>
        <v>0</v>
      </c>
      <c r="R55" s="95">
        <f t="shared" si="31"/>
        <v>-1</v>
      </c>
      <c r="S55" s="50">
        <f t="shared" si="31"/>
        <v>0</v>
      </c>
      <c r="T55" s="95">
        <f t="shared" si="31"/>
        <v>1</v>
      </c>
      <c r="U55" s="50">
        <f t="shared" si="31"/>
        <v>0</v>
      </c>
      <c r="V55" s="95">
        <f t="shared" si="31"/>
        <v>0</v>
      </c>
      <c r="W55" s="95">
        <f t="shared" si="31"/>
        <v>0</v>
      </c>
      <c r="X55" s="50">
        <f t="shared" si="31"/>
        <v>0</v>
      </c>
      <c r="Y55" s="95">
        <f t="shared" si="31"/>
        <v>1</v>
      </c>
      <c r="Z55" s="95">
        <f t="shared" si="31"/>
        <v>0</v>
      </c>
      <c r="AA55" s="50">
        <f t="shared" si="31"/>
        <v>-1</v>
      </c>
      <c r="AB55" s="42">
        <f t="shared" si="31"/>
        <v>0</v>
      </c>
      <c r="AC55" s="95">
        <f t="shared" si="31"/>
        <v>-1</v>
      </c>
      <c r="AD55" s="50">
        <f t="shared" si="31"/>
        <v>1</v>
      </c>
      <c r="AE55" s="42">
        <f t="shared" si="31"/>
        <v>0</v>
      </c>
      <c r="AF55" s="95">
        <f t="shared" si="31"/>
        <v>-1</v>
      </c>
      <c r="AG55" s="50">
        <f t="shared" si="31"/>
        <v>0</v>
      </c>
      <c r="AH55" s="42">
        <f t="shared" si="31"/>
        <v>0</v>
      </c>
      <c r="AI55" s="95">
        <f t="shared" si="31"/>
        <v>1</v>
      </c>
      <c r="AJ55" s="50">
        <f t="shared" ref="AJ55:AU55" si="32">AJ47-AJ50-AJ51-AJ52-AJ53</f>
        <v>0</v>
      </c>
      <c r="AK55" s="95">
        <f t="shared" si="32"/>
        <v>0</v>
      </c>
      <c r="AL55" s="57">
        <f t="shared" si="32"/>
        <v>0</v>
      </c>
      <c r="AM55" s="50">
        <f t="shared" si="32"/>
        <v>0</v>
      </c>
      <c r="AN55" s="95">
        <f t="shared" si="32"/>
        <v>0</v>
      </c>
      <c r="AO55" s="57">
        <f t="shared" si="32"/>
        <v>0</v>
      </c>
      <c r="AP55" s="50">
        <f t="shared" si="32"/>
        <v>0</v>
      </c>
      <c r="AQ55" s="95">
        <f t="shared" si="32"/>
        <v>0</v>
      </c>
      <c r="AR55" s="197">
        <f t="shared" si="32"/>
        <v>0</v>
      </c>
      <c r="AS55" s="486">
        <f t="shared" si="32"/>
        <v>0</v>
      </c>
      <c r="AT55" s="238">
        <f t="shared" si="32"/>
        <v>0</v>
      </c>
      <c r="AU55" s="487">
        <f t="shared" si="32"/>
        <v>1</v>
      </c>
    </row>
    <row r="56" spans="1:47">
      <c r="G56" s="45"/>
      <c r="H56" s="91"/>
      <c r="I56" s="45"/>
      <c r="J56" s="91"/>
      <c r="K56" s="45"/>
      <c r="L56" s="91"/>
      <c r="M56" s="45"/>
      <c r="N56" s="91"/>
      <c r="O56" s="45"/>
      <c r="P56" s="91"/>
      <c r="Q56" s="45"/>
      <c r="R56" s="91"/>
      <c r="S56" s="45"/>
      <c r="T56" s="91"/>
      <c r="U56" s="45"/>
      <c r="V56" s="91"/>
      <c r="W56" s="91"/>
      <c r="X56" s="45"/>
      <c r="Y56" s="91"/>
      <c r="Z56" s="91"/>
      <c r="AA56" s="45"/>
      <c r="AC56" s="91"/>
      <c r="AD56" s="45"/>
      <c r="AF56" s="91"/>
      <c r="AG56" s="45"/>
      <c r="AI56" s="91"/>
      <c r="AJ56" s="45"/>
      <c r="AK56" s="91"/>
      <c r="AL56" s="91"/>
      <c r="AM56" s="45"/>
      <c r="AN56" s="91"/>
      <c r="AO56" s="91"/>
      <c r="AP56" s="45"/>
      <c r="AQ56" s="91"/>
      <c r="AR56" s="111"/>
      <c r="AS56" s="475"/>
      <c r="AT56" s="476"/>
      <c r="AU56" s="476"/>
    </row>
    <row r="57" spans="1:47">
      <c r="B57" s="28" t="s">
        <v>227</v>
      </c>
      <c r="C57" s="28"/>
      <c r="D57" s="28"/>
      <c r="K57" s="91"/>
      <c r="S57" s="91"/>
      <c r="AS57" s="237"/>
      <c r="AT57" s="237"/>
      <c r="AU57" s="237"/>
    </row>
    <row r="58" spans="1:47">
      <c r="B58" s="3" t="s">
        <v>70</v>
      </c>
      <c r="C58" s="3" t="s">
        <v>71</v>
      </c>
      <c r="K58" s="91"/>
      <c r="S58" s="91"/>
      <c r="AS58" s="237"/>
      <c r="AT58" s="237"/>
      <c r="AU58" s="237"/>
    </row>
    <row r="59" spans="1:47">
      <c r="B59" s="3" t="s">
        <v>225</v>
      </c>
      <c r="D59" s="3" t="s">
        <v>226</v>
      </c>
      <c r="K59" s="91"/>
      <c r="S59" s="91"/>
      <c r="AS59" s="237"/>
      <c r="AT59" s="237"/>
      <c r="AU59" s="237"/>
    </row>
    <row r="60" spans="1:47" ht="6" customHeight="1">
      <c r="K60" s="91"/>
      <c r="S60" s="91"/>
      <c r="AS60" s="237"/>
      <c r="AT60" s="237"/>
      <c r="AU60" s="237"/>
    </row>
    <row r="61" spans="1:47">
      <c r="D61" s="3" t="s">
        <v>120</v>
      </c>
      <c r="G61" s="80"/>
      <c r="H61" s="80">
        <v>242</v>
      </c>
      <c r="I61" s="80"/>
      <c r="J61" s="80">
        <v>244</v>
      </c>
      <c r="K61" s="80"/>
      <c r="L61" s="80">
        <v>144</v>
      </c>
      <c r="M61" s="80"/>
      <c r="N61" s="80">
        <v>0</v>
      </c>
      <c r="O61" s="80"/>
      <c r="P61" s="80">
        <v>0</v>
      </c>
      <c r="Q61" s="80"/>
      <c r="R61" s="80">
        <f>27855+479</f>
        <v>28334</v>
      </c>
      <c r="S61" s="80"/>
      <c r="T61" s="80">
        <f>36725+0</f>
        <v>36725</v>
      </c>
      <c r="U61" s="80"/>
      <c r="V61" s="80"/>
      <c r="W61" s="80">
        <f>66526+160</f>
        <v>66686</v>
      </c>
      <c r="X61" s="80"/>
      <c r="Y61" s="80"/>
      <c r="Z61" s="80">
        <f>149894+3124</f>
        <v>153018</v>
      </c>
      <c r="AA61" s="80"/>
      <c r="AB61" s="80"/>
      <c r="AC61" s="80">
        <f>78622+5370</f>
        <v>83992</v>
      </c>
      <c r="AD61" s="80"/>
      <c r="AE61" s="80"/>
      <c r="AF61" s="80">
        <f>109009+6184</f>
        <v>115193</v>
      </c>
      <c r="AG61" s="80"/>
      <c r="AH61" s="80"/>
      <c r="AI61" s="80">
        <f>94024+4770</f>
        <v>98794</v>
      </c>
      <c r="AJ61" s="80"/>
      <c r="AK61" s="80"/>
      <c r="AL61" s="80">
        <f>63689+4133</f>
        <v>67822</v>
      </c>
      <c r="AM61" s="80"/>
      <c r="AN61" s="80"/>
      <c r="AO61" s="80">
        <v>0</v>
      </c>
      <c r="AP61" s="227"/>
      <c r="AQ61" s="227"/>
      <c r="AR61" s="239">
        <v>0</v>
      </c>
      <c r="AS61" s="499"/>
      <c r="AT61" s="499"/>
      <c r="AU61" s="499">
        <v>0</v>
      </c>
    </row>
    <row r="62" spans="1:47">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227"/>
      <c r="AQ62" s="227"/>
      <c r="AR62" s="239"/>
      <c r="AS62" s="499"/>
      <c r="AT62" s="499"/>
      <c r="AU62" s="499"/>
    </row>
    <row r="63" spans="1:47">
      <c r="D63" s="3" t="s">
        <v>121</v>
      </c>
      <c r="G63" s="80"/>
      <c r="H63" s="80">
        <f>125+38</f>
        <v>163</v>
      </c>
      <c r="I63" s="80"/>
      <c r="J63" s="80">
        <f>134+98</f>
        <v>232</v>
      </c>
      <c r="K63" s="80"/>
      <c r="L63" s="80">
        <f>131+128+2</f>
        <v>261</v>
      </c>
      <c r="M63" s="80"/>
      <c r="N63" s="80">
        <f>142+141+2</f>
        <v>285</v>
      </c>
      <c r="O63" s="80"/>
      <c r="P63" s="80">
        <f>148+181+48-8</f>
        <v>369</v>
      </c>
      <c r="Q63" s="80"/>
      <c r="R63" s="80">
        <f>643+8</f>
        <v>651</v>
      </c>
      <c r="S63" s="80"/>
      <c r="T63" s="80">
        <v>653</v>
      </c>
      <c r="U63" s="80"/>
      <c r="V63" s="80"/>
      <c r="W63" s="80">
        <v>792</v>
      </c>
      <c r="X63" s="80"/>
      <c r="Y63" s="80"/>
      <c r="Z63" s="80">
        <v>783</v>
      </c>
      <c r="AA63" s="80"/>
      <c r="AB63" s="80"/>
      <c r="AC63" s="80">
        <v>802</v>
      </c>
      <c r="AD63" s="80"/>
      <c r="AE63" s="80"/>
      <c r="AF63" s="80">
        <f>801-1</f>
        <v>800</v>
      </c>
      <c r="AG63" s="80"/>
      <c r="AH63" s="80"/>
      <c r="AI63" s="80">
        <f>903+78</f>
        <v>981</v>
      </c>
      <c r="AJ63" s="80"/>
      <c r="AK63" s="80"/>
      <c r="AL63" s="80">
        <f>857+71</f>
        <v>928</v>
      </c>
      <c r="AM63" s="80"/>
      <c r="AN63" s="80"/>
      <c r="AO63" s="80">
        <v>891</v>
      </c>
      <c r="AP63" s="227"/>
      <c r="AQ63" s="227"/>
      <c r="AR63" s="239">
        <v>779</v>
      </c>
      <c r="AS63" s="499"/>
      <c r="AT63" s="499"/>
      <c r="AU63" s="487">
        <f>'[9]Cost Trends'!U20</f>
        <v>840</v>
      </c>
    </row>
    <row r="64" spans="1:47">
      <c r="K64" s="91"/>
      <c r="S64" s="80"/>
      <c r="T64" s="80"/>
      <c r="U64" s="80"/>
      <c r="V64" s="80"/>
      <c r="W64" s="80"/>
      <c r="X64" s="80"/>
      <c r="Y64" s="80"/>
      <c r="Z64" s="80"/>
      <c r="AA64" s="80"/>
      <c r="AB64" s="80"/>
      <c r="AC64" s="80"/>
      <c r="AD64" s="80"/>
      <c r="AE64" s="80"/>
      <c r="AF64" s="80"/>
      <c r="AG64" s="80"/>
      <c r="AH64" s="80"/>
      <c r="AI64" s="80"/>
      <c r="AJ64" s="80"/>
      <c r="AK64" s="80"/>
      <c r="AL64" s="80"/>
      <c r="AM64" s="80"/>
      <c r="AN64" s="80"/>
      <c r="AO64" s="80"/>
      <c r="AP64" s="227"/>
      <c r="AQ64" s="227"/>
      <c r="AR64" s="239"/>
      <c r="AS64" s="499"/>
      <c r="AT64" s="499"/>
      <c r="AU64" s="499"/>
    </row>
    <row r="65" spans="4:47">
      <c r="D65" s="3" t="s">
        <v>122</v>
      </c>
      <c r="H65" s="101">
        <f>'Cost Trends'!F22+H21</f>
        <v>163</v>
      </c>
      <c r="J65" s="101">
        <f>'Cost Trends'!G22+J21</f>
        <v>232</v>
      </c>
      <c r="K65" s="91"/>
      <c r="L65" s="101">
        <f>'Cost Trends'!H22+L21</f>
        <v>261</v>
      </c>
      <c r="N65" s="101">
        <f>'Cost Trends'!I22+N21</f>
        <v>285</v>
      </c>
      <c r="P65" s="101">
        <f>'Cost Trends'!J22+P21</f>
        <v>369</v>
      </c>
      <c r="R65" s="101">
        <f>'Cost Trends'!K22+R21</f>
        <v>651</v>
      </c>
      <c r="T65" s="101">
        <f>'Cost Trends'!L22+T21</f>
        <v>653</v>
      </c>
      <c r="W65" s="101">
        <f>'Cost Trends'!M22+W21</f>
        <v>792</v>
      </c>
      <c r="Z65" s="101">
        <f>'Cost Trends'!N22+Z21</f>
        <v>783</v>
      </c>
      <c r="AC65" s="101">
        <f>'Cost Trends'!O22+AC21</f>
        <v>802</v>
      </c>
      <c r="AF65" s="101">
        <f>'Cost Trends'!P22+AF21</f>
        <v>800</v>
      </c>
      <c r="AI65" s="101">
        <f>'Cost Trends'!Q22+AI21</f>
        <v>981</v>
      </c>
      <c r="AL65" s="101">
        <f>'Cost Trends'!R22+AL21</f>
        <v>928</v>
      </c>
      <c r="AO65" s="101">
        <f>'Cost Trends'!S22+AO21</f>
        <v>891</v>
      </c>
      <c r="AR65" s="211">
        <f>'[9]Cost Trends'!T22+AR21</f>
        <v>779</v>
      </c>
      <c r="AS65" s="237"/>
      <c r="AT65" s="237"/>
      <c r="AU65" s="500">
        <f>'[9]Cost Trends'!U22+AU21</f>
        <v>840</v>
      </c>
    </row>
  </sheetData>
  <mergeCells count="4">
    <mergeCell ref="AJ6:AL6"/>
    <mergeCell ref="AM6:AO6"/>
    <mergeCell ref="AP6:AR6"/>
    <mergeCell ref="AS6:AU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tint="0.39997558519241921"/>
  </sheetPr>
  <dimension ref="A1:T68"/>
  <sheetViews>
    <sheetView workbookViewId="0"/>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04"/>
    <col min="20" max="20" width="9.140625" style="104"/>
  </cols>
  <sheetData>
    <row r="1" spans="1:20">
      <c r="A1" s="77" t="s">
        <v>97</v>
      </c>
      <c r="B1" s="77"/>
      <c r="C1" s="77"/>
      <c r="D1" s="77"/>
      <c r="E1" s="77"/>
      <c r="F1" s="77"/>
      <c r="G1" s="77"/>
      <c r="H1" s="77"/>
      <c r="I1" s="77"/>
      <c r="J1" s="77"/>
      <c r="K1" s="77"/>
      <c r="L1" s="77"/>
      <c r="M1" s="77"/>
      <c r="N1" s="77"/>
      <c r="O1" s="77"/>
      <c r="P1" s="77"/>
      <c r="Q1" s="77"/>
    </row>
    <row r="2" spans="1:20">
      <c r="A2" s="77" t="s">
        <v>108</v>
      </c>
      <c r="B2" s="77"/>
      <c r="C2" s="77"/>
      <c r="D2" s="77"/>
      <c r="E2" s="77"/>
      <c r="F2" s="77"/>
      <c r="G2" s="77"/>
      <c r="H2" s="77"/>
      <c r="I2" s="77"/>
      <c r="J2" s="77"/>
      <c r="K2" s="77"/>
      <c r="L2" s="77"/>
      <c r="M2" s="77"/>
      <c r="N2" s="77"/>
      <c r="O2" s="77"/>
      <c r="P2" s="77"/>
      <c r="Q2" s="77"/>
    </row>
    <row r="3" spans="1:20">
      <c r="A3" s="77" t="s">
        <v>259</v>
      </c>
      <c r="B3" s="77"/>
      <c r="C3" s="77"/>
      <c r="D3" s="77"/>
      <c r="E3" s="77"/>
      <c r="F3" s="77"/>
      <c r="G3" s="77"/>
      <c r="H3" s="77"/>
      <c r="I3" s="77"/>
      <c r="J3" s="77"/>
      <c r="K3" s="77"/>
      <c r="L3" s="77"/>
      <c r="M3" s="77"/>
      <c r="N3" s="77"/>
      <c r="O3" s="77"/>
      <c r="P3" s="77"/>
      <c r="Q3" s="77"/>
    </row>
    <row r="4" spans="1:20">
      <c r="A4" s="77" t="s">
        <v>98</v>
      </c>
      <c r="B4" s="77"/>
      <c r="C4" s="77"/>
      <c r="D4" s="77"/>
      <c r="E4" s="77"/>
      <c r="F4" s="77"/>
      <c r="G4" s="77"/>
      <c r="H4" s="77"/>
      <c r="I4" s="77"/>
      <c r="J4" s="77"/>
      <c r="K4" s="77"/>
      <c r="L4" s="77"/>
      <c r="M4" s="77"/>
      <c r="N4" s="77"/>
      <c r="O4" s="77"/>
      <c r="P4" s="77"/>
      <c r="Q4" s="77"/>
    </row>
    <row r="5" spans="1:20">
      <c r="A5" s="77"/>
      <c r="B5" s="77"/>
      <c r="C5" s="77"/>
      <c r="D5" s="77"/>
      <c r="E5" s="77"/>
      <c r="F5" s="77"/>
      <c r="G5" s="77"/>
      <c r="H5" s="77"/>
      <c r="I5" s="77"/>
      <c r="J5" s="77"/>
      <c r="K5" s="77"/>
      <c r="L5" s="77"/>
      <c r="M5" s="77"/>
      <c r="N5" s="77"/>
      <c r="O5" s="77"/>
      <c r="P5" s="77"/>
      <c r="Q5" s="77"/>
      <c r="S5" s="222"/>
      <c r="T5" s="222"/>
    </row>
    <row r="6" spans="1:20">
      <c r="A6" s="77"/>
      <c r="B6" s="77"/>
      <c r="C6" s="77"/>
      <c r="D6" s="77"/>
      <c r="E6" s="78">
        <v>2000</v>
      </c>
      <c r="F6" s="78">
        <v>2001</v>
      </c>
      <c r="G6" s="78">
        <v>2002</v>
      </c>
      <c r="H6" s="78">
        <v>2003</v>
      </c>
      <c r="I6" s="78">
        <v>2004</v>
      </c>
      <c r="J6" s="78">
        <v>2005</v>
      </c>
      <c r="K6" s="78">
        <v>2006</v>
      </c>
      <c r="L6" s="78">
        <v>2007</v>
      </c>
      <c r="M6" s="78">
        <v>2008</v>
      </c>
      <c r="N6" s="78">
        <v>2009</v>
      </c>
      <c r="O6" s="78">
        <v>2010</v>
      </c>
      <c r="P6" s="78">
        <v>2011</v>
      </c>
      <c r="Q6" s="78">
        <v>2012</v>
      </c>
      <c r="R6" s="78">
        <v>2013</v>
      </c>
      <c r="S6" s="212">
        <v>2014</v>
      </c>
      <c r="T6" s="212">
        <v>9.2014999999999993</v>
      </c>
    </row>
    <row r="9" spans="1:20">
      <c r="A9" t="s">
        <v>109</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188">
        <v>3868</v>
      </c>
      <c r="S10" s="188">
        <v>4389</v>
      </c>
      <c r="T10" s="188">
        <v>5206</v>
      </c>
    </row>
    <row r="11" spans="1:20">
      <c r="A11" s="22">
        <v>22</v>
      </c>
      <c r="B11" s="1" t="s">
        <v>52</v>
      </c>
      <c r="C11" s="1"/>
      <c r="D11" s="24"/>
      <c r="E11" s="32"/>
      <c r="F11" s="32"/>
      <c r="G11" s="32"/>
      <c r="H11" s="32"/>
      <c r="I11" s="32"/>
      <c r="J11" s="32"/>
      <c r="K11" s="32"/>
      <c r="L11" s="32"/>
      <c r="M11" s="32"/>
      <c r="N11" s="32"/>
      <c r="O11" s="32"/>
      <c r="P11" s="32">
        <v>-186</v>
      </c>
      <c r="Q11" s="32">
        <v>171</v>
      </c>
      <c r="R11" s="188">
        <v>91</v>
      </c>
      <c r="S11" s="188">
        <v>-91</v>
      </c>
      <c r="T11" s="188">
        <f>+'[9]Reg Amort and Other RB'!$T$11</f>
        <v>-2087</v>
      </c>
    </row>
    <row r="12" spans="1:20">
      <c r="A12" s="67"/>
    </row>
    <row r="13" spans="1:20">
      <c r="A13" s="67"/>
      <c r="B13" s="67"/>
      <c r="E13" s="79"/>
      <c r="F13" s="79"/>
      <c r="G13" s="79"/>
      <c r="H13" s="79"/>
      <c r="I13" s="79"/>
      <c r="J13" s="79"/>
      <c r="K13" s="79"/>
      <c r="L13" s="79"/>
      <c r="M13" s="79"/>
      <c r="N13" s="79"/>
      <c r="O13" s="79"/>
      <c r="P13" s="79"/>
      <c r="Q13" s="79"/>
    </row>
    <row r="14" spans="1:20">
      <c r="A14" s="67" t="s">
        <v>110</v>
      </c>
      <c r="B14" s="67"/>
      <c r="E14" s="79">
        <v>565</v>
      </c>
      <c r="F14" s="79">
        <v>632</v>
      </c>
      <c r="G14" s="79">
        <v>811</v>
      </c>
      <c r="H14" s="79">
        <v>907</v>
      </c>
      <c r="I14" s="79">
        <f>291+478</f>
        <v>769</v>
      </c>
      <c r="J14" s="79">
        <f>827-54</f>
        <v>773</v>
      </c>
      <c r="K14" s="79">
        <v>903</v>
      </c>
      <c r="L14" s="79">
        <v>1014</v>
      </c>
      <c r="M14" s="79">
        <v>1151</v>
      </c>
      <c r="N14" s="79">
        <v>1220</v>
      </c>
      <c r="O14" s="79">
        <v>1478</v>
      </c>
      <c r="P14" s="79">
        <v>1642</v>
      </c>
      <c r="Q14" s="79">
        <v>1954</v>
      </c>
      <c r="R14" s="80">
        <f>2332+61</f>
        <v>2393</v>
      </c>
      <c r="S14" s="213">
        <f>2496+90</f>
        <v>2586</v>
      </c>
      <c r="T14" s="213">
        <v>2987</v>
      </c>
    </row>
    <row r="15" spans="1:20">
      <c r="A15" s="67" t="s">
        <v>111</v>
      </c>
      <c r="E15" s="80">
        <f>358+3</f>
        <v>361</v>
      </c>
      <c r="F15" s="80">
        <f>269+3</f>
        <v>272</v>
      </c>
      <c r="G15" s="80">
        <f>355+2</f>
        <v>357</v>
      </c>
      <c r="H15" s="80">
        <f>351+3</f>
        <v>354</v>
      </c>
      <c r="I15" s="80">
        <f>236+6</f>
        <v>242</v>
      </c>
      <c r="J15" s="80">
        <f>419+4</f>
        <v>423</v>
      </c>
      <c r="K15" s="80">
        <f>373+5+1</f>
        <v>379</v>
      </c>
      <c r="L15" s="80">
        <f>478+5</f>
        <v>483</v>
      </c>
      <c r="M15" s="80">
        <f>646+5</f>
        <v>651</v>
      </c>
      <c r="N15" s="80">
        <f>773+5</f>
        <v>778</v>
      </c>
      <c r="O15" s="80">
        <f>16+778+139</f>
        <v>933</v>
      </c>
      <c r="P15" s="80">
        <f>24+1066</f>
        <v>1090</v>
      </c>
      <c r="Q15" s="80">
        <f>1292+26</f>
        <v>1318</v>
      </c>
      <c r="R15" s="80">
        <v>1471</v>
      </c>
      <c r="S15" s="192">
        <v>1799</v>
      </c>
      <c r="T15" s="192">
        <v>2658</v>
      </c>
    </row>
    <row r="16" spans="1:20">
      <c r="A16" s="67" t="s">
        <v>112</v>
      </c>
      <c r="E16" s="80">
        <v>101</v>
      </c>
      <c r="F16" s="80">
        <v>116</v>
      </c>
      <c r="G16" s="80">
        <v>107</v>
      </c>
      <c r="H16" s="80">
        <v>102</v>
      </c>
      <c r="I16" s="80">
        <f>146+23</f>
        <v>169</v>
      </c>
      <c r="J16" s="80">
        <f>139+8</f>
        <v>147</v>
      </c>
      <c r="K16" s="80"/>
      <c r="L16" s="80">
        <v>1</v>
      </c>
      <c r="M16" s="80">
        <v>1</v>
      </c>
      <c r="N16" s="80">
        <v>1</v>
      </c>
      <c r="O16" s="80">
        <v>1</v>
      </c>
      <c r="P16" s="80">
        <v>2</v>
      </c>
      <c r="Q16" s="80">
        <v>4</v>
      </c>
      <c r="R16" s="80">
        <v>4</v>
      </c>
      <c r="S16" s="192">
        <v>4</v>
      </c>
      <c r="T16" s="192">
        <v>4</v>
      </c>
    </row>
    <row r="17" spans="1:20">
      <c r="A17" s="67" t="s">
        <v>113</v>
      </c>
      <c r="E17" s="88">
        <f>SUM(E14:E16)</f>
        <v>1027</v>
      </c>
      <c r="F17" s="88">
        <f t="shared" ref="F17:Q17" si="0">SUM(F14:F16)</f>
        <v>1020</v>
      </c>
      <c r="G17" s="88">
        <f t="shared" si="0"/>
        <v>1275</v>
      </c>
      <c r="H17" s="88">
        <f t="shared" si="0"/>
        <v>1363</v>
      </c>
      <c r="I17" s="88">
        <f t="shared" si="0"/>
        <v>1180</v>
      </c>
      <c r="J17" s="88">
        <f t="shared" si="0"/>
        <v>1343</v>
      </c>
      <c r="K17" s="88">
        <f t="shared" si="0"/>
        <v>1282</v>
      </c>
      <c r="L17" s="88">
        <f t="shared" si="0"/>
        <v>1498</v>
      </c>
      <c r="M17" s="88">
        <f t="shared" si="0"/>
        <v>1803</v>
      </c>
      <c r="N17" s="88">
        <f t="shared" si="0"/>
        <v>1999</v>
      </c>
      <c r="O17" s="88">
        <f t="shared" si="0"/>
        <v>2412</v>
      </c>
      <c r="P17" s="88">
        <f t="shared" si="0"/>
        <v>2734</v>
      </c>
      <c r="Q17" s="88">
        <f t="shared" si="0"/>
        <v>3276</v>
      </c>
      <c r="R17" s="88">
        <f>SUM(R14:R16)</f>
        <v>3868</v>
      </c>
      <c r="S17" s="214">
        <f>SUM(S14:S16)</f>
        <v>4389</v>
      </c>
      <c r="T17" s="214">
        <f>SUM(T14:T16)</f>
        <v>5649</v>
      </c>
    </row>
    <row r="18" spans="1:20">
      <c r="A18" s="67"/>
      <c r="E18" s="81"/>
      <c r="F18" s="80"/>
      <c r="G18" s="80"/>
      <c r="H18" s="80"/>
      <c r="I18" s="80"/>
      <c r="J18" s="80"/>
      <c r="K18" s="80"/>
      <c r="L18" s="80"/>
      <c r="M18" s="80"/>
      <c r="N18" s="80"/>
      <c r="O18" s="80"/>
      <c r="P18" s="80"/>
      <c r="Q18" s="80"/>
      <c r="R18" s="80"/>
      <c r="S18" s="192"/>
      <c r="T18" s="192"/>
    </row>
    <row r="19" spans="1:20">
      <c r="A19" s="67" t="s">
        <v>118</v>
      </c>
      <c r="B19" s="67"/>
      <c r="E19" s="87"/>
      <c r="F19" s="87">
        <v>167</v>
      </c>
      <c r="G19" s="87">
        <v>185</v>
      </c>
      <c r="H19" s="87">
        <v>159</v>
      </c>
      <c r="I19" s="87">
        <v>169</v>
      </c>
      <c r="J19" s="87">
        <v>0</v>
      </c>
      <c r="K19" s="87"/>
      <c r="L19" s="87"/>
      <c r="M19" s="87"/>
      <c r="N19" s="87"/>
      <c r="O19" s="87"/>
      <c r="P19" s="87"/>
      <c r="Q19" s="87"/>
      <c r="R19" s="87"/>
      <c r="S19" s="215"/>
      <c r="T19" s="215"/>
    </row>
    <row r="20" spans="1:20">
      <c r="A20" s="67" t="s">
        <v>115</v>
      </c>
      <c r="B20" s="67"/>
      <c r="E20" s="87"/>
      <c r="F20" s="87"/>
      <c r="G20" s="87"/>
      <c r="H20" s="87"/>
      <c r="I20" s="87"/>
      <c r="J20" s="87"/>
      <c r="K20" s="87"/>
      <c r="L20" s="87"/>
      <c r="M20" s="87"/>
      <c r="N20" s="87"/>
      <c r="O20" s="87"/>
      <c r="P20" s="87">
        <v>-449</v>
      </c>
      <c r="Q20" s="87"/>
      <c r="R20" s="87"/>
      <c r="S20" s="215"/>
      <c r="T20" s="215"/>
    </row>
    <row r="21" spans="1:20">
      <c r="A21" s="67" t="s">
        <v>116</v>
      </c>
      <c r="E21" s="80"/>
      <c r="F21" s="80"/>
      <c r="G21" s="80"/>
      <c r="H21" s="80"/>
      <c r="I21" s="80"/>
      <c r="J21" s="80"/>
      <c r="K21" s="80"/>
      <c r="L21" s="80">
        <v>-900</v>
      </c>
      <c r="M21" s="80">
        <v>-674</v>
      </c>
      <c r="N21" s="80">
        <v>-270</v>
      </c>
      <c r="O21" s="80">
        <v>-278</v>
      </c>
      <c r="P21" s="80">
        <v>-231</v>
      </c>
      <c r="Q21" s="80">
        <v>-13</v>
      </c>
      <c r="R21" s="192">
        <v>91</v>
      </c>
      <c r="S21" s="192">
        <v>-91</v>
      </c>
      <c r="T21" s="192">
        <v>0</v>
      </c>
    </row>
    <row r="22" spans="1:20">
      <c r="A22" s="67" t="s">
        <v>117</v>
      </c>
      <c r="D22" s="67" t="s">
        <v>85</v>
      </c>
      <c r="L22">
        <v>85</v>
      </c>
      <c r="M22">
        <v>432</v>
      </c>
      <c r="N22">
        <v>710</v>
      </c>
      <c r="O22">
        <v>494</v>
      </c>
      <c r="P22">
        <v>494</v>
      </c>
      <c r="Q22">
        <v>184</v>
      </c>
      <c r="R22" s="104">
        <v>0</v>
      </c>
      <c r="S22" s="104">
        <v>0</v>
      </c>
      <c r="T22" s="104">
        <v>0</v>
      </c>
    </row>
    <row r="23" spans="1:20">
      <c r="T23" s="104">
        <f>+'[9]Reg Amort and Other RB'!$T$23</f>
        <v>-2087</v>
      </c>
    </row>
    <row r="25" spans="1:20">
      <c r="A25" s="67" t="s">
        <v>193</v>
      </c>
      <c r="E25" s="89">
        <f t="shared" ref="E25:P25" si="1">SUM(E19:E24)</f>
        <v>0</v>
      </c>
      <c r="F25" s="89">
        <f t="shared" si="1"/>
        <v>167</v>
      </c>
      <c r="G25" s="89">
        <f t="shared" si="1"/>
        <v>185</v>
      </c>
      <c r="H25" s="89">
        <f t="shared" si="1"/>
        <v>159</v>
      </c>
      <c r="I25" s="89">
        <f t="shared" si="1"/>
        <v>169</v>
      </c>
      <c r="J25" s="89">
        <f t="shared" si="1"/>
        <v>0</v>
      </c>
      <c r="K25" s="89">
        <f t="shared" si="1"/>
        <v>0</v>
      </c>
      <c r="L25" s="89">
        <f t="shared" si="1"/>
        <v>-815</v>
      </c>
      <c r="M25" s="89">
        <f t="shared" si="1"/>
        <v>-242</v>
      </c>
      <c r="N25" s="89">
        <f t="shared" si="1"/>
        <v>440</v>
      </c>
      <c r="O25" s="89">
        <f t="shared" si="1"/>
        <v>216</v>
      </c>
      <c r="P25" s="89">
        <f t="shared" si="1"/>
        <v>-186</v>
      </c>
      <c r="Q25" s="89">
        <f>SUM(Q19:Q24)</f>
        <v>171</v>
      </c>
      <c r="R25" s="89">
        <f>SUM(R19:R24)</f>
        <v>91</v>
      </c>
      <c r="S25" s="216">
        <f>SUM(S19:S24)</f>
        <v>-91</v>
      </c>
      <c r="T25" s="216">
        <f>SUM(T19:T24)</f>
        <v>-2087</v>
      </c>
    </row>
    <row r="27" spans="1:20">
      <c r="B27" s="67" t="s">
        <v>99</v>
      </c>
      <c r="E27" s="79">
        <f>E17+E25</f>
        <v>1027</v>
      </c>
      <c r="F27" s="79">
        <f t="shared" ref="F27:Q27" si="2">F17+F25</f>
        <v>1187</v>
      </c>
      <c r="G27" s="79">
        <f t="shared" si="2"/>
        <v>1460</v>
      </c>
      <c r="H27" s="79">
        <f t="shared" si="2"/>
        <v>1522</v>
      </c>
      <c r="I27" s="79">
        <f t="shared" si="2"/>
        <v>1349</v>
      </c>
      <c r="J27" s="79">
        <f t="shared" si="2"/>
        <v>1343</v>
      </c>
      <c r="K27" s="79">
        <f t="shared" si="2"/>
        <v>1282</v>
      </c>
      <c r="L27" s="79">
        <f t="shared" si="2"/>
        <v>683</v>
      </c>
      <c r="M27" s="79">
        <f t="shared" si="2"/>
        <v>1561</v>
      </c>
      <c r="N27" s="79">
        <f t="shared" si="2"/>
        <v>2439</v>
      </c>
      <c r="O27" s="79">
        <f t="shared" si="2"/>
        <v>2628</v>
      </c>
      <c r="P27" s="79">
        <f t="shared" si="2"/>
        <v>2548</v>
      </c>
      <c r="Q27" s="79">
        <f t="shared" si="2"/>
        <v>3447</v>
      </c>
      <c r="R27" s="79">
        <f>R17+R25</f>
        <v>3959</v>
      </c>
      <c r="S27" s="213">
        <f>S17+S25</f>
        <v>4298</v>
      </c>
      <c r="T27" s="213">
        <f>T17+T25</f>
        <v>3562</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04" t="str">
        <f>IF(S27=S10+S11,"","check")</f>
        <v/>
      </c>
      <c r="T28" s="104" t="str">
        <f>IF(T27=T10+T11,"","check")</f>
        <v>check</v>
      </c>
    </row>
    <row r="29" spans="1:20">
      <c r="B29" t="s">
        <v>100</v>
      </c>
    </row>
    <row r="30" spans="1:20">
      <c r="E30" s="79">
        <f>E25-E22</f>
        <v>0</v>
      </c>
      <c r="F30" s="79">
        <f t="shared" ref="F30:Q30" si="4">F25-F22</f>
        <v>167</v>
      </c>
      <c r="G30" s="79">
        <f t="shared" si="4"/>
        <v>185</v>
      </c>
      <c r="H30" s="79">
        <f t="shared" si="4"/>
        <v>159</v>
      </c>
      <c r="I30" s="79">
        <f t="shared" si="4"/>
        <v>169</v>
      </c>
      <c r="J30" s="79">
        <f t="shared" si="4"/>
        <v>0</v>
      </c>
      <c r="K30" s="79">
        <f t="shared" si="4"/>
        <v>0</v>
      </c>
      <c r="L30" s="79">
        <f t="shared" si="4"/>
        <v>-900</v>
      </c>
      <c r="M30" s="79">
        <f t="shared" si="4"/>
        <v>-674</v>
      </c>
      <c r="N30" s="79">
        <f t="shared" si="4"/>
        <v>-270</v>
      </c>
      <c r="O30" s="79">
        <f t="shared" si="4"/>
        <v>-278</v>
      </c>
      <c r="P30" s="79">
        <f t="shared" si="4"/>
        <v>-680</v>
      </c>
      <c r="Q30" s="79">
        <f t="shared" si="4"/>
        <v>-13</v>
      </c>
      <c r="R30" s="79">
        <f>R25-R22</f>
        <v>91</v>
      </c>
      <c r="S30" s="213">
        <f>S25-S22</f>
        <v>-91</v>
      </c>
      <c r="T30" s="213">
        <f>T25-T22</f>
        <v>-2087</v>
      </c>
    </row>
    <row r="31" spans="1:20">
      <c r="E31" s="79"/>
      <c r="F31" s="79"/>
      <c r="G31" s="79"/>
      <c r="H31" s="79"/>
      <c r="I31" s="79"/>
      <c r="J31" s="79"/>
      <c r="K31" s="79"/>
      <c r="L31" s="79"/>
      <c r="M31" s="79"/>
      <c r="N31" s="79"/>
      <c r="O31" s="79"/>
      <c r="P31" s="79"/>
      <c r="Q31" s="79"/>
      <c r="R31" s="79"/>
      <c r="S31" s="213"/>
      <c r="T31" s="213"/>
    </row>
    <row r="32" spans="1:20">
      <c r="E32" s="78">
        <v>2000</v>
      </c>
      <c r="F32" s="78">
        <v>2001</v>
      </c>
      <c r="G32" s="78">
        <v>2002</v>
      </c>
      <c r="H32" s="78">
        <v>2003</v>
      </c>
      <c r="I32" s="78">
        <v>2004</v>
      </c>
      <c r="J32" s="78">
        <v>2005</v>
      </c>
      <c r="K32" s="78">
        <v>2006</v>
      </c>
      <c r="L32" s="78">
        <v>2007</v>
      </c>
      <c r="M32" s="78">
        <v>2008</v>
      </c>
      <c r="N32" s="78">
        <v>2009</v>
      </c>
      <c r="O32" s="78">
        <v>2010</v>
      </c>
      <c r="P32" s="78">
        <v>2011</v>
      </c>
      <c r="Q32" s="78">
        <v>2012</v>
      </c>
      <c r="R32" s="78">
        <v>2013</v>
      </c>
      <c r="S32" s="212">
        <v>2013</v>
      </c>
      <c r="T32" s="212">
        <f>T6</f>
        <v>9.2014999999999993</v>
      </c>
    </row>
    <row r="33" spans="1:20">
      <c r="A33" s="22"/>
      <c r="B33" s="3" t="s">
        <v>40</v>
      </c>
      <c r="C33" s="3"/>
      <c r="D33" s="3"/>
      <c r="E33" s="32"/>
      <c r="F33" s="32"/>
      <c r="G33" s="32"/>
      <c r="H33" s="32"/>
      <c r="I33" s="32"/>
      <c r="J33" s="32"/>
      <c r="K33" s="32"/>
      <c r="L33" s="32"/>
      <c r="M33" s="32"/>
      <c r="N33" s="32"/>
      <c r="O33" s="32"/>
      <c r="P33" s="32"/>
      <c r="Q33" s="32"/>
      <c r="R33" s="32"/>
      <c r="S33" s="188"/>
      <c r="T33" s="188"/>
    </row>
    <row r="34" spans="1:20">
      <c r="A34" s="22"/>
      <c r="B34" s="3" t="s">
        <v>41</v>
      </c>
      <c r="C34" s="3"/>
      <c r="D34" s="3"/>
      <c r="E34" s="32"/>
      <c r="F34" s="32"/>
      <c r="G34" s="32"/>
      <c r="H34" s="32"/>
      <c r="I34" s="32"/>
      <c r="J34" s="32"/>
      <c r="K34" s="32"/>
      <c r="L34" s="32"/>
      <c r="M34" s="32"/>
      <c r="N34" s="32"/>
      <c r="O34" s="32"/>
      <c r="P34" s="32"/>
      <c r="Q34" s="32"/>
      <c r="R34" s="32"/>
      <c r="S34" s="188"/>
      <c r="T34" s="188"/>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189">
        <v>24711</v>
      </c>
      <c r="S35" s="189">
        <v>25235</v>
      </c>
      <c r="T35" s="189">
        <v>25720</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188">
        <v>337894</v>
      </c>
      <c r="T36" s="188">
        <v>360612</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190">
        <v>59169</v>
      </c>
      <c r="T37" s="190">
        <v>75514</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188">
        <f t="shared" si="6"/>
        <v>422298</v>
      </c>
      <c r="T38" s="188">
        <v>461846</v>
      </c>
    </row>
    <row r="39" spans="1:20">
      <c r="A39" s="22"/>
      <c r="B39" s="24"/>
      <c r="C39" s="24"/>
      <c r="D39" s="3"/>
      <c r="E39" s="32"/>
      <c r="F39" s="32"/>
      <c r="G39" s="32"/>
      <c r="H39" s="32"/>
      <c r="I39" s="32"/>
      <c r="J39" s="32"/>
      <c r="K39" s="32"/>
      <c r="L39" s="32"/>
      <c r="M39" s="32"/>
      <c r="N39" s="32"/>
      <c r="O39" s="32"/>
      <c r="P39" s="32"/>
      <c r="Q39" s="32"/>
      <c r="R39" s="32"/>
      <c r="S39" s="188"/>
      <c r="T39" s="188"/>
    </row>
    <row r="40" spans="1:20">
      <c r="A40" s="22"/>
      <c r="B40" s="24" t="s">
        <v>49</v>
      </c>
      <c r="C40" s="24"/>
      <c r="D40" s="24"/>
      <c r="E40" s="32"/>
      <c r="F40" s="32"/>
      <c r="G40" s="32"/>
      <c r="H40" s="32"/>
      <c r="I40" s="32"/>
      <c r="J40" s="32"/>
      <c r="K40" s="32"/>
      <c r="L40" s="32"/>
      <c r="M40" s="32"/>
      <c r="N40" s="32"/>
      <c r="O40" s="32"/>
      <c r="P40" s="32"/>
      <c r="Q40" s="32"/>
      <c r="R40" s="32"/>
      <c r="S40" s="188"/>
      <c r="T40" s="188"/>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188">
        <v>9521</v>
      </c>
      <c r="T41" s="188">
        <v>9736</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188">
        <v>114795</v>
      </c>
      <c r="T42" s="188">
        <v>121623</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188">
        <v>17429</v>
      </c>
      <c r="T43" s="188">
        <v>20909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217">
        <f t="shared" si="8"/>
        <v>141745</v>
      </c>
      <c r="T44" s="217">
        <v>152268</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191">
        <f t="shared" si="10"/>
        <v>280553</v>
      </c>
      <c r="T45" s="191">
        <v>309578</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190">
        <v>-54652</v>
      </c>
      <c r="T46" s="190">
        <v>-65064</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191">
        <f t="shared" si="12"/>
        <v>225901</v>
      </c>
      <c r="T47" s="191">
        <v>244514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188">
        <v>14762</v>
      </c>
      <c r="T48" s="188">
        <v>12739</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191">
        <v>0</v>
      </c>
      <c r="T49" s="191">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191">
        <v>-479</v>
      </c>
      <c r="T50" s="191">
        <v>-484</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190">
        <v>10073</v>
      </c>
      <c r="T51" s="190">
        <v>12310</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188"/>
      <c r="T53" s="188"/>
    </row>
    <row r="54" spans="1:20"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218">
        <f t="shared" si="14"/>
        <v>250257</v>
      </c>
      <c r="T54" s="218">
        <v>269079</v>
      </c>
    </row>
    <row r="55" spans="1:20" ht="13.5" thickTop="1">
      <c r="A55" s="82"/>
      <c r="B55" s="83"/>
      <c r="C55" s="83"/>
      <c r="D55" s="83"/>
      <c r="E55" s="90"/>
      <c r="F55" s="84"/>
      <c r="G55" s="84"/>
      <c r="H55" s="84"/>
      <c r="I55" s="84"/>
      <c r="J55" s="84"/>
      <c r="K55" s="84"/>
      <c r="L55" s="84"/>
      <c r="M55" s="84"/>
      <c r="N55" s="84"/>
      <c r="O55" s="84"/>
      <c r="P55" s="84"/>
      <c r="Q55" s="84"/>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85" t="s">
        <v>101</v>
      </c>
    </row>
    <row r="59" spans="1:20">
      <c r="A59" s="67" t="s">
        <v>103</v>
      </c>
      <c r="D59" s="86" t="s">
        <v>104</v>
      </c>
      <c r="E59" s="80">
        <v>181</v>
      </c>
      <c r="F59" s="80">
        <v>164</v>
      </c>
      <c r="G59" s="80">
        <v>148</v>
      </c>
      <c r="H59" s="80">
        <v>132</v>
      </c>
      <c r="I59" s="80">
        <v>85</v>
      </c>
      <c r="J59" s="80">
        <v>100</v>
      </c>
      <c r="K59" s="80">
        <v>53</v>
      </c>
      <c r="L59" s="80">
        <v>69</v>
      </c>
      <c r="M59" s="80">
        <v>53</v>
      </c>
      <c r="N59" s="80">
        <v>38</v>
      </c>
      <c r="O59" s="80">
        <v>0</v>
      </c>
      <c r="P59" s="80">
        <v>0</v>
      </c>
      <c r="Q59" s="80">
        <v>0</v>
      </c>
      <c r="R59" s="80">
        <v>0</v>
      </c>
      <c r="S59" s="192">
        <v>0</v>
      </c>
      <c r="T59" s="239">
        <v>0</v>
      </c>
    </row>
    <row r="60" spans="1:20">
      <c r="A60" s="67" t="s">
        <v>114</v>
      </c>
      <c r="D60" s="86" t="s">
        <v>106</v>
      </c>
      <c r="E60" s="80">
        <v>3576</v>
      </c>
      <c r="F60" s="80">
        <v>3142</v>
      </c>
      <c r="G60" s="80">
        <v>2709</v>
      </c>
      <c r="H60" s="80">
        <v>2275</v>
      </c>
      <c r="I60" s="80">
        <v>1120</v>
      </c>
      <c r="J60" s="80">
        <v>1457</v>
      </c>
      <c r="K60" s="80">
        <v>1120</v>
      </c>
      <c r="L60" s="80">
        <v>784</v>
      </c>
      <c r="M60" s="80">
        <v>448</v>
      </c>
      <c r="N60" s="80">
        <v>0</v>
      </c>
      <c r="O60" s="80">
        <v>0</v>
      </c>
      <c r="P60" s="80">
        <v>0</v>
      </c>
      <c r="Q60" s="80">
        <v>0</v>
      </c>
      <c r="R60" s="80">
        <v>0</v>
      </c>
      <c r="S60" s="192">
        <v>0</v>
      </c>
      <c r="T60" s="239">
        <v>0</v>
      </c>
    </row>
    <row r="61" spans="1:20">
      <c r="A61" s="67" t="s">
        <v>105</v>
      </c>
      <c r="D61" s="86" t="s">
        <v>106</v>
      </c>
      <c r="E61" s="80">
        <v>-15</v>
      </c>
      <c r="F61" s="80">
        <v>-2</v>
      </c>
      <c r="G61" s="80">
        <v>-2</v>
      </c>
      <c r="H61" s="80">
        <v>-14</v>
      </c>
      <c r="I61" s="80">
        <v>-1</v>
      </c>
      <c r="J61" s="80">
        <v>-28</v>
      </c>
      <c r="K61" s="80">
        <v>-75</v>
      </c>
      <c r="L61" s="80">
        <v>-64</v>
      </c>
      <c r="M61" s="80">
        <v>-49</v>
      </c>
      <c r="N61" s="80">
        <v>-38</v>
      </c>
      <c r="O61" s="80">
        <v>-31</v>
      </c>
      <c r="P61" s="80">
        <v>-22</v>
      </c>
      <c r="Q61" s="80">
        <v>-18</v>
      </c>
      <c r="R61" s="80">
        <v>-12</v>
      </c>
      <c r="S61" s="192">
        <v>-12</v>
      </c>
      <c r="T61" s="239">
        <v>-12</v>
      </c>
    </row>
    <row r="62" spans="1:20">
      <c r="A62" s="67" t="s">
        <v>107</v>
      </c>
      <c r="D62" s="86" t="s">
        <v>106</v>
      </c>
      <c r="E62" s="80"/>
      <c r="F62" s="80"/>
      <c r="G62" s="80"/>
      <c r="H62" s="80"/>
      <c r="I62" s="80"/>
      <c r="J62" s="80"/>
      <c r="K62" s="80"/>
      <c r="L62" s="80"/>
      <c r="M62" s="80"/>
      <c r="N62" s="80">
        <v>-1359</v>
      </c>
      <c r="O62" s="80">
        <v>-1132</v>
      </c>
      <c r="P62" s="80">
        <v>-990</v>
      </c>
      <c r="Q62" s="80">
        <v>-798</v>
      </c>
      <c r="R62" s="80">
        <v>-320</v>
      </c>
      <c r="S62" s="192">
        <v>-467</v>
      </c>
      <c r="T62" s="239">
        <v>-472</v>
      </c>
    </row>
    <row r="63" spans="1:20">
      <c r="A63" s="67"/>
    </row>
    <row r="64" spans="1:20">
      <c r="A64" s="67" t="s">
        <v>5</v>
      </c>
      <c r="E64" s="79">
        <f t="shared" ref="E64:R64" si="15">SUM(E59:E62)</f>
        <v>3742</v>
      </c>
      <c r="F64" s="79">
        <f t="shared" si="15"/>
        <v>3304</v>
      </c>
      <c r="G64" s="79">
        <f t="shared" si="15"/>
        <v>2855</v>
      </c>
      <c r="H64" s="79">
        <f t="shared" si="15"/>
        <v>2393</v>
      </c>
      <c r="I64" s="79">
        <f t="shared" si="15"/>
        <v>1204</v>
      </c>
      <c r="J64" s="79">
        <f t="shared" si="15"/>
        <v>1529</v>
      </c>
      <c r="K64" s="79">
        <f t="shared" si="15"/>
        <v>1098</v>
      </c>
      <c r="L64" s="79">
        <f t="shared" si="15"/>
        <v>789</v>
      </c>
      <c r="M64" s="79">
        <f t="shared" si="15"/>
        <v>452</v>
      </c>
      <c r="N64" s="79">
        <f t="shared" si="15"/>
        <v>-1359</v>
      </c>
      <c r="O64" s="79">
        <f t="shared" si="15"/>
        <v>-1163</v>
      </c>
      <c r="P64" s="79">
        <f t="shared" si="15"/>
        <v>-1012</v>
      </c>
      <c r="Q64" s="79">
        <f t="shared" si="15"/>
        <v>-816</v>
      </c>
      <c r="R64" s="79">
        <f t="shared" si="15"/>
        <v>-332</v>
      </c>
      <c r="S64" s="213">
        <f t="shared" ref="S64:T64" si="16">SUM(S59:S62)</f>
        <v>-479</v>
      </c>
      <c r="T64" s="213">
        <f t="shared" si="16"/>
        <v>-484</v>
      </c>
    </row>
    <row r="65" spans="1:20">
      <c r="A65" s="67"/>
      <c r="E65" s="79"/>
      <c r="F65" s="79"/>
      <c r="G65" s="79"/>
      <c r="H65" s="79"/>
      <c r="I65" s="79"/>
      <c r="J65" s="79"/>
      <c r="K65" s="79"/>
      <c r="L65" s="79"/>
      <c r="M65" s="79"/>
      <c r="N65" s="79"/>
      <c r="O65" s="79"/>
      <c r="P65" s="79"/>
      <c r="Q65" s="79"/>
    </row>
    <row r="66" spans="1:20">
      <c r="A66" s="67" t="s">
        <v>33</v>
      </c>
      <c r="E66" s="79">
        <f>SUM(E60:E62)</f>
        <v>3561</v>
      </c>
      <c r="F66" s="79">
        <f t="shared" ref="F66:O66" si="17">SUM(F60:F62)</f>
        <v>3140</v>
      </c>
      <c r="G66" s="79">
        <f t="shared" si="17"/>
        <v>2707</v>
      </c>
      <c r="H66" s="79">
        <f t="shared" si="17"/>
        <v>2261</v>
      </c>
      <c r="I66" s="79">
        <f t="shared" si="17"/>
        <v>1119</v>
      </c>
      <c r="J66" s="79">
        <f t="shared" si="17"/>
        <v>1429</v>
      </c>
      <c r="K66" s="79">
        <f t="shared" si="17"/>
        <v>1045</v>
      </c>
      <c r="L66" s="79">
        <f t="shared" si="17"/>
        <v>720</v>
      </c>
      <c r="M66" s="79">
        <f t="shared" si="17"/>
        <v>399</v>
      </c>
      <c r="N66" s="79">
        <f t="shared" si="17"/>
        <v>-1397</v>
      </c>
      <c r="O66" s="79">
        <f t="shared" si="17"/>
        <v>-1163</v>
      </c>
      <c r="P66" s="79"/>
      <c r="Q66" s="79"/>
    </row>
    <row r="67" spans="1:20">
      <c r="A67" s="67" t="s">
        <v>104</v>
      </c>
      <c r="E67" s="79">
        <f>E59</f>
        <v>181</v>
      </c>
      <c r="F67" s="79">
        <f t="shared" ref="F67:O67" si="18">F59</f>
        <v>164</v>
      </c>
      <c r="G67" s="79">
        <f t="shared" si="18"/>
        <v>148</v>
      </c>
      <c r="H67" s="79">
        <f t="shared" si="18"/>
        <v>132</v>
      </c>
      <c r="I67" s="79">
        <f t="shared" si="18"/>
        <v>85</v>
      </c>
      <c r="J67" s="79">
        <f t="shared" si="18"/>
        <v>100</v>
      </c>
      <c r="K67" s="79">
        <f t="shared" si="18"/>
        <v>53</v>
      </c>
      <c r="L67" s="79">
        <f t="shared" si="18"/>
        <v>69</v>
      </c>
      <c r="M67" s="79">
        <f t="shared" si="18"/>
        <v>53</v>
      </c>
      <c r="N67" s="79">
        <f t="shared" si="18"/>
        <v>38</v>
      </c>
      <c r="O67" s="79">
        <f t="shared" si="18"/>
        <v>0</v>
      </c>
      <c r="P67" s="79"/>
      <c r="Q67" s="79"/>
    </row>
    <row r="68" spans="1:20">
      <c r="A68" s="67" t="s">
        <v>102</v>
      </c>
      <c r="E68" s="79"/>
      <c r="F68" s="79"/>
      <c r="G68" s="79"/>
      <c r="H68" s="79"/>
      <c r="I68" s="79"/>
      <c r="J68" s="79"/>
      <c r="K68" s="79"/>
      <c r="L68" s="79"/>
      <c r="M68" s="79"/>
      <c r="N68" s="79"/>
      <c r="O68" s="79"/>
      <c r="P68" s="79">
        <f>SUM(P59:P62)</f>
        <v>-1012</v>
      </c>
      <c r="Q68" s="79">
        <f>SUM(Q59:Q62)</f>
        <v>-816</v>
      </c>
      <c r="R68" s="79">
        <f>SUM(R59:R62)</f>
        <v>-332</v>
      </c>
      <c r="S68" s="213">
        <f>SUM(S59:S62)</f>
        <v>-479</v>
      </c>
      <c r="T68" s="213">
        <f>SUM(T59:T62)</f>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2017-10-27T07:00:00+00:00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2.xml><?xml version="1.0" encoding="utf-8"?>
<ds:datastoreItem xmlns:ds="http://schemas.openxmlformats.org/officeDocument/2006/customXml" ds:itemID="{8C8C61CF-7316-4437-A73E-E68504F63E7A}">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fields"/>
    <ds:schemaRef ds:uri="http://purl.org/dc/elements/1.1/"/>
    <ds:schemaRef ds:uri="http://schemas.openxmlformats.org/package/2006/metadata/core-properties"/>
    <ds:schemaRef ds:uri="24f70c62-691b-492e-ba59-9d389529a97e"/>
    <ds:schemaRef ds:uri="http://www.w3.org/XML/1998/namespace"/>
    <ds:schemaRef ds:uri="http://purl.org/dc/dcmitype/"/>
  </ds:schemaRefs>
</ds:datastoreItem>
</file>

<file path=customXml/itemProps3.xml><?xml version="1.0" encoding="utf-8"?>
<ds:datastoreItem xmlns:ds="http://schemas.openxmlformats.org/officeDocument/2006/customXml" ds:itemID="{FA3BFF3F-ADCA-426A-99A9-413092955EDE}"/>
</file>

<file path=customXml/itemProps4.xml><?xml version="1.0" encoding="utf-8"?>
<ds:datastoreItem xmlns:ds="http://schemas.openxmlformats.org/officeDocument/2006/customXml" ds:itemID="{54CFE42C-CD8D-40D7-922B-ECC9AC58A2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1.01) 2018 Summary</vt:lpstr>
      <vt:lpstr>1.02) 2019 Summary</vt:lpstr>
      <vt:lpstr>1.03) 2020 Summary</vt:lpstr>
      <vt:lpstr>2) ROR</vt:lpstr>
      <vt:lpstr>3.01) Attrition 2016 to 2018</vt:lpstr>
      <vt:lpstr>3.02) Attrition 2016 to 2019</vt:lpstr>
      <vt:lpstr>3.03) Attrition 2016 to 2020</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Cost Trends</vt:lpstr>
      <vt:lpstr>Riders and Gas Cost Revenue</vt:lpstr>
      <vt:lpstr>Reg Amort and Other RB</vt:lpstr>
      <vt:lpstr>'1.01) 2018 Summary'!Print_Area</vt:lpstr>
      <vt:lpstr>'1.02) 2019 Summary'!Print_Area</vt:lpstr>
      <vt:lpstr>'1.03) 2020 Summary'!Print_Area</vt:lpstr>
      <vt:lpstr>'2) ROR'!Print_Area</vt:lpstr>
      <vt:lpstr>'3.01) Attrition 2016 to 2018'!Print_Area</vt:lpstr>
      <vt:lpstr>'3.02) Attrition 2016 to 2019'!Print_Area</vt:lpstr>
      <vt:lpstr>'3.03) Attrition 2016 to 2020'!Print_Area</vt:lpstr>
      <vt:lpstr>'4.01'!Print_Area</vt:lpstr>
      <vt:lpstr>'4.02'!Print_Area</vt:lpstr>
      <vt:lpstr>'4.03'!Print_Area</vt:lpstr>
      <vt:lpstr>'4.04'!Print_Area</vt:lpstr>
      <vt:lpstr>'4.05'!Print_Area</vt:lpstr>
      <vt:lpstr>'4.06'!Print_Area</vt:lpstr>
      <vt:lpstr>'4.07'!Print_Area</vt:lpstr>
      <vt:lpstr>'4.08'!Print_Area</vt:lpstr>
      <vt:lpstr>'4.09'!Print_Area</vt:lpstr>
      <vt:lpstr>'4.10'!Print_Area</vt:lpstr>
      <vt:lpstr>'4.11'!Print_Area</vt:lpstr>
      <vt:lpstr>'4.12'!Print_Area</vt:lpstr>
      <vt:lpstr>'4.13'!Print_Area</vt:lpstr>
      <vt:lpstr>'4.14'!Print_Area</vt:lpstr>
      <vt:lpstr>'4.15'!Print_Area</vt:lpstr>
      <vt:lpstr>'Cost Trends'!Print_Area</vt:lpstr>
      <vt:lpstr>'Riders and Gas Cost Revenue'!Print_Area</vt:lpstr>
      <vt:lpstr>'Cost Trends'!Print_Titles</vt:lpstr>
      <vt:lpstr>'Riders and Gas Cost Revenue'!Print_Titles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Mullins</cp:lastModifiedBy>
  <cp:lastPrinted>2016-09-16T14:19:24Z</cp:lastPrinted>
  <dcterms:created xsi:type="dcterms:W3CDTF">1997-05-15T21:41:44Z</dcterms:created>
  <dcterms:modified xsi:type="dcterms:W3CDTF">2017-10-27T15:49:47Z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