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100" windowHeight="873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k_Docket_Number">Sheet1!$AS$2</definedName>
    <definedName name="keep_KJB_4_Electric_Summary">Sheet1!$AS$3</definedName>
    <definedName name="keep_TESTYEAR">'[1]KJB-6 Cmn Adj'!$B$7</definedName>
  </definedNames>
  <calcPr calcId="145621" calcMode="autoNoTable"/>
</workbook>
</file>

<file path=xl/calcChain.xml><?xml version="1.0" encoding="utf-8"?>
<calcChain xmlns="http://schemas.openxmlformats.org/spreadsheetml/2006/main">
  <c r="AI62" i="1" l="1"/>
  <c r="AI51" i="1" s="1"/>
  <c r="AG62" i="1"/>
  <c r="AG51" i="1" s="1"/>
  <c r="AE62" i="1"/>
  <c r="AE51" i="1" s="1"/>
  <c r="AD62" i="1"/>
  <c r="AC62" i="1"/>
  <c r="AA62" i="1"/>
  <c r="Z62" i="1"/>
  <c r="Y62" i="1"/>
  <c r="Y51" i="1" s="1"/>
  <c r="W62" i="1"/>
  <c r="V62" i="1"/>
  <c r="U62" i="1"/>
  <c r="T62" i="1"/>
  <c r="S62" i="1"/>
  <c r="R62" i="1"/>
  <c r="Q62" i="1"/>
  <c r="O62" i="1"/>
  <c r="L62" i="1"/>
  <c r="K62" i="1"/>
  <c r="J62" i="1"/>
  <c r="I62" i="1"/>
  <c r="I51" i="1" s="1"/>
  <c r="H62" i="1"/>
  <c r="F62" i="1"/>
  <c r="E62" i="1"/>
  <c r="D62" i="1"/>
  <c r="C62" i="1"/>
  <c r="C51" i="1" s="1"/>
  <c r="AO51" i="1" s="1"/>
  <c r="AS61" i="1"/>
  <c r="AP61" i="1"/>
  <c r="AQ61" i="1" s="1"/>
  <c r="AO61" i="1"/>
  <c r="AN61" i="1"/>
  <c r="AM61" i="1"/>
  <c r="AO60" i="1"/>
  <c r="AM60" i="1"/>
  <c r="N60" i="1"/>
  <c r="N62" i="1" s="1"/>
  <c r="M60" i="1"/>
  <c r="M62" i="1" s="1"/>
  <c r="AP59" i="1"/>
  <c r="AQ59" i="1" s="1"/>
  <c r="AS59" i="1" s="1"/>
  <c r="AO59" i="1"/>
  <c r="AJ59" i="1"/>
  <c r="AI59" i="1"/>
  <c r="AH59" i="1"/>
  <c r="AG59" i="1"/>
  <c r="AF59" i="1"/>
  <c r="AB59" i="1"/>
  <c r="X59" i="1"/>
  <c r="I59" i="1"/>
  <c r="G59" i="1"/>
  <c r="AM59" i="1" s="1"/>
  <c r="AN59" i="1" s="1"/>
  <c r="AO58" i="1"/>
  <c r="AK58" i="1"/>
  <c r="AM58" i="1" s="1"/>
  <c r="AP58" i="1" s="1"/>
  <c r="AQ58" i="1" s="1"/>
  <c r="AS58" i="1" s="1"/>
  <c r="AJ58" i="1"/>
  <c r="AO57" i="1"/>
  <c r="AL57" i="1"/>
  <c r="AK57" i="1"/>
  <c r="AI57" i="1"/>
  <c r="AH57" i="1"/>
  <c r="AG57" i="1"/>
  <c r="AF57" i="1"/>
  <c r="AB57" i="1"/>
  <c r="X57" i="1"/>
  <c r="AM57" i="1" s="1"/>
  <c r="I57" i="1"/>
  <c r="AO56" i="1"/>
  <c r="AO62" i="1" s="1"/>
  <c r="AJ56" i="1"/>
  <c r="AJ62" i="1" s="1"/>
  <c r="AI56" i="1"/>
  <c r="AH56" i="1"/>
  <c r="AH62" i="1" s="1"/>
  <c r="AG56" i="1"/>
  <c r="AF56" i="1"/>
  <c r="AF62" i="1" s="1"/>
  <c r="AF51" i="1" s="1"/>
  <c r="AB56" i="1"/>
  <c r="AB62" i="1" s="1"/>
  <c r="X56" i="1"/>
  <c r="X62" i="1" s="1"/>
  <c r="P56" i="1"/>
  <c r="P62" i="1" s="1"/>
  <c r="AL51" i="1"/>
  <c r="AL56" i="1" s="1"/>
  <c r="AL62" i="1" s="1"/>
  <c r="AJ51" i="1"/>
  <c r="AH51" i="1"/>
  <c r="AB51" i="1"/>
  <c r="X51" i="1"/>
  <c r="N51" i="1"/>
  <c r="M51" i="1"/>
  <c r="AG49" i="1"/>
  <c r="W49" i="1"/>
  <c r="O49" i="1"/>
  <c r="G49" i="1"/>
  <c r="AR47" i="1"/>
  <c r="AJ47" i="1"/>
  <c r="AB47" i="1"/>
  <c r="AB49" i="1" s="1"/>
  <c r="T47" i="1"/>
  <c r="AO46" i="1"/>
  <c r="AM46" i="1"/>
  <c r="AC46" i="1"/>
  <c r="G46" i="1"/>
  <c r="AP45" i="1"/>
  <c r="AQ45" i="1" s="1"/>
  <c r="AS45" i="1" s="1"/>
  <c r="AO45" i="1"/>
  <c r="AL45" i="1"/>
  <c r="AK45" i="1"/>
  <c r="AJ45" i="1"/>
  <c r="AI45" i="1"/>
  <c r="AH45" i="1"/>
  <c r="AG45" i="1"/>
  <c r="AF45" i="1"/>
  <c r="AE45" i="1"/>
  <c r="AD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M45" i="1"/>
  <c r="L45" i="1"/>
  <c r="K45" i="1"/>
  <c r="J45" i="1"/>
  <c r="I45" i="1"/>
  <c r="H45" i="1"/>
  <c r="G45" i="1"/>
  <c r="F45" i="1"/>
  <c r="E45" i="1"/>
  <c r="D45" i="1"/>
  <c r="AM45" i="1" s="1"/>
  <c r="AN45" i="1" s="1"/>
  <c r="AO44" i="1"/>
  <c r="AL44" i="1"/>
  <c r="AA44" i="1"/>
  <c r="Z44" i="1"/>
  <c r="Y44" i="1"/>
  <c r="S44" i="1"/>
  <c r="L44" i="1"/>
  <c r="F44" i="1"/>
  <c r="E44" i="1"/>
  <c r="D44" i="1"/>
  <c r="AM44" i="1" s="1"/>
  <c r="AP44" i="1" s="1"/>
  <c r="AQ44" i="1" s="1"/>
  <c r="AS44" i="1" s="1"/>
  <c r="AO43" i="1"/>
  <c r="AN43" i="1"/>
  <c r="AC43" i="1"/>
  <c r="AM43" i="1" s="1"/>
  <c r="AP43" i="1" s="1"/>
  <c r="AQ43" i="1" s="1"/>
  <c r="AS43" i="1" s="1"/>
  <c r="AO42" i="1"/>
  <c r="AL42" i="1"/>
  <c r="AK42" i="1"/>
  <c r="AE42" i="1"/>
  <c r="V42" i="1"/>
  <c r="P42" i="1"/>
  <c r="F42" i="1"/>
  <c r="D42" i="1"/>
  <c r="AM42" i="1" s="1"/>
  <c r="AN42" i="1" s="1"/>
  <c r="AO41" i="1"/>
  <c r="AL41" i="1"/>
  <c r="AJ41" i="1"/>
  <c r="AE41" i="1"/>
  <c r="AD41" i="1"/>
  <c r="AM41" i="1" s="1"/>
  <c r="AN41" i="1" s="1"/>
  <c r="AO40" i="1"/>
  <c r="AM40" i="1"/>
  <c r="AL40" i="1"/>
  <c r="AG40" i="1"/>
  <c r="I40" i="1"/>
  <c r="AO39" i="1"/>
  <c r="AL39" i="1"/>
  <c r="AI39" i="1"/>
  <c r="AH39" i="1"/>
  <c r="AF39" i="1"/>
  <c r="AM39" i="1" s="1"/>
  <c r="AB39" i="1"/>
  <c r="X39" i="1"/>
  <c r="I39" i="1"/>
  <c r="AO38" i="1"/>
  <c r="AL38" i="1"/>
  <c r="Y38" i="1"/>
  <c r="X38" i="1"/>
  <c r="U38" i="1"/>
  <c r="T38" i="1"/>
  <c r="S38" i="1"/>
  <c r="R38" i="1"/>
  <c r="Q38" i="1"/>
  <c r="O38" i="1"/>
  <c r="M38" i="1"/>
  <c r="L38" i="1"/>
  <c r="J38" i="1"/>
  <c r="F38" i="1"/>
  <c r="E38" i="1"/>
  <c r="AM38" i="1" s="1"/>
  <c r="D38" i="1"/>
  <c r="AO37" i="1"/>
  <c r="AM37" i="1"/>
  <c r="F37" i="1"/>
  <c r="AO36" i="1"/>
  <c r="S36" i="1"/>
  <c r="L36" i="1"/>
  <c r="AM36" i="1" s="1"/>
  <c r="F36" i="1"/>
  <c r="AO35" i="1"/>
  <c r="W35" i="1"/>
  <c r="S35" i="1"/>
  <c r="N35" i="1"/>
  <c r="L35" i="1"/>
  <c r="K35" i="1"/>
  <c r="F35" i="1"/>
  <c r="E35" i="1"/>
  <c r="D35" i="1"/>
  <c r="AM35" i="1" s="1"/>
  <c r="AO34" i="1"/>
  <c r="AD34" i="1"/>
  <c r="S34" i="1"/>
  <c r="L34" i="1"/>
  <c r="AM34" i="1" s="1"/>
  <c r="AO33" i="1"/>
  <c r="AD33" i="1"/>
  <c r="Z33" i="1"/>
  <c r="S33" i="1"/>
  <c r="L33" i="1"/>
  <c r="AM33" i="1" s="1"/>
  <c r="AP33" i="1" s="1"/>
  <c r="AQ33" i="1" s="1"/>
  <c r="AS33" i="1" s="1"/>
  <c r="AO32" i="1"/>
  <c r="AL32" i="1"/>
  <c r="Z32" i="1"/>
  <c r="S32" i="1"/>
  <c r="L32" i="1"/>
  <c r="L47" i="1" s="1"/>
  <c r="AR30" i="1"/>
  <c r="AK30" i="1"/>
  <c r="AK47" i="1" s="1"/>
  <c r="AK49" i="1" s="1"/>
  <c r="AJ30" i="1"/>
  <c r="AI30" i="1"/>
  <c r="AI47" i="1" s="1"/>
  <c r="AI49" i="1" s="1"/>
  <c r="AH30" i="1"/>
  <c r="AH47" i="1" s="1"/>
  <c r="AG30" i="1"/>
  <c r="AG47" i="1" s="1"/>
  <c r="AF30" i="1"/>
  <c r="AF47" i="1" s="1"/>
  <c r="AD30" i="1"/>
  <c r="AD47" i="1" s="1"/>
  <c r="AC30" i="1"/>
  <c r="AC47" i="1" s="1"/>
  <c r="AC49" i="1" s="1"/>
  <c r="AB30" i="1"/>
  <c r="AA30" i="1"/>
  <c r="AA47" i="1" s="1"/>
  <c r="Z30" i="1"/>
  <c r="Z47" i="1" s="1"/>
  <c r="Y30" i="1"/>
  <c r="X30" i="1"/>
  <c r="X47" i="1" s="1"/>
  <c r="W30" i="1"/>
  <c r="W47" i="1" s="1"/>
  <c r="V30" i="1"/>
  <c r="V47" i="1" s="1"/>
  <c r="U30" i="1"/>
  <c r="T30" i="1"/>
  <c r="R30" i="1"/>
  <c r="R47" i="1" s="1"/>
  <c r="Q30" i="1"/>
  <c r="Q47" i="1" s="1"/>
  <c r="P30" i="1"/>
  <c r="P47" i="1" s="1"/>
  <c r="O30" i="1"/>
  <c r="O47" i="1" s="1"/>
  <c r="N30" i="1"/>
  <c r="N47" i="1" s="1"/>
  <c r="M30" i="1"/>
  <c r="M47" i="1" s="1"/>
  <c r="L30" i="1"/>
  <c r="K30" i="1"/>
  <c r="K47" i="1" s="1"/>
  <c r="J30" i="1"/>
  <c r="J47" i="1" s="1"/>
  <c r="J49" i="1" s="1"/>
  <c r="I30" i="1"/>
  <c r="I47" i="1" s="1"/>
  <c r="I49" i="1" s="1"/>
  <c r="H30" i="1"/>
  <c r="H47" i="1" s="1"/>
  <c r="G30" i="1"/>
  <c r="G47" i="1" s="1"/>
  <c r="F30" i="1"/>
  <c r="F47" i="1" s="1"/>
  <c r="E30" i="1"/>
  <c r="E47" i="1" s="1"/>
  <c r="D30" i="1"/>
  <c r="C30" i="1"/>
  <c r="C47" i="1" s="1"/>
  <c r="C49" i="1" s="1"/>
  <c r="C53" i="1" s="1"/>
  <c r="AO29" i="1"/>
  <c r="AM29" i="1"/>
  <c r="F29" i="1"/>
  <c r="AO28" i="1"/>
  <c r="AM28" i="1"/>
  <c r="AE28" i="1"/>
  <c r="AE30" i="1" s="1"/>
  <c r="AE47" i="1" s="1"/>
  <c r="AE49" i="1" s="1"/>
  <c r="Z28" i="1"/>
  <c r="AO27" i="1"/>
  <c r="AL27" i="1"/>
  <c r="AL30" i="1" s="1"/>
  <c r="AL47" i="1" s="1"/>
  <c r="Z27" i="1"/>
  <c r="S27" i="1"/>
  <c r="S30" i="1" s="1"/>
  <c r="S47" i="1" s="1"/>
  <c r="L27" i="1"/>
  <c r="AO26" i="1"/>
  <c r="AM26" i="1"/>
  <c r="Z26" i="1"/>
  <c r="AR21" i="1"/>
  <c r="AL21" i="1"/>
  <c r="AK21" i="1"/>
  <c r="AJ21" i="1"/>
  <c r="AI21" i="1"/>
  <c r="AH21" i="1"/>
  <c r="AG21" i="1"/>
  <c r="AF21" i="1"/>
  <c r="AE21" i="1"/>
  <c r="AD21" i="1"/>
  <c r="AC21" i="1"/>
  <c r="AA21" i="1"/>
  <c r="AA49" i="1" s="1"/>
  <c r="Y21" i="1"/>
  <c r="X21" i="1"/>
  <c r="W21" i="1"/>
  <c r="V21" i="1"/>
  <c r="U21" i="1"/>
  <c r="T21" i="1"/>
  <c r="S21" i="1"/>
  <c r="R21" i="1"/>
  <c r="Q21" i="1"/>
  <c r="Q49" i="1" s="1"/>
  <c r="P21" i="1"/>
  <c r="O21" i="1"/>
  <c r="N21" i="1"/>
  <c r="M21" i="1"/>
  <c r="M49" i="1" s="1"/>
  <c r="L21" i="1"/>
  <c r="K21" i="1"/>
  <c r="K49" i="1" s="1"/>
  <c r="I21" i="1"/>
  <c r="H21" i="1"/>
  <c r="H49" i="1" s="1"/>
  <c r="G21" i="1"/>
  <c r="D21" i="1"/>
  <c r="C21" i="1"/>
  <c r="AO20" i="1"/>
  <c r="Z20" i="1"/>
  <c r="AM20" i="1" s="1"/>
  <c r="F20" i="1"/>
  <c r="D20" i="1"/>
  <c r="AO19" i="1"/>
  <c r="AN19" i="1"/>
  <c r="AM19" i="1"/>
  <c r="AP19" i="1" s="1"/>
  <c r="Z19" i="1"/>
  <c r="AO18" i="1"/>
  <c r="AN18" i="1"/>
  <c r="F18" i="1"/>
  <c r="E18" i="1"/>
  <c r="E21" i="1" s="1"/>
  <c r="E49" i="1" s="1"/>
  <c r="D18" i="1"/>
  <c r="AM18" i="1" s="1"/>
  <c r="AP18" i="1" s="1"/>
  <c r="AO17" i="1"/>
  <c r="F17" i="1"/>
  <c r="E17" i="1"/>
  <c r="D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S14" i="1"/>
  <c r="AR14" i="1"/>
  <c r="AF14" i="1"/>
  <c r="AG14" i="1" s="1"/>
  <c r="AH14" i="1" s="1"/>
  <c r="AI14" i="1" s="1"/>
  <c r="AJ14" i="1" s="1"/>
  <c r="AK14" i="1" s="1"/>
  <c r="AL14" i="1" s="1"/>
  <c r="AB14" i="1"/>
  <c r="AC14" i="1" s="1"/>
  <c r="AD14" i="1" s="1"/>
  <c r="AE14" i="1" s="1"/>
  <c r="AA14" i="1"/>
  <c r="G14" i="1"/>
  <c r="H14" i="1" s="1"/>
  <c r="I14" i="1" s="1"/>
  <c r="J14" i="1" s="1"/>
  <c r="K14" i="1" s="1"/>
  <c r="L14" i="1" s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X14" i="1" s="1"/>
  <c r="Y14" i="1" s="1"/>
  <c r="F14" i="1"/>
  <c r="E14" i="1"/>
  <c r="Z8" i="1"/>
  <c r="AQ7" i="1"/>
  <c r="AH7" i="1"/>
  <c r="S7" i="1"/>
  <c r="M7" i="1"/>
  <c r="E7" i="1"/>
  <c r="AN3" i="1"/>
  <c r="AN2" i="1"/>
  <c r="AL2" i="1"/>
  <c r="AD2" i="1"/>
  <c r="W2" i="1"/>
  <c r="P2" i="1"/>
  <c r="I2" i="1"/>
  <c r="AM32" i="1" l="1"/>
  <c r="AN35" i="1"/>
  <c r="AP35" i="1"/>
  <c r="AQ35" i="1" s="1"/>
  <c r="AS35" i="1" s="1"/>
  <c r="AQ40" i="1"/>
  <c r="AS40" i="1" s="1"/>
  <c r="AN38" i="1"/>
  <c r="AP38" i="1"/>
  <c r="AQ38" i="1" s="1"/>
  <c r="AS38" i="1" s="1"/>
  <c r="AQ18" i="1"/>
  <c r="AS18" i="1" s="1"/>
  <c r="AO30" i="1"/>
  <c r="AO47" i="1" s="1"/>
  <c r="AN33" i="1"/>
  <c r="AP36" i="1"/>
  <c r="AQ36" i="1" s="1"/>
  <c r="AS36" i="1" s="1"/>
  <c r="AN36" i="1"/>
  <c r="AN34" i="1"/>
  <c r="AP34" i="1"/>
  <c r="AM17" i="1"/>
  <c r="F21" i="1"/>
  <c r="F49" i="1" s="1"/>
  <c r="AQ19" i="1"/>
  <c r="AS19" i="1" s="1"/>
  <c r="AP20" i="1"/>
  <c r="AQ20" i="1" s="1"/>
  <c r="AS20" i="1" s="1"/>
  <c r="AN20" i="1"/>
  <c r="S49" i="1"/>
  <c r="AQ37" i="1"/>
  <c r="AS37" i="1" s="1"/>
  <c r="AP39" i="1"/>
  <c r="AQ39" i="1" s="1"/>
  <c r="AS39" i="1" s="1"/>
  <c r="AN39" i="1"/>
  <c r="AN57" i="1"/>
  <c r="AP57" i="1"/>
  <c r="AQ57" i="1" s="1"/>
  <c r="AS57" i="1" s="1"/>
  <c r="AQ34" i="1"/>
  <c r="AS34" i="1" s="1"/>
  <c r="AP46" i="1"/>
  <c r="AQ46" i="1" s="1"/>
  <c r="AS46" i="1" s="1"/>
  <c r="AN46" i="1"/>
  <c r="AP60" i="1"/>
  <c r="AQ60" i="1" s="1"/>
  <c r="AS60" i="1" s="1"/>
  <c r="AN60" i="1"/>
  <c r="AK62" i="1"/>
  <c r="AK51" i="1" s="1"/>
  <c r="R49" i="1"/>
  <c r="AJ49" i="1"/>
  <c r="AN28" i="1"/>
  <c r="AP28" i="1"/>
  <c r="AQ28" i="1" s="1"/>
  <c r="AS28" i="1" s="1"/>
  <c r="AP42" i="1"/>
  <c r="AQ42" i="1" s="1"/>
  <c r="AS42" i="1" s="1"/>
  <c r="AN44" i="1"/>
  <c r="AN58" i="1"/>
  <c r="G62" i="1"/>
  <c r="Z21" i="1"/>
  <c r="Z49" i="1" s="1"/>
  <c r="AR49" i="1"/>
  <c r="AN29" i="1"/>
  <c r="AP29" i="1"/>
  <c r="AQ29" i="1" s="1"/>
  <c r="AS29" i="1" s="1"/>
  <c r="AP41" i="1"/>
  <c r="AQ41" i="1" s="1"/>
  <c r="AS41" i="1" s="1"/>
  <c r="AM56" i="1"/>
  <c r="AN40" i="1"/>
  <c r="AP40" i="1"/>
  <c r="D47" i="1"/>
  <c r="D49" i="1" s="1"/>
  <c r="N49" i="1"/>
  <c r="V49" i="1"/>
  <c r="AF49" i="1"/>
  <c r="AO21" i="1"/>
  <c r="AO49" i="1" s="1"/>
  <c r="AO53" i="1" s="1"/>
  <c r="L49" i="1"/>
  <c r="P49" i="1"/>
  <c r="T49" i="1"/>
  <c r="X49" i="1"/>
  <c r="AD49" i="1"/>
  <c r="AH49" i="1"/>
  <c r="AL49" i="1"/>
  <c r="AN26" i="1"/>
  <c r="AP26" i="1"/>
  <c r="AM27" i="1"/>
  <c r="AM30" i="1"/>
  <c r="U47" i="1"/>
  <c r="U49" i="1" s="1"/>
  <c r="Y47" i="1"/>
  <c r="Y49" i="1" s="1"/>
  <c r="AP37" i="1"/>
  <c r="AN37" i="1"/>
  <c r="AN56" i="1" l="1"/>
  <c r="AN62" i="1" s="1"/>
  <c r="AP56" i="1"/>
  <c r="AM47" i="1"/>
  <c r="AN30" i="1"/>
  <c r="AN47" i="1" s="1"/>
  <c r="G51" i="1"/>
  <c r="AM51" i="1" s="1"/>
  <c r="AM62" i="1"/>
  <c r="AM21" i="1"/>
  <c r="AP30" i="1"/>
  <c r="AP47" i="1" s="1"/>
  <c r="AN17" i="1"/>
  <c r="AP17" i="1"/>
  <c r="AQ26" i="1"/>
  <c r="AN27" i="1"/>
  <c r="AP27" i="1"/>
  <c r="AQ27" i="1" s="1"/>
  <c r="AS27" i="1" s="1"/>
  <c r="AN32" i="1"/>
  <c r="AP32" i="1"/>
  <c r="AQ32" i="1" s="1"/>
  <c r="AS32" i="1" s="1"/>
  <c r="AS26" i="1" l="1"/>
  <c r="AS30" i="1" s="1"/>
  <c r="AS47" i="1" s="1"/>
  <c r="AQ30" i="1"/>
  <c r="AQ47" i="1" s="1"/>
  <c r="AM49" i="1"/>
  <c r="AN21" i="1"/>
  <c r="AN49" i="1" s="1"/>
  <c r="AN53" i="1" s="1"/>
  <c r="AP21" i="1"/>
  <c r="AP49" i="1" s="1"/>
  <c r="AQ17" i="1"/>
  <c r="AP62" i="1"/>
  <c r="AQ56" i="1"/>
  <c r="AP51" i="1"/>
  <c r="AN51" i="1"/>
  <c r="AQ51" i="1" s="1"/>
  <c r="AS51" i="1" s="1"/>
  <c r="AQ21" i="1" l="1"/>
  <c r="AQ49" i="1" s="1"/>
  <c r="AQ53" i="1" s="1"/>
  <c r="AS17" i="1"/>
  <c r="AS21" i="1" s="1"/>
  <c r="AS49" i="1" s="1"/>
  <c r="AS53" i="1" s="1"/>
  <c r="AS56" i="1"/>
  <c r="AS62" i="1" s="1"/>
  <c r="AQ62" i="1"/>
</calcChain>
</file>

<file path=xl/sharedStrings.xml><?xml version="1.0" encoding="utf-8"?>
<sst xmlns="http://schemas.openxmlformats.org/spreadsheetml/2006/main" count="200" uniqueCount="143">
  <si>
    <t>Exhibit No.___(KJB-4)</t>
  </si>
  <si>
    <t>Page 2 of 6</t>
  </si>
  <si>
    <t>Page 3 of 6</t>
  </si>
  <si>
    <t>Page 4 of 6</t>
  </si>
  <si>
    <t>Page 5 of 6</t>
  </si>
  <si>
    <t>Page 6 of 6</t>
  </si>
  <si>
    <t>Page 1 of 6</t>
  </si>
  <si>
    <t>Adj. 4.02</t>
  </si>
  <si>
    <t>Adj. 4.03</t>
  </si>
  <si>
    <t>Adj. 4.04</t>
  </si>
  <si>
    <t>Adj. 4.05</t>
  </si>
  <si>
    <t>Adj. 4.06</t>
  </si>
  <si>
    <t>Page 4.05</t>
  </si>
  <si>
    <t>PUGET SOUND ENERGY-ELECTRIC</t>
  </si>
  <si>
    <t>STATEMENT OF OPERATING INCOME AND ADJUSTMENTS</t>
  </si>
  <si>
    <t>Adjustment Detail (Page 1)</t>
  </si>
  <si>
    <t>Adjustment Detail (Page 2)</t>
  </si>
  <si>
    <t>Adjustment Detail (Page 3)</t>
  </si>
  <si>
    <t>Adjustment Detail (Page 5)</t>
  </si>
  <si>
    <t>GENERAL RATE INCREASE</t>
  </si>
  <si>
    <t>Adjustment Detail (Page 4)</t>
  </si>
  <si>
    <t xml:space="preserve"> </t>
  </si>
  <si>
    <t>ACTUAL</t>
  </si>
  <si>
    <t>REVENUES</t>
  </si>
  <si>
    <t>TEMPERATURE</t>
  </si>
  <si>
    <t>PASS-THROUGH</t>
  </si>
  <si>
    <t>FEDERAL</t>
  </si>
  <si>
    <t>TAX BENEFIT OF</t>
  </si>
  <si>
    <t>DEPRECIATION</t>
  </si>
  <si>
    <t>NORMALIZE</t>
  </si>
  <si>
    <t>BAD</t>
  </si>
  <si>
    <t>INCENTIVE</t>
  </si>
  <si>
    <t>D&amp;O</t>
  </si>
  <si>
    <t xml:space="preserve">INTEREST ON </t>
  </si>
  <si>
    <t>RATE CASE</t>
  </si>
  <si>
    <t>DEFERRED G/L ON</t>
  </si>
  <si>
    <t>PROPERTY &amp;</t>
  </si>
  <si>
    <t>PENSION</t>
  </si>
  <si>
    <t>WAGE</t>
  </si>
  <si>
    <t>INVESTMENT</t>
  </si>
  <si>
    <t>EMPLOYEE</t>
  </si>
  <si>
    <t>ENVIRONMENTAL</t>
  </si>
  <si>
    <t>PAYMENT</t>
  </si>
  <si>
    <t>SOUTH KING</t>
  </si>
  <si>
    <t>EXCISE TAX AND</t>
  </si>
  <si>
    <t>POWER</t>
  </si>
  <si>
    <t>MT ELECTRIC</t>
  </si>
  <si>
    <t>WILD HORSE</t>
  </si>
  <si>
    <t>ASC 815</t>
  </si>
  <si>
    <t>STORM</t>
  </si>
  <si>
    <t>REG ASSETS</t>
  </si>
  <si>
    <t>GLACIER</t>
  </si>
  <si>
    <t>ENERGY IMB</t>
  </si>
  <si>
    <t>GOLDENDALE</t>
  </si>
  <si>
    <t>MINT FARM</t>
  </si>
  <si>
    <t xml:space="preserve">WHITE </t>
  </si>
  <si>
    <t>RECLASS OF HYDRO</t>
  </si>
  <si>
    <t>PRODUCTION</t>
  </si>
  <si>
    <t>TOTAL</t>
  </si>
  <si>
    <t>ADJUSTED</t>
  </si>
  <si>
    <t>REVENUE</t>
  </si>
  <si>
    <t>AFTER</t>
  </si>
  <si>
    <t>LINE</t>
  </si>
  <si>
    <t>RESULTS OF</t>
  </si>
  <si>
    <t>&amp; EXPENSES</t>
  </si>
  <si>
    <t>NORMALIZATION</t>
  </si>
  <si>
    <t>REVS. &amp; EXPS.</t>
  </si>
  <si>
    <t>INCOME TAX</t>
  </si>
  <si>
    <t xml:space="preserve"> PROFORMA INTEREST</t>
  </si>
  <si>
    <t>STUDY</t>
  </si>
  <si>
    <t>INJ &amp; DMGS</t>
  </si>
  <si>
    <t>DEBTS</t>
  </si>
  <si>
    <t>PAY</t>
  </si>
  <si>
    <t>INSURANCE</t>
  </si>
  <si>
    <t>CUST DEPOSITS</t>
  </si>
  <si>
    <t>EXPENSES</t>
  </si>
  <si>
    <t>PROPERTY SALES</t>
  </si>
  <si>
    <t>LIABILITY INS</t>
  </si>
  <si>
    <t>PLAN</t>
  </si>
  <si>
    <t>INCREASE</t>
  </si>
  <si>
    <t>REMEDIATION</t>
  </si>
  <si>
    <t>PROCESSING COSTS</t>
  </si>
  <si>
    <t>SERVICE CENTER</t>
  </si>
  <si>
    <t>WUTC FILING FEE</t>
  </si>
  <si>
    <t>COSTS</t>
  </si>
  <si>
    <t>ENERGY TAX</t>
  </si>
  <si>
    <t xml:space="preserve"> SOLAR</t>
  </si>
  <si>
    <t>(PREV. SFAS 133)</t>
  </si>
  <si>
    <t>DAMAGE</t>
  </si>
  <si>
    <t>&amp; LIABILITIES</t>
  </si>
  <si>
    <t>BATTERY STRG</t>
  </si>
  <si>
    <t>MARKET</t>
  </si>
  <si>
    <t>CAPACITY UPGRADE</t>
  </si>
  <si>
    <t>RIVER</t>
  </si>
  <si>
    <t>TREASURY GRANTS</t>
  </si>
  <si>
    <t>ADJUSTMENT</t>
  </si>
  <si>
    <t>ADJUSTMENTS</t>
  </si>
  <si>
    <t xml:space="preserve">ACTUAL RESUTLS </t>
  </si>
  <si>
    <t>REQUIREMENT</t>
  </si>
  <si>
    <t>RATE</t>
  </si>
  <si>
    <t>NO.</t>
  </si>
  <si>
    <t xml:space="preserve">OPERATIONS </t>
  </si>
  <si>
    <t>OPERATIONS</t>
  </si>
  <si>
    <t>OF OPERATIONS</t>
  </si>
  <si>
    <t>-</t>
  </si>
  <si>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</si>
  <si>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</si>
  <si>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</si>
  <si>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</si>
  <si>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</si>
  <si>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</si>
  <si>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</si>
  <si>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</si>
  <si>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</si>
  <si>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</si>
  <si>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</si>
  <si>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</si>
  <si>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</si>
  <si>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</si>
  <si>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</si>
  <si>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</si>
  <si>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</si>
  <si>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</si>
  <si>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</si>
  <si>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</si>
  <si>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AMORTIZATION</t>
  </si>
  <si>
    <t>AMORTIZ OF PROPERTY GAIN/LOSS</t>
  </si>
  <si>
    <t>OTHER OPERATING EXPENSES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</si>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</sst>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Adj.&quot;\ 0.00"/>
    <numFmt numFmtId="165" formatCode="#,##0;\(#,##0\)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_);[Red]_(&quot;$&quot;* \(#,##0\);_(&quot;$&quot;* &quot;-&quot;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rgb="FFFF0066"/>
      <name val="Times New Roman"/>
      <family val="1"/>
    </font>
    <font>
      <sz val="10"/>
      <color indexed="8"/>
      <name val="Times New Roman"/>
      <family val="1"/>
    </font>
    <font>
      <sz val="16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Alignment="1"/>
    <xf numFmtId="0" fontId="2" fillId="0" borderId="0" xfId="0" applyNumberFormat="1" applyFont="1" applyFill="1" applyAlignment="1"/>
    <xf numFmtId="0" fontId="4" fillId="0" borderId="0" xfId="0" applyNumberFormat="1" applyFont="1" applyFill="1" applyAlignment="1">
      <alignment horizontal="right"/>
    </xf>
    <xf numFmtId="0" fontId="4" fillId="0" borderId="0" xfId="0" quotePrefix="1" applyNumberFormat="1" applyFont="1" applyFill="1" applyAlignment="1">
      <alignment horizontal="left"/>
    </xf>
    <xf numFmtId="0" fontId="3" fillId="0" borderId="0" xfId="0" applyNumberFormat="1" applyFont="1" applyAlignment="1"/>
    <xf numFmtId="0" fontId="0" fillId="0" borderId="0" xfId="0" applyNumberFormat="1" applyFill="1" applyAlignment="1"/>
    <xf numFmtId="0" fontId="0" fillId="0" borderId="0" xfId="0" applyNumberFormat="1" applyAlignment="1"/>
    <xf numFmtId="0" fontId="4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/>
    <xf numFmtId="0" fontId="4" fillId="0" borderId="0" xfId="0" quotePrefix="1" applyNumberFormat="1" applyFont="1" applyFill="1" applyAlignment="1">
      <alignment horizontal="centerContinuous"/>
    </xf>
    <xf numFmtId="0" fontId="4" fillId="0" borderId="0" xfId="0" quotePrefix="1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fill"/>
    </xf>
    <xf numFmtId="0" fontId="4" fillId="0" borderId="0" xfId="0" quotePrefix="1" applyNumberFormat="1" applyFont="1" applyFill="1" applyAlignment="1">
      <alignment horizontal="fill"/>
    </xf>
    <xf numFmtId="0" fontId="5" fillId="0" borderId="0" xfId="0" applyNumberFormat="1" applyFont="1" applyFill="1" applyAlignment="1">
      <alignment horizontal="fill"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 wrapText="1"/>
    </xf>
    <xf numFmtId="0" fontId="4" fillId="0" borderId="0" xfId="0" quotePrefix="1" applyNumberFormat="1" applyFont="1" applyFill="1" applyAlignment="1">
      <alignment horizontal="center"/>
    </xf>
    <xf numFmtId="2" fontId="4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/>
    <xf numFmtId="49" fontId="2" fillId="0" borderId="0" xfId="0" applyNumberFormat="1" applyFont="1" applyFill="1" applyAlignment="1">
      <alignment horizontal="fill"/>
    </xf>
    <xf numFmtId="0" fontId="2" fillId="0" borderId="0" xfId="0" applyNumberFormat="1" applyFont="1" applyFill="1" applyAlignment="1">
      <alignment horizontal="fill"/>
    </xf>
    <xf numFmtId="0" fontId="2" fillId="0" borderId="0" xfId="0" applyNumberFormat="1" applyFont="1" applyFill="1" applyAlignment="1" applyProtection="1">
      <alignment horizontal="fill"/>
      <protection locked="0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 applyProtection="1">
      <protection locked="0"/>
    </xf>
    <xf numFmtId="165" fontId="2" fillId="0" borderId="0" xfId="0" applyNumberFormat="1" applyFont="1" applyFill="1" applyAlignment="1"/>
    <xf numFmtId="0" fontId="2" fillId="0" borderId="0" xfId="0" applyNumberFormat="1" applyFont="1" applyFill="1" applyAlignment="1" applyProtection="1">
      <protection locked="0"/>
    </xf>
    <xf numFmtId="42" fontId="2" fillId="0" borderId="0" xfId="0" applyNumberFormat="1" applyFont="1" applyFill="1" applyAlignment="1" applyProtection="1">
      <protection locked="0"/>
    </xf>
    <xf numFmtId="0" fontId="2" fillId="0" borderId="0" xfId="0" applyNumberFormat="1" applyFont="1" applyAlignment="1"/>
    <xf numFmtId="41" fontId="2" fillId="0" borderId="0" xfId="0" applyNumberFormat="1" applyFont="1" applyFill="1" applyAlignment="1" applyProtection="1">
      <protection locked="0"/>
    </xf>
    <xf numFmtId="166" fontId="2" fillId="0" borderId="0" xfId="0" applyNumberFormat="1" applyFont="1" applyFill="1" applyAlignment="1"/>
    <xf numFmtId="41" fontId="2" fillId="0" borderId="0" xfId="0" applyNumberFormat="1" applyFont="1" applyFill="1" applyBorder="1" applyAlignment="1" applyProtection="1">
      <protection locked="0"/>
    </xf>
    <xf numFmtId="166" fontId="2" fillId="0" borderId="0" xfId="0" applyNumberFormat="1" applyFont="1" applyFill="1" applyBorder="1" applyAlignment="1"/>
    <xf numFmtId="41" fontId="2" fillId="0" borderId="2" xfId="0" applyNumberFormat="1" applyFont="1" applyFill="1" applyBorder="1" applyAlignment="1" applyProtection="1">
      <protection locked="0"/>
    </xf>
    <xf numFmtId="166" fontId="2" fillId="0" borderId="2" xfId="0" applyNumberFormat="1" applyFont="1" applyFill="1" applyBorder="1" applyAlignment="1"/>
    <xf numFmtId="41" fontId="2" fillId="0" borderId="0" xfId="0" applyNumberFormat="1" applyFont="1" applyFill="1" applyAlignment="1"/>
    <xf numFmtId="41" fontId="2" fillId="0" borderId="3" xfId="0" applyNumberFormat="1" applyFont="1" applyFill="1" applyBorder="1" applyAlignment="1" applyProtection="1">
      <protection locked="0"/>
    </xf>
    <xf numFmtId="166" fontId="2" fillId="0" borderId="3" xfId="0" applyNumberFormat="1" applyFont="1" applyFill="1" applyBorder="1" applyAlignment="1"/>
    <xf numFmtId="0" fontId="2" fillId="0" borderId="0" xfId="0" quotePrefix="1" applyNumberFormat="1" applyFont="1" applyFill="1" applyAlignment="1">
      <alignment horizontal="left"/>
    </xf>
    <xf numFmtId="37" fontId="2" fillId="0" borderId="0" xfId="0" applyNumberFormat="1" applyFont="1" applyFill="1" applyAlignment="1"/>
    <xf numFmtId="37" fontId="2" fillId="0" borderId="0" xfId="0" applyNumberFormat="1" applyFont="1" applyFill="1" applyAlignment="1" applyProtection="1">
      <protection locked="0"/>
    </xf>
    <xf numFmtId="42" fontId="2" fillId="0" borderId="0" xfId="0" applyNumberFormat="1" applyFont="1" applyFill="1" applyAlignment="1"/>
    <xf numFmtId="42" fontId="2" fillId="0" borderId="0" xfId="0" applyNumberFormat="1" applyFont="1" applyFill="1" applyBorder="1" applyAlignment="1"/>
    <xf numFmtId="167" fontId="2" fillId="0" borderId="0" xfId="1" applyNumberFormat="1" applyFont="1" applyFill="1" applyAlignment="1"/>
    <xf numFmtId="42" fontId="2" fillId="0" borderId="0" xfId="0" applyNumberFormat="1" applyFont="1" applyFill="1" applyAlignment="1">
      <alignment horizontal="left"/>
    </xf>
    <xf numFmtId="10" fontId="2" fillId="0" borderId="0" xfId="0" applyNumberFormat="1" applyFont="1" applyFill="1" applyAlignment="1" applyProtection="1">
      <protection locked="0"/>
    </xf>
    <xf numFmtId="10" fontId="2" fillId="0" borderId="0" xfId="0" applyNumberFormat="1" applyFont="1" applyFill="1" applyAlignment="1"/>
    <xf numFmtId="168" fontId="6" fillId="0" borderId="0" xfId="0" applyNumberFormat="1" applyFont="1" applyFill="1" applyAlignment="1" applyProtection="1">
      <alignment horizontal="left"/>
    </xf>
    <xf numFmtId="42" fontId="2" fillId="0" borderId="4" xfId="0" applyNumberFormat="1" applyFont="1" applyFill="1" applyBorder="1" applyAlignment="1" applyProtection="1">
      <protection locked="0"/>
    </xf>
    <xf numFmtId="42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NumberFormat="1" applyFont="1" applyAlignment="1"/>
    <xf numFmtId="37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/>
  </cellXfs>
  <cellStyles count="2">
    <cellStyle name="Currency" xfId="1" builtinId="4"/>
    <cellStyle name="Normal" xfId="0" builtinId="0"/>
  </cellStyles>
  <dxfs count="2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rc/Documents/Opened_From_Outlook/KJB%203%20-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JB-3 Def"/>
      <sheetName val="KJB-4 Sum"/>
      <sheetName val="KJB-5.01 IS"/>
      <sheetName val="KJB 5.02 BS"/>
      <sheetName val="KJB 5.03 ERB"/>
      <sheetName val="KJB 5.04 WC"/>
      <sheetName val="KJB 5.05 AM"/>
      <sheetName val="KJB-6 Cmn Adj"/>
      <sheetName val="KJB-7 El Adj"/>
      <sheetName val="KJB-7 7.01 p 2"/>
      <sheetName val="KJB-8"/>
      <sheetName val="KJB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FOR THE TWELVE MONTHS ENDED SEPTEMBER 30, 2016</v>
          </cell>
        </row>
        <row r="13">
          <cell r="BB13">
            <v>-24832.496714436435</v>
          </cell>
          <cell r="BF13">
            <v>108170.94876945516</v>
          </cell>
          <cell r="DG13">
            <v>36124.958262011409</v>
          </cell>
        </row>
        <row r="14">
          <cell r="AW14">
            <v>-6666.8782031258452</v>
          </cell>
          <cell r="CC14">
            <v>146755.4545638822</v>
          </cell>
          <cell r="DG14">
            <v>-51913.275359999388</v>
          </cell>
        </row>
        <row r="15">
          <cell r="AW15">
            <v>-55745.235281144734</v>
          </cell>
          <cell r="BS15">
            <v>-101764.80083986348</v>
          </cell>
          <cell r="BX15">
            <v>1822992.9925739774</v>
          </cell>
          <cell r="CC15">
            <v>339480.84844003245</v>
          </cell>
          <cell r="CW15">
            <v>-212069.92593149981</v>
          </cell>
          <cell r="DB15">
            <v>18038011.302024998</v>
          </cell>
        </row>
        <row r="16">
          <cell r="AW16">
            <v>-18097.74070324644</v>
          </cell>
          <cell r="CC16">
            <v>238226.09976480342</v>
          </cell>
          <cell r="DB16">
            <v>-2296590.5674166665</v>
          </cell>
        </row>
        <row r="17">
          <cell r="Q17">
            <v>13257.679999999998</v>
          </cell>
          <cell r="AI17">
            <v>-106750.2786706667</v>
          </cell>
          <cell r="AW17">
            <v>-67989.549035376869</v>
          </cell>
          <cell r="BB17">
            <v>8691.3738500527506</v>
          </cell>
          <cell r="BX17">
            <v>-638047.54740089201</v>
          </cell>
          <cell r="CC17">
            <v>368168.06771003455</v>
          </cell>
          <cell r="DB17">
            <v>-1158077.4061524575</v>
          </cell>
        </row>
        <row r="18">
          <cell r="AI18">
            <v>37363</v>
          </cell>
          <cell r="AW18">
            <v>-33992.931957083521</v>
          </cell>
          <cell r="CC18">
            <v>129718.13539325818</v>
          </cell>
          <cell r="DB18">
            <v>-31060.331498886484</v>
          </cell>
          <cell r="DG18">
            <v>5526</v>
          </cell>
        </row>
        <row r="19">
          <cell r="AW19">
            <v>-2430.2317032695282</v>
          </cell>
          <cell r="BS19">
            <v>35617.680293952217</v>
          </cell>
          <cell r="CC19">
            <v>41883.631711493013</v>
          </cell>
          <cell r="DB19">
            <v>1087774.3612499998</v>
          </cell>
        </row>
        <row r="20">
          <cell r="D20">
            <v>146.57999999999811</v>
          </cell>
          <cell r="AW20">
            <v>-452.39318676032417</v>
          </cell>
          <cell r="CC20">
            <v>4757.2965142462635</v>
          </cell>
          <cell r="CM20">
            <v>187308.92923393101</v>
          </cell>
          <cell r="DB20">
            <v>270260.7354466801</v>
          </cell>
        </row>
        <row r="21">
          <cell r="Q21">
            <v>1841461.71</v>
          </cell>
          <cell r="AW21">
            <v>-42688.898931392003</v>
          </cell>
          <cell r="CC21">
            <v>893431.03617618978</v>
          </cell>
          <cell r="CW21">
            <v>4962071.8844784237</v>
          </cell>
          <cell r="DB21">
            <v>4742.0042131155633</v>
          </cell>
        </row>
        <row r="22">
          <cell r="Y22">
            <v>-53350176.862995125</v>
          </cell>
          <cell r="CM22">
            <v>-65558</v>
          </cell>
        </row>
        <row r="23">
          <cell r="D23">
            <v>-18636150.940117843</v>
          </cell>
          <cell r="AD23">
            <v>54305943.264857493</v>
          </cell>
          <cell r="CR23">
            <v>1422577.0493701622</v>
          </cell>
        </row>
        <row r="24">
          <cell r="AW24">
            <v>-14322.105364270566</v>
          </cell>
          <cell r="CC24">
            <v>140715.30091736629</v>
          </cell>
        </row>
        <row r="25">
          <cell r="Q25">
            <v>-1563408.86</v>
          </cell>
          <cell r="CR25">
            <v>-497902</v>
          </cell>
          <cell r="CW25">
            <v>-1662500.6854914231</v>
          </cell>
          <cell r="DB25">
            <v>-363750.12810969783</v>
          </cell>
        </row>
        <row r="26">
          <cell r="AR26">
            <v>-845154</v>
          </cell>
          <cell r="DB26">
            <v>49703.918495901155</v>
          </cell>
        </row>
        <row r="27">
          <cell r="Q27">
            <v>192824371.04000002</v>
          </cell>
          <cell r="BN27">
            <v>-263384.27666666743</v>
          </cell>
          <cell r="DB27">
            <v>39544.098966941405</v>
          </cell>
        </row>
        <row r="28">
          <cell r="AD28">
            <v>-751878.87284983043</v>
          </cell>
          <cell r="AR28">
            <v>295804</v>
          </cell>
          <cell r="BJ28">
            <v>407545.487356</v>
          </cell>
          <cell r="CC28">
            <v>-806097.55491695704</v>
          </cell>
          <cell r="DB28">
            <v>-393261.64299999998</v>
          </cell>
        </row>
        <row r="29">
          <cell r="AW29">
            <v>84835.087527984026</v>
          </cell>
          <cell r="BN29">
            <v>92184.4968333336</v>
          </cell>
        </row>
        <row r="30">
          <cell r="Q30">
            <v>-1378053.9992858302</v>
          </cell>
          <cell r="U30">
            <v>144836215.65657258</v>
          </cell>
          <cell r="AD30">
            <v>-306970.43555068504</v>
          </cell>
          <cell r="BJ30">
            <v>-142640.92057459999</v>
          </cell>
        </row>
        <row r="31">
          <cell r="Q31">
            <v>-385092.63638000004</v>
          </cell>
          <cell r="U31">
            <v>-117812976.8499999</v>
          </cell>
        </row>
        <row r="32">
          <cell r="D32">
            <v>-10225162.969999999</v>
          </cell>
          <cell r="Q32">
            <v>-7404753.7586328303</v>
          </cell>
          <cell r="CH32">
            <v>163909.622307254</v>
          </cell>
          <cell r="DB32">
            <v>233717.31377639933</v>
          </cell>
        </row>
        <row r="34">
          <cell r="AD34">
            <v>-18636482.884759944</v>
          </cell>
          <cell r="CH34">
            <v>-57368</v>
          </cell>
        </row>
        <row r="36">
          <cell r="Q36">
            <v>-97540765.159999996</v>
          </cell>
        </row>
        <row r="37">
          <cell r="Q37">
            <v>-55961766.059999995</v>
          </cell>
        </row>
        <row r="38">
          <cell r="Q38">
            <v>-80920052.489999995</v>
          </cell>
        </row>
        <row r="39">
          <cell r="E39">
            <v>17342294.120000005</v>
          </cell>
          <cell r="K39">
            <v>5118</v>
          </cell>
          <cell r="Q39">
            <v>-16296500.52</v>
          </cell>
          <cell r="AD39">
            <v>-26623546.978228491</v>
          </cell>
        </row>
        <row r="40">
          <cell r="D40">
            <v>-206560.42365471341</v>
          </cell>
          <cell r="Q40">
            <v>69268219.670000002</v>
          </cell>
          <cell r="AD40">
            <v>9318241.4423799794</v>
          </cell>
        </row>
        <row r="41">
          <cell r="D41">
            <v>-57722.627820235684</v>
          </cell>
          <cell r="L41">
            <v>28313253</v>
          </cell>
          <cell r="Q41">
            <v>138514.25</v>
          </cell>
        </row>
        <row r="42">
          <cell r="D42">
            <v>-1109919.5490414018</v>
          </cell>
          <cell r="Q42">
            <v>-979067.74</v>
          </cell>
        </row>
        <row r="43">
          <cell r="K43">
            <v>202638</v>
          </cell>
          <cell r="Q43">
            <v>-41429.58</v>
          </cell>
        </row>
        <row r="44">
          <cell r="K44">
            <v>56627</v>
          </cell>
          <cell r="Q44">
            <v>-11150.8</v>
          </cell>
        </row>
        <row r="45">
          <cell r="Q45">
            <v>226820.57</v>
          </cell>
        </row>
        <row r="47">
          <cell r="K47">
            <v>1088843</v>
          </cell>
        </row>
        <row r="48">
          <cell r="E48">
            <v>-15690291.900360523</v>
          </cell>
        </row>
        <row r="49">
          <cell r="Q49">
            <v>-538752.47499545664</v>
          </cell>
        </row>
        <row r="52">
          <cell r="L52">
            <v>9437801</v>
          </cell>
        </row>
      </sheetData>
      <sheetData sheetId="8">
        <row r="13">
          <cell r="T13">
            <v>64111667.629999898</v>
          </cell>
        </row>
        <row r="14">
          <cell r="E14">
            <v>-6182388.5443222821</v>
          </cell>
          <cell r="AI14">
            <v>5283142.6882666685</v>
          </cell>
          <cell r="AS14">
            <v>-21985164.197500002</v>
          </cell>
          <cell r="BC14">
            <v>-91853.68791667372</v>
          </cell>
          <cell r="BH14">
            <v>101559498.97984974</v>
          </cell>
        </row>
        <row r="15">
          <cell r="E15">
            <v>-21176331.295240253</v>
          </cell>
          <cell r="O15">
            <v>-4539303</v>
          </cell>
          <cell r="AI15">
            <v>-722122.88795987645</v>
          </cell>
          <cell r="AN15">
            <v>16120231.800000003</v>
          </cell>
          <cell r="AS15">
            <v>21835739.237264812</v>
          </cell>
          <cell r="AX15">
            <v>24765516.030000001</v>
          </cell>
          <cell r="BC15">
            <v>18825.34</v>
          </cell>
          <cell r="BH15">
            <v>-95819883.979849756</v>
          </cell>
        </row>
        <row r="16">
          <cell r="E16">
            <v>-89623142.826515794</v>
          </cell>
          <cell r="O16">
            <v>1578037</v>
          </cell>
          <cell r="AI16">
            <v>-1602.450349846451</v>
          </cell>
          <cell r="AN16">
            <v>-9403468.5500000026</v>
          </cell>
          <cell r="AS16">
            <v>770444.58162956533</v>
          </cell>
          <cell r="AX16">
            <v>-1572187.2608600797</v>
          </cell>
          <cell r="BC16">
            <v>26606.68</v>
          </cell>
        </row>
        <row r="17">
          <cell r="E17">
            <v>196418.58146230131</v>
          </cell>
          <cell r="O17">
            <v>11978.689327298343</v>
          </cell>
          <cell r="AI17">
            <v>-1717191.1462585353</v>
          </cell>
          <cell r="AN17">
            <v>-1584894.1527864772</v>
          </cell>
          <cell r="AS17">
            <v>1771037.4357740821</v>
          </cell>
          <cell r="AX17">
            <v>-4188738.7602319769</v>
          </cell>
          <cell r="BL17">
            <v>-3550.8251450160915</v>
          </cell>
        </row>
        <row r="18">
          <cell r="E18">
            <v>-5225455.6610995084</v>
          </cell>
          <cell r="O18">
            <v>984138.515625</v>
          </cell>
          <cell r="AI18">
            <v>560.85762244625778</v>
          </cell>
          <cell r="AS18">
            <v>-269655.60357034783</v>
          </cell>
          <cell r="BC18">
            <v>-5960316.2885149196</v>
          </cell>
          <cell r="BL18">
            <v>-7191.8465867383275</v>
          </cell>
        </row>
        <row r="19">
          <cell r="E19">
            <v>172694095.42065951</v>
          </cell>
          <cell r="O19">
            <v>-4192.5412645544202</v>
          </cell>
          <cell r="T19">
            <v>-22439083.670499962</v>
          </cell>
          <cell r="BC19">
            <v>2118258.9806407262</v>
          </cell>
          <cell r="BL19">
            <v>-208094.44303476744</v>
          </cell>
        </row>
        <row r="20">
          <cell r="E20">
            <v>-33612312.360200934</v>
          </cell>
          <cell r="O20">
            <v>-1969341.3363122563</v>
          </cell>
          <cell r="BH20">
            <v>3279780</v>
          </cell>
          <cell r="BL20">
            <v>-5426.0785200283972</v>
          </cell>
        </row>
        <row r="21">
          <cell r="AN21">
            <v>5373410.6000000006</v>
          </cell>
          <cell r="BL21">
            <v>-70053.457900230002</v>
          </cell>
        </row>
        <row r="22">
          <cell r="E22">
            <v>9584908.9536754489</v>
          </cell>
          <cell r="AI22">
            <v>216197.46771369944</v>
          </cell>
          <cell r="AS22">
            <v>21938507.569999989</v>
          </cell>
        </row>
        <row r="23">
          <cell r="E23">
            <v>-16783.132549889968</v>
          </cell>
          <cell r="J23">
            <v>69720.08998702839</v>
          </cell>
          <cell r="AI23">
            <v>7633.7978685983253</v>
          </cell>
          <cell r="AS23">
            <v>-1603823.9182529056</v>
          </cell>
          <cell r="BH23">
            <v>-1147923</v>
          </cell>
        </row>
        <row r="24">
          <cell r="E24">
            <v>-1463477.1396820862</v>
          </cell>
          <cell r="AS24">
            <v>109553.08143874648</v>
          </cell>
          <cell r="BC24">
            <v>5194474.8277102737</v>
          </cell>
        </row>
        <row r="25">
          <cell r="E25">
            <v>4769481.1386719989</v>
          </cell>
          <cell r="J25">
            <v>24402</v>
          </cell>
          <cell r="O25">
            <v>-212138.37865459672</v>
          </cell>
          <cell r="AS25">
            <v>-4387340.2019051835</v>
          </cell>
          <cell r="BL25">
            <v>-3796102.255248819</v>
          </cell>
        </row>
        <row r="26">
          <cell r="AS26">
            <v>-38343.578503561264</v>
          </cell>
        </row>
        <row r="27">
          <cell r="O27">
            <v>74248</v>
          </cell>
          <cell r="BL27">
            <v>-299559.51406567206</v>
          </cell>
        </row>
        <row r="28">
          <cell r="W28">
            <v>-131868.25166666671</v>
          </cell>
          <cell r="X28">
            <v>-271443.23000000231</v>
          </cell>
          <cell r="AI28">
            <v>-78340.942953804202</v>
          </cell>
          <cell r="AN28">
            <v>-1880693.71</v>
          </cell>
          <cell r="BC28">
            <v>-1818066.1896985958</v>
          </cell>
        </row>
        <row r="30">
          <cell r="E30">
            <v>-56686.323528445922</v>
          </cell>
        </row>
        <row r="31">
          <cell r="BL31">
            <v>-56480.375994618029</v>
          </cell>
        </row>
        <row r="32">
          <cell r="E32">
            <v>-10500594.810435433</v>
          </cell>
          <cell r="BL32">
            <v>-53153.010725077329</v>
          </cell>
        </row>
        <row r="34">
          <cell r="AS34">
            <v>-3317.0689883994637</v>
          </cell>
        </row>
        <row r="36">
          <cell r="BL36">
            <v>-169550.55800730651</v>
          </cell>
        </row>
        <row r="37">
          <cell r="BL37">
            <v>35025.795472047073</v>
          </cell>
        </row>
        <row r="38">
          <cell r="AS38">
            <v>1160.9741459398122</v>
          </cell>
          <cell r="BL38">
            <v>10139.345500291838</v>
          </cell>
        </row>
        <row r="39">
          <cell r="BL39">
            <v>-95971.54482048002</v>
          </cell>
        </row>
        <row r="40">
          <cell r="BL40">
            <v>-73127.413044000001</v>
          </cell>
        </row>
        <row r="42">
          <cell r="BL42">
            <v>-114579.14932479928</v>
          </cell>
        </row>
        <row r="43">
          <cell r="AD43">
            <v>-241268.10200000007</v>
          </cell>
          <cell r="BL43">
            <v>-14222.869362284993</v>
          </cell>
        </row>
        <row r="44">
          <cell r="BL44">
            <v>-55850.496169829421</v>
          </cell>
        </row>
        <row r="46">
          <cell r="BL46">
            <v>-17424.034740000003</v>
          </cell>
        </row>
        <row r="49">
          <cell r="BM49">
            <v>1864255.1710973671</v>
          </cell>
        </row>
        <row r="53">
          <cell r="AD53">
            <v>-2671095.3099230588</v>
          </cell>
        </row>
        <row r="56">
          <cell r="BL56">
            <v>43369291</v>
          </cell>
        </row>
        <row r="58">
          <cell r="Y58">
            <v>10730321.740833335</v>
          </cell>
          <cell r="BL58">
            <v>251780</v>
          </cell>
        </row>
        <row r="59">
          <cell r="AD59">
            <v>934883.35847307055</v>
          </cell>
        </row>
        <row r="62">
          <cell r="Y62">
            <v>-3614453.5907083321</v>
          </cell>
          <cell r="BL62">
            <v>2865152</v>
          </cell>
        </row>
        <row r="96">
          <cell r="BL96">
            <v>-54768451.766517222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9"/>
  <sheetViews>
    <sheetView tabSelected="1" workbookViewId="0">
      <selection activeCell="H9" sqref="H9"/>
    </sheetView>
  </sheetViews>
  <sheetFormatPr defaultColWidth="8.33203125" defaultRowHeight="13.2" x14ac:dyDescent="0.25"/>
  <cols>
    <col min="1" max="1" width="5.6640625" style="66" customWidth="1"/>
    <col min="2" max="2" width="40.6640625" style="4" customWidth="1"/>
    <col min="3" max="3" width="15.5546875" style="4" customWidth="1"/>
    <col min="4" max="4" width="12.88671875" style="4" bestFit="1" customWidth="1"/>
    <col min="5" max="5" width="15.88671875" style="4" customWidth="1"/>
    <col min="6" max="6" width="14.5546875" style="4" customWidth="1"/>
    <col min="7" max="7" width="13.88671875" style="4" customWidth="1"/>
    <col min="8" max="8" width="21.77734375" style="4" customWidth="1"/>
    <col min="9" max="9" width="13.6640625" style="4" customWidth="1"/>
    <col min="10" max="10" width="11.77734375" style="4" customWidth="1"/>
    <col min="11" max="16" width="16.109375" style="4" customWidth="1"/>
    <col min="17" max="17" width="14.88671875" style="4" customWidth="1"/>
    <col min="18" max="18" width="15.109375" style="4" customWidth="1"/>
    <col min="19" max="19" width="16.109375" style="4" customWidth="1"/>
    <col min="20" max="20" width="14.77734375" style="4" customWidth="1"/>
    <col min="21" max="21" width="14" style="4" customWidth="1"/>
    <col min="22" max="22" width="14.77734375" style="4" customWidth="1"/>
    <col min="23" max="23" width="16.88671875" style="4" customWidth="1"/>
    <col min="24" max="24" width="16.109375" style="4" customWidth="1"/>
    <col min="25" max="25" width="15.5546875" style="4" customWidth="1"/>
    <col min="26" max="26" width="12.88671875" style="4" customWidth="1"/>
    <col min="27" max="27" width="16.109375" style="4" customWidth="1"/>
    <col min="28" max="28" width="14.6640625" style="4" customWidth="1"/>
    <col min="29" max="29" width="16.109375" style="4" customWidth="1"/>
    <col min="30" max="30" width="13.6640625" style="4" customWidth="1"/>
    <col min="31" max="31" width="14.88671875" style="4" customWidth="1"/>
    <col min="32" max="32" width="14.44140625" style="4" customWidth="1"/>
    <col min="33" max="33" width="12.21875" style="4" customWidth="1"/>
    <col min="34" max="35" width="16.88671875" style="4" customWidth="1"/>
    <col min="36" max="36" width="11.21875" style="4" customWidth="1"/>
    <col min="37" max="37" width="17.33203125" style="4" customWidth="1"/>
    <col min="38" max="38" width="13.21875" style="4" customWidth="1"/>
    <col min="39" max="40" width="16.109375" style="4" customWidth="1"/>
    <col min="41" max="41" width="17.88671875" style="4" bestFit="1" customWidth="1"/>
    <col min="42" max="44" width="16.109375" style="4" customWidth="1"/>
    <col min="45" max="45" width="16.109375" style="1" customWidth="1"/>
    <col min="46" max="46" width="2.21875" style="4" customWidth="1"/>
    <col min="47" max="16384" width="8.33203125" style="7"/>
  </cols>
  <sheetData>
    <row r="1" spans="1:46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x14ac:dyDescent="0.25">
      <c r="A2" s="3"/>
      <c r="H2" s="5"/>
      <c r="I2" s="5" t="str">
        <f>k_Docket_Number</f>
        <v>Exhibit No.___(KJB-4)</v>
      </c>
      <c r="P2" s="5" t="str">
        <f>k_Docket_Number</f>
        <v>Exhibit No.___(KJB-4)</v>
      </c>
      <c r="W2" s="5" t="str">
        <f>k_Docket_Number</f>
        <v>Exhibit No.___(KJB-4)</v>
      </c>
      <c r="AD2" s="5" t="str">
        <f>k_Docket_Number</f>
        <v>Exhibit No.___(KJB-4)</v>
      </c>
      <c r="AL2" s="5" t="str">
        <f>k_Docket_Number</f>
        <v>Exhibit No.___(KJB-4)</v>
      </c>
      <c r="AM2" s="6"/>
      <c r="AN2" s="5" t="str">
        <f>k_Docket_Number</f>
        <v>Exhibit No.___(KJB-4)</v>
      </c>
      <c r="AS2" s="5" t="s">
        <v>0</v>
      </c>
    </row>
    <row r="3" spans="1:46" ht="13.8" thickBot="1" x14ac:dyDescent="0.3">
      <c r="A3" s="3"/>
      <c r="D3" s="8"/>
      <c r="F3" s="8"/>
      <c r="G3" s="8"/>
      <c r="H3" s="5"/>
      <c r="I3" s="5" t="s">
        <v>1</v>
      </c>
      <c r="L3" s="8"/>
      <c r="M3" s="8"/>
      <c r="P3" s="5" t="s">
        <v>2</v>
      </c>
      <c r="W3" s="5" t="s">
        <v>3</v>
      </c>
      <c r="Z3" s="8"/>
      <c r="AD3" s="5" t="s">
        <v>4</v>
      </c>
      <c r="AL3" s="5" t="s">
        <v>5</v>
      </c>
      <c r="AM3" s="8"/>
      <c r="AN3" s="5" t="str">
        <f>keep_KJB_4_Electric_Summary</f>
        <v>Page 1 of 6</v>
      </c>
      <c r="AS3" s="5" t="s">
        <v>6</v>
      </c>
    </row>
    <row r="4" spans="1:46" ht="13.8" thickBot="1" x14ac:dyDescent="0.3">
      <c r="A4" s="3"/>
      <c r="B4" s="9"/>
      <c r="C4" s="3"/>
      <c r="D4" s="3"/>
      <c r="F4" s="3"/>
      <c r="G4" s="3"/>
      <c r="H4" s="10"/>
      <c r="I4" s="10" t="s">
        <v>7</v>
      </c>
      <c r="L4" s="3"/>
      <c r="M4" s="3"/>
      <c r="P4" s="11" t="s">
        <v>8</v>
      </c>
      <c r="T4" s="3"/>
      <c r="W4" s="11" t="s">
        <v>9</v>
      </c>
      <c r="Z4" s="3"/>
      <c r="AB4" s="3"/>
      <c r="AD4" s="11" t="s">
        <v>10</v>
      </c>
      <c r="AL4" s="12" t="s">
        <v>11</v>
      </c>
      <c r="AN4" s="12" t="s">
        <v>12</v>
      </c>
      <c r="AO4" s="3"/>
      <c r="AP4" s="3"/>
      <c r="AQ4" s="3"/>
      <c r="AR4" s="13"/>
      <c r="AS4" s="14">
        <v>4.01</v>
      </c>
      <c r="AT4" s="3"/>
    </row>
    <row r="5" spans="1:46" s="15" customFormat="1" x14ac:dyDescent="0.25">
      <c r="E5" s="16" t="s">
        <v>13</v>
      </c>
      <c r="L5" s="17"/>
      <c r="M5" s="3" t="s">
        <v>13</v>
      </c>
      <c r="S5" s="16" t="s">
        <v>13</v>
      </c>
      <c r="AH5" s="16" t="s">
        <v>13</v>
      </c>
      <c r="AQ5" s="16" t="s">
        <v>13</v>
      </c>
    </row>
    <row r="6" spans="1:46" s="15" customFormat="1" x14ac:dyDescent="0.25">
      <c r="E6" s="16" t="s">
        <v>14</v>
      </c>
      <c r="L6" s="17"/>
      <c r="M6" s="16" t="s">
        <v>14</v>
      </c>
      <c r="S6" s="16" t="s">
        <v>14</v>
      </c>
      <c r="Z6" s="16" t="s">
        <v>13</v>
      </c>
      <c r="AH6" s="16" t="s">
        <v>14</v>
      </c>
      <c r="AQ6" s="16" t="s">
        <v>14</v>
      </c>
    </row>
    <row r="7" spans="1:46" s="15" customFormat="1" x14ac:dyDescent="0.25">
      <c r="E7" s="16" t="str">
        <f>keep_TESTYEAR</f>
        <v>FOR THE TWELVE MONTHS ENDED SEPTEMBER 30, 2016</v>
      </c>
      <c r="L7" s="17"/>
      <c r="M7" s="16" t="str">
        <f>keep_TESTYEAR</f>
        <v>FOR THE TWELVE MONTHS ENDED SEPTEMBER 30, 2016</v>
      </c>
      <c r="S7" s="16" t="str">
        <f>keep_TESTYEAR</f>
        <v>FOR THE TWELVE MONTHS ENDED SEPTEMBER 30, 2016</v>
      </c>
      <c r="Z7" s="16" t="s">
        <v>14</v>
      </c>
      <c r="AH7" s="16" t="str">
        <f>keep_TESTYEAR</f>
        <v>FOR THE TWELVE MONTHS ENDED SEPTEMBER 30, 2016</v>
      </c>
      <c r="AQ7" s="16" t="str">
        <f>keep_TESTYEAR</f>
        <v>FOR THE TWELVE MONTHS ENDED SEPTEMBER 30, 2016</v>
      </c>
    </row>
    <row r="8" spans="1:46" x14ac:dyDescent="0.25">
      <c r="A8" s="18"/>
      <c r="B8" s="9"/>
      <c r="C8" s="7"/>
      <c r="D8" s="15"/>
      <c r="E8" s="16" t="s">
        <v>15</v>
      </c>
      <c r="F8" s="15"/>
      <c r="G8" s="15"/>
      <c r="H8" s="15"/>
      <c r="I8" s="15"/>
      <c r="J8" s="15"/>
      <c r="K8" s="7"/>
      <c r="L8" s="15"/>
      <c r="M8" s="16" t="s">
        <v>16</v>
      </c>
      <c r="N8" s="15"/>
      <c r="O8" s="19"/>
      <c r="P8" s="15"/>
      <c r="Q8" s="15"/>
      <c r="R8" s="15"/>
      <c r="S8" s="16" t="s">
        <v>17</v>
      </c>
      <c r="T8" s="7"/>
      <c r="U8" s="15"/>
      <c r="V8" s="15"/>
      <c r="W8" s="15"/>
      <c r="X8" s="15"/>
      <c r="Y8" s="7"/>
      <c r="Z8" s="16" t="str">
        <f>keep_TESTYEAR</f>
        <v>FOR THE TWELVE MONTHS ENDED SEPTEMBER 30, 2016</v>
      </c>
      <c r="AA8" s="15"/>
      <c r="AB8" s="19"/>
      <c r="AC8" s="15"/>
      <c r="AD8" s="7"/>
      <c r="AE8" s="15"/>
      <c r="AF8" s="15"/>
      <c r="AG8" s="7"/>
      <c r="AH8" s="16" t="s">
        <v>18</v>
      </c>
      <c r="AI8" s="15"/>
      <c r="AJ8" s="15"/>
      <c r="AK8" s="15"/>
      <c r="AL8" s="15"/>
      <c r="AM8" s="15"/>
      <c r="AN8" s="15"/>
      <c r="AO8" s="20" t="s">
        <v>19</v>
      </c>
      <c r="AP8" s="15"/>
      <c r="AQ8" s="15"/>
      <c r="AR8" s="15"/>
      <c r="AS8" s="15"/>
      <c r="AT8" s="3"/>
    </row>
    <row r="9" spans="1:46" x14ac:dyDescent="0.25">
      <c r="A9" s="18"/>
      <c r="B9" s="9"/>
      <c r="C9" s="21"/>
      <c r="D9" s="21"/>
      <c r="E9" s="21"/>
      <c r="F9" s="21"/>
      <c r="G9" s="21"/>
      <c r="H9" s="21"/>
      <c r="I9" s="21"/>
      <c r="J9" s="22"/>
      <c r="K9" s="21"/>
      <c r="L9" s="21"/>
      <c r="M9" s="21"/>
      <c r="N9" s="21"/>
      <c r="O9" s="22"/>
      <c r="P9" s="21"/>
      <c r="Q9" s="21"/>
      <c r="R9" s="21"/>
      <c r="S9" s="21"/>
      <c r="T9" s="21"/>
      <c r="U9" s="21"/>
      <c r="V9" s="21"/>
      <c r="W9" s="21"/>
      <c r="X9" s="21"/>
      <c r="Y9" s="7"/>
      <c r="Z9" s="16" t="s">
        <v>20</v>
      </c>
      <c r="AA9" s="21"/>
      <c r="AB9" s="22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3"/>
      <c r="AP9" s="3"/>
      <c r="AQ9" s="3"/>
      <c r="AR9" s="3"/>
      <c r="AS9" s="3"/>
      <c r="AT9" s="3"/>
    </row>
    <row r="10" spans="1:46" x14ac:dyDescent="0.25">
      <c r="A10" s="18"/>
      <c r="B10" s="9"/>
      <c r="C10" s="21"/>
      <c r="D10" s="21"/>
      <c r="E10" s="21"/>
      <c r="F10" s="21"/>
      <c r="G10" s="21"/>
      <c r="H10" s="21"/>
      <c r="I10" s="16"/>
      <c r="J10" s="22"/>
      <c r="K10" s="21"/>
      <c r="L10" s="21"/>
      <c r="M10" s="21"/>
      <c r="N10" s="21"/>
      <c r="O10" s="22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2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3"/>
      <c r="AP10" s="3"/>
      <c r="AQ10" s="3"/>
      <c r="AR10" s="3"/>
      <c r="AS10" s="3"/>
      <c r="AT10" s="3"/>
    </row>
    <row r="11" spans="1:46" x14ac:dyDescent="0.25">
      <c r="A11" s="18"/>
      <c r="B11" s="23"/>
      <c r="C11" s="21"/>
      <c r="D11" s="16"/>
      <c r="E11" s="16"/>
      <c r="F11" s="16" t="s">
        <v>21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24"/>
      <c r="Y11" s="16"/>
      <c r="Z11" s="16"/>
      <c r="AA11" s="16"/>
      <c r="AB11" s="24"/>
      <c r="AC11" s="16"/>
      <c r="AD11" s="16"/>
      <c r="AE11" s="16"/>
      <c r="AF11" s="24"/>
      <c r="AG11" s="16"/>
      <c r="AH11" s="24"/>
      <c r="AI11" s="24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3"/>
    </row>
    <row r="12" spans="1:46" ht="18.75" customHeight="1" x14ac:dyDescent="0.25">
      <c r="A12" s="18"/>
      <c r="B12" s="3"/>
      <c r="C12" s="16" t="s">
        <v>22</v>
      </c>
      <c r="D12" s="16" t="s">
        <v>23</v>
      </c>
      <c r="E12" s="16" t="s">
        <v>24</v>
      </c>
      <c r="F12" s="16" t="s">
        <v>25</v>
      </c>
      <c r="G12" s="16" t="s">
        <v>26</v>
      </c>
      <c r="H12" s="16" t="s">
        <v>27</v>
      </c>
      <c r="I12" s="16" t="s">
        <v>28</v>
      </c>
      <c r="J12" s="16" t="s">
        <v>29</v>
      </c>
      <c r="K12" s="25" t="s">
        <v>30</v>
      </c>
      <c r="L12" s="16" t="s">
        <v>31</v>
      </c>
      <c r="M12" s="16" t="s">
        <v>32</v>
      </c>
      <c r="N12" s="16" t="s">
        <v>33</v>
      </c>
      <c r="O12" s="16" t="s">
        <v>34</v>
      </c>
      <c r="P12" s="16" t="s">
        <v>35</v>
      </c>
      <c r="Q12" s="16" t="s">
        <v>36</v>
      </c>
      <c r="R12" s="16" t="s">
        <v>37</v>
      </c>
      <c r="S12" s="16" t="s">
        <v>38</v>
      </c>
      <c r="T12" s="16" t="s">
        <v>39</v>
      </c>
      <c r="U12" s="16" t="s">
        <v>40</v>
      </c>
      <c r="V12" s="16" t="s">
        <v>41</v>
      </c>
      <c r="W12" s="16" t="s">
        <v>42</v>
      </c>
      <c r="X12" s="16" t="s">
        <v>43</v>
      </c>
      <c r="Y12" s="16" t="s">
        <v>44</v>
      </c>
      <c r="Z12" s="16" t="s">
        <v>45</v>
      </c>
      <c r="AA12" s="16" t="s">
        <v>46</v>
      </c>
      <c r="AB12" s="16" t="s">
        <v>47</v>
      </c>
      <c r="AC12" s="16" t="s">
        <v>48</v>
      </c>
      <c r="AD12" s="16" t="s">
        <v>49</v>
      </c>
      <c r="AE12" s="16" t="s">
        <v>50</v>
      </c>
      <c r="AF12" s="16" t="s">
        <v>51</v>
      </c>
      <c r="AG12" s="16" t="s">
        <v>52</v>
      </c>
      <c r="AH12" s="16" t="s">
        <v>53</v>
      </c>
      <c r="AI12" s="16" t="s">
        <v>54</v>
      </c>
      <c r="AJ12" s="16" t="s">
        <v>55</v>
      </c>
      <c r="AK12" s="16" t="s">
        <v>56</v>
      </c>
      <c r="AL12" s="16" t="s">
        <v>57</v>
      </c>
      <c r="AM12" s="16" t="s">
        <v>58</v>
      </c>
      <c r="AN12" s="16" t="s">
        <v>59</v>
      </c>
      <c r="AO12" s="16"/>
      <c r="AP12" s="16"/>
      <c r="AQ12" s="16" t="s">
        <v>59</v>
      </c>
      <c r="AR12" s="16" t="s">
        <v>60</v>
      </c>
      <c r="AS12" s="16" t="s">
        <v>61</v>
      </c>
      <c r="AT12" s="3"/>
    </row>
    <row r="13" spans="1:46" ht="26.4" x14ac:dyDescent="0.25">
      <c r="A13" s="26" t="s">
        <v>62</v>
      </c>
      <c r="B13" s="3"/>
      <c r="C13" s="16" t="s">
        <v>63</v>
      </c>
      <c r="D13" s="16" t="s">
        <v>64</v>
      </c>
      <c r="E13" s="16" t="s">
        <v>65</v>
      </c>
      <c r="F13" s="16" t="s">
        <v>66</v>
      </c>
      <c r="G13" s="27" t="s">
        <v>67</v>
      </c>
      <c r="H13" s="27" t="s">
        <v>68</v>
      </c>
      <c r="I13" s="16" t="s">
        <v>69</v>
      </c>
      <c r="J13" s="16" t="s">
        <v>70</v>
      </c>
      <c r="K13" s="25" t="s">
        <v>71</v>
      </c>
      <c r="L13" s="16" t="s">
        <v>72</v>
      </c>
      <c r="M13" s="27" t="s">
        <v>73</v>
      </c>
      <c r="N13" s="27" t="s">
        <v>74</v>
      </c>
      <c r="O13" s="16" t="s">
        <v>75</v>
      </c>
      <c r="P13" s="16" t="s">
        <v>76</v>
      </c>
      <c r="Q13" s="28" t="s">
        <v>77</v>
      </c>
      <c r="R13" s="28" t="s">
        <v>78</v>
      </c>
      <c r="S13" s="16" t="s">
        <v>79</v>
      </c>
      <c r="T13" s="16" t="s">
        <v>78</v>
      </c>
      <c r="U13" s="16" t="s">
        <v>73</v>
      </c>
      <c r="V13" s="16" t="s">
        <v>80</v>
      </c>
      <c r="W13" s="16" t="s">
        <v>81</v>
      </c>
      <c r="X13" s="16" t="s">
        <v>82</v>
      </c>
      <c r="Y13" s="16" t="s">
        <v>83</v>
      </c>
      <c r="Z13" s="16" t="s">
        <v>84</v>
      </c>
      <c r="AA13" s="27" t="s">
        <v>85</v>
      </c>
      <c r="AB13" s="16" t="s">
        <v>86</v>
      </c>
      <c r="AC13" s="16" t="s">
        <v>87</v>
      </c>
      <c r="AD13" s="16" t="s">
        <v>88</v>
      </c>
      <c r="AE13" s="16" t="s">
        <v>89</v>
      </c>
      <c r="AF13" s="16" t="s">
        <v>90</v>
      </c>
      <c r="AG13" s="16" t="s">
        <v>91</v>
      </c>
      <c r="AH13" s="16" t="s">
        <v>92</v>
      </c>
      <c r="AI13" s="16" t="s">
        <v>92</v>
      </c>
      <c r="AJ13" s="16" t="s">
        <v>93</v>
      </c>
      <c r="AK13" s="16" t="s">
        <v>94</v>
      </c>
      <c r="AL13" s="16" t="s">
        <v>95</v>
      </c>
      <c r="AM13" s="13" t="s">
        <v>96</v>
      </c>
      <c r="AN13" s="16" t="s">
        <v>63</v>
      </c>
      <c r="AO13" s="16" t="s">
        <v>97</v>
      </c>
      <c r="AP13" s="16" t="s">
        <v>58</v>
      </c>
      <c r="AQ13" s="16" t="s">
        <v>63</v>
      </c>
      <c r="AR13" s="16" t="s">
        <v>98</v>
      </c>
      <c r="AS13" s="16" t="s">
        <v>99</v>
      </c>
      <c r="AT13" s="16"/>
    </row>
    <row r="14" spans="1:46" s="30" customFormat="1" x14ac:dyDescent="0.25">
      <c r="A14" s="26" t="s">
        <v>100</v>
      </c>
      <c r="B14" s="3"/>
      <c r="C14" s="16" t="s">
        <v>101</v>
      </c>
      <c r="D14" s="29">
        <v>6.01</v>
      </c>
      <c r="E14" s="29">
        <f t="shared" ref="E14:Y14" si="0">D14+0.01</f>
        <v>6.02</v>
      </c>
      <c r="F14" s="29">
        <f t="shared" si="0"/>
        <v>6.0299999999999994</v>
      </c>
      <c r="G14" s="29">
        <f t="shared" si="0"/>
        <v>6.0399999999999991</v>
      </c>
      <c r="H14" s="29">
        <f t="shared" si="0"/>
        <v>6.0499999999999989</v>
      </c>
      <c r="I14" s="29">
        <f t="shared" si="0"/>
        <v>6.0599999999999987</v>
      </c>
      <c r="J14" s="29">
        <f t="shared" si="0"/>
        <v>6.0699999999999985</v>
      </c>
      <c r="K14" s="29">
        <f t="shared" si="0"/>
        <v>6.0799999999999983</v>
      </c>
      <c r="L14" s="29">
        <f t="shared" si="0"/>
        <v>6.0899999999999981</v>
      </c>
      <c r="M14" s="29">
        <f t="shared" si="0"/>
        <v>6.0999999999999979</v>
      </c>
      <c r="N14" s="29">
        <f t="shared" si="0"/>
        <v>6.1099999999999977</v>
      </c>
      <c r="O14" s="29">
        <f t="shared" si="0"/>
        <v>6.1199999999999974</v>
      </c>
      <c r="P14" s="29">
        <f t="shared" si="0"/>
        <v>6.1299999999999972</v>
      </c>
      <c r="Q14" s="29">
        <f t="shared" si="0"/>
        <v>6.139999999999997</v>
      </c>
      <c r="R14" s="29">
        <f t="shared" si="0"/>
        <v>6.1499999999999968</v>
      </c>
      <c r="S14" s="29">
        <f t="shared" si="0"/>
        <v>6.1599999999999966</v>
      </c>
      <c r="T14" s="29">
        <f t="shared" si="0"/>
        <v>6.1699999999999964</v>
      </c>
      <c r="U14" s="29">
        <f t="shared" si="0"/>
        <v>6.1799999999999962</v>
      </c>
      <c r="V14" s="29">
        <f t="shared" si="0"/>
        <v>6.1899999999999959</v>
      </c>
      <c r="W14" s="29">
        <f t="shared" si="0"/>
        <v>6.1999999999999957</v>
      </c>
      <c r="X14" s="29">
        <f t="shared" si="0"/>
        <v>6.2099999999999955</v>
      </c>
      <c r="Y14" s="29">
        <f t="shared" si="0"/>
        <v>6.2199999999999953</v>
      </c>
      <c r="Z14" s="29">
        <v>7.01</v>
      </c>
      <c r="AA14" s="29">
        <f t="shared" ref="AA14:AL14" si="1">Z14+0.01</f>
        <v>7.02</v>
      </c>
      <c r="AB14" s="29">
        <f t="shared" si="1"/>
        <v>7.0299999999999994</v>
      </c>
      <c r="AC14" s="29">
        <f t="shared" si="1"/>
        <v>7.0399999999999991</v>
      </c>
      <c r="AD14" s="29">
        <f t="shared" si="1"/>
        <v>7.0499999999999989</v>
      </c>
      <c r="AE14" s="29">
        <f t="shared" si="1"/>
        <v>7.0599999999999987</v>
      </c>
      <c r="AF14" s="29">
        <f t="shared" si="1"/>
        <v>7.0699999999999985</v>
      </c>
      <c r="AG14" s="29">
        <f t="shared" si="1"/>
        <v>7.0799999999999983</v>
      </c>
      <c r="AH14" s="29">
        <f t="shared" si="1"/>
        <v>7.0899999999999981</v>
      </c>
      <c r="AI14" s="29">
        <f t="shared" si="1"/>
        <v>7.0999999999999979</v>
      </c>
      <c r="AJ14" s="29">
        <f t="shared" si="1"/>
        <v>7.1099999999999977</v>
      </c>
      <c r="AK14" s="29">
        <f t="shared" si="1"/>
        <v>7.1199999999999974</v>
      </c>
      <c r="AL14" s="29">
        <f t="shared" si="1"/>
        <v>7.1299999999999972</v>
      </c>
      <c r="AM14" s="13"/>
      <c r="AN14" s="13" t="s">
        <v>102</v>
      </c>
      <c r="AO14" s="13" t="s">
        <v>103</v>
      </c>
      <c r="AP14" s="13" t="s">
        <v>96</v>
      </c>
      <c r="AQ14" s="13" t="s">
        <v>102</v>
      </c>
      <c r="AR14" s="13" t="str">
        <f>IF(AR21&lt;0,"SURPLUS","DEFICIENCY")</f>
        <v>DEFICIENCY</v>
      </c>
      <c r="AS14" s="13" t="str">
        <f>IF(AR21&lt;0,"DECREASE","INCREASE")</f>
        <v>INCREASE</v>
      </c>
      <c r="AT14" s="16"/>
    </row>
    <row r="15" spans="1:46" x14ac:dyDescent="0.25">
      <c r="A15" s="31" t="s">
        <v>104</v>
      </c>
      <c r="B15" s="32"/>
      <c r="C15" s="33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13"/>
    </row>
    <row r="16" spans="1:46" x14ac:dyDescent="0.25">
      <c r="A16" s="34">
        <v>1</v>
      </c>
      <c r="B16" s="35" t="s">
        <v>105</v>
      </c>
      <c r="C16" s="36"/>
      <c r="D16" s="37"/>
      <c r="E16" s="37"/>
      <c r="F16" s="37"/>
      <c r="G16" s="37"/>
      <c r="H16" s="37"/>
      <c r="I16" s="37"/>
      <c r="K16" s="38"/>
      <c r="L16" s="37"/>
      <c r="M16" s="37"/>
      <c r="N16" s="37"/>
      <c r="P16" s="37"/>
      <c r="S16" s="37"/>
      <c r="Z16" s="37"/>
      <c r="AC16" s="35"/>
      <c r="AD16" s="37"/>
      <c r="AE16" s="37"/>
      <c r="AF16" s="37"/>
      <c r="AG16" s="37"/>
      <c r="AH16" s="37"/>
      <c r="AI16" s="37"/>
      <c r="AJ16" s="37"/>
      <c r="AK16" s="37"/>
      <c r="AL16" s="37"/>
      <c r="AN16" s="37"/>
      <c r="AS16" s="4"/>
    </row>
    <row r="17" spans="1:49" x14ac:dyDescent="0.25">
      <c r="A17" s="34">
        <f t="shared" ref="A17:A62" si="2">A16+1</f>
        <v>2</v>
      </c>
      <c r="B17" s="35" t="s">
        <v>106</v>
      </c>
      <c r="C17" s="39">
        <v>2146048308.1900001</v>
      </c>
      <c r="D17" s="39">
        <f>'[1]KJB-6 Cmn Adj'!D23-'[1]KJB-6 Cmn Adj'!D20</f>
        <v>-18636297.520117842</v>
      </c>
      <c r="E17" s="39">
        <f>'[1]KJB-6 Cmn Adj'!L41-'[1]KJB-6 Cmn Adj'!K39</f>
        <v>28308135</v>
      </c>
      <c r="F17" s="39">
        <f>-('[1]KJB-6 Cmn Adj'!Q27-'[1]KJB-6 Cmn Adj'!Q21-'[1]KJB-6 Cmn Adj'!Q25-'[1]KJB-6 Cmn Adj'!Q17)</f>
        <v>-192533060.51000002</v>
      </c>
      <c r="G17" s="39">
        <v>0</v>
      </c>
      <c r="H17" s="39">
        <v>0</v>
      </c>
      <c r="I17" s="39">
        <v>0</v>
      </c>
      <c r="J17" s="39"/>
      <c r="K17" s="39">
        <v>0</v>
      </c>
      <c r="L17" s="39"/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/>
      <c r="AA17" s="39">
        <v>0</v>
      </c>
      <c r="AB17" s="39"/>
      <c r="AC17" s="39">
        <v>0</v>
      </c>
      <c r="AD17" s="39">
        <v>0</v>
      </c>
      <c r="AE17" s="39">
        <v>0</v>
      </c>
      <c r="AF17" s="39"/>
      <c r="AG17" s="39"/>
      <c r="AH17" s="39"/>
      <c r="AI17" s="39"/>
      <c r="AJ17" s="39"/>
      <c r="AK17" s="39"/>
      <c r="AL17" s="39"/>
      <c r="AM17" s="39">
        <f>SUM(D17:AL17)</f>
        <v>-182861223.03011787</v>
      </c>
      <c r="AN17" s="39">
        <f>AM17+C17</f>
        <v>1963187085.1598821</v>
      </c>
      <c r="AO17" s="39">
        <f>C17</f>
        <v>2146048308.1900001</v>
      </c>
      <c r="AP17" s="39">
        <f>+AM17</f>
        <v>-182861223.03011787</v>
      </c>
      <c r="AQ17" s="39">
        <f>SUM(AO17:AP17)</f>
        <v>1963187085.1598821</v>
      </c>
      <c r="AR17" s="39">
        <v>148655896.44225809</v>
      </c>
      <c r="AS17" s="39">
        <f>SUM(AQ17:AR17)</f>
        <v>2111842981.6021402</v>
      </c>
      <c r="AU17" s="40"/>
      <c r="AV17" s="40"/>
      <c r="AW17" s="40"/>
    </row>
    <row r="18" spans="1:49" x14ac:dyDescent="0.25">
      <c r="A18" s="34">
        <f t="shared" si="2"/>
        <v>3</v>
      </c>
      <c r="B18" s="35" t="s">
        <v>107</v>
      </c>
      <c r="C18" s="41">
        <v>324382.2</v>
      </c>
      <c r="D18" s="41">
        <f>'[1]KJB-6 Cmn Adj'!D20</f>
        <v>146.57999999999811</v>
      </c>
      <c r="E18" s="41">
        <f>'[1]KJB-6 Cmn Adj'!K39</f>
        <v>5118</v>
      </c>
      <c r="F18" s="41">
        <f>-'[1]KJB-6 Cmn Adj'!Q17</f>
        <v>-13257.679999999998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>
        <f>SUM(D18:AL18)</f>
        <v>-7993.1</v>
      </c>
      <c r="AN18" s="41">
        <f>AM18+C18</f>
        <v>316389.10000000003</v>
      </c>
      <c r="AO18" s="42">
        <f>C18</f>
        <v>324382.2</v>
      </c>
      <c r="AP18" s="41">
        <f>+AM18</f>
        <v>-7993.1</v>
      </c>
      <c r="AQ18" s="41">
        <f>SUM(AO18:AP18)</f>
        <v>316389.10000000003</v>
      </c>
      <c r="AR18" s="42">
        <v>406089.5577419175</v>
      </c>
      <c r="AS18" s="42">
        <f>SUM(AQ18:AR18)</f>
        <v>722478.65774191753</v>
      </c>
      <c r="AU18" s="40"/>
      <c r="AV18" s="40"/>
      <c r="AW18" s="40"/>
    </row>
    <row r="19" spans="1:49" x14ac:dyDescent="0.25">
      <c r="A19" s="34">
        <f t="shared" si="2"/>
        <v>4</v>
      </c>
      <c r="B19" s="35" t="s">
        <v>108</v>
      </c>
      <c r="C19" s="41">
        <v>201125741.739999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>
        <f>-'[1]KJB-7 El Adj'!E19</f>
        <v>-172694095.42065951</v>
      </c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>
        <f>SUM(D19:AL19)</f>
        <v>-172694095.42065951</v>
      </c>
      <c r="AN19" s="41">
        <f>AM19+C19</f>
        <v>28431646.319339484</v>
      </c>
      <c r="AO19" s="42">
        <f>C19</f>
        <v>201125741.739999</v>
      </c>
      <c r="AP19" s="41">
        <f>+AM19</f>
        <v>-172694095.42065951</v>
      </c>
      <c r="AQ19" s="41">
        <f>SUM(AO19:AP19)</f>
        <v>28431646.319339484</v>
      </c>
      <c r="AR19" s="42"/>
      <c r="AS19" s="42">
        <f>SUM(AQ19:AR19)</f>
        <v>28431646.319339484</v>
      </c>
      <c r="AT19" s="41"/>
      <c r="AU19" s="40"/>
      <c r="AV19" s="40"/>
      <c r="AW19" s="40"/>
    </row>
    <row r="20" spans="1:49" x14ac:dyDescent="0.25">
      <c r="A20" s="34">
        <f t="shared" si="2"/>
        <v>5</v>
      </c>
      <c r="B20" s="35" t="s">
        <v>109</v>
      </c>
      <c r="C20" s="41">
        <v>47841338.950000003</v>
      </c>
      <c r="D20" s="43">
        <f>'[1]KJB-6 Cmn Adj'!D32</f>
        <v>-10225162.969999999</v>
      </c>
      <c r="E20" s="39"/>
      <c r="F20" s="43">
        <f>-SUM('[1]KJB-6 Cmn Adj'!Q21,'[1]KJB-6 Cmn Adj'!Q25)</f>
        <v>-278052.84999999986</v>
      </c>
      <c r="G20" s="43"/>
      <c r="H20" s="43" t="s">
        <v>21</v>
      </c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>
        <f>-'[1]KJB-7 El Adj'!E20-'[1]KJB-7 El Adj'!E24</f>
        <v>35075789.499883018</v>
      </c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>
        <f>SUM(D20:AL20)</f>
        <v>24572573.679883018</v>
      </c>
      <c r="AN20" s="43">
        <f>AM20+C20</f>
        <v>72413912.629883021</v>
      </c>
      <c r="AO20" s="44">
        <f>C20</f>
        <v>47841338.950000003</v>
      </c>
      <c r="AP20" s="43">
        <f>+AM20</f>
        <v>24572573.679883018</v>
      </c>
      <c r="AQ20" s="43">
        <f>SUM(AO20:AP20)</f>
        <v>72413912.629883021</v>
      </c>
      <c r="AR20" s="44"/>
      <c r="AS20" s="44">
        <f>SUM(AQ20:AR20)</f>
        <v>72413912.629883021</v>
      </c>
      <c r="AT20" s="41"/>
      <c r="AU20" s="40"/>
      <c r="AV20" s="40"/>
      <c r="AW20" s="40"/>
    </row>
    <row r="21" spans="1:49" x14ac:dyDescent="0.25">
      <c r="A21" s="34">
        <f t="shared" si="2"/>
        <v>6</v>
      </c>
      <c r="B21" s="35" t="s">
        <v>110</v>
      </c>
      <c r="C21" s="45">
        <f t="shared" ref="C21:I21" si="3">SUM(C17:C20)</f>
        <v>2395339771.079999</v>
      </c>
      <c r="D21" s="45">
        <f t="shared" si="3"/>
        <v>-28861313.910117842</v>
      </c>
      <c r="E21" s="45">
        <f t="shared" si="3"/>
        <v>28313253</v>
      </c>
      <c r="F21" s="45">
        <f t="shared" si="3"/>
        <v>-192824371.04000002</v>
      </c>
      <c r="G21" s="45">
        <f t="shared" si="3"/>
        <v>0</v>
      </c>
      <c r="H21" s="45">
        <f t="shared" si="3"/>
        <v>0</v>
      </c>
      <c r="I21" s="45">
        <f t="shared" si="3"/>
        <v>0</v>
      </c>
      <c r="J21" s="45"/>
      <c r="K21" s="45">
        <f t="shared" ref="K21:AA21" si="4">SUM(K17:K20)</f>
        <v>0</v>
      </c>
      <c r="L21" s="45">
        <f t="shared" si="4"/>
        <v>0</v>
      </c>
      <c r="M21" s="45">
        <f t="shared" si="4"/>
        <v>0</v>
      </c>
      <c r="N21" s="45">
        <f t="shared" si="4"/>
        <v>0</v>
      </c>
      <c r="O21" s="45">
        <f t="shared" si="4"/>
        <v>0</v>
      </c>
      <c r="P21" s="45">
        <f t="shared" si="4"/>
        <v>0</v>
      </c>
      <c r="Q21" s="45">
        <f t="shared" si="4"/>
        <v>0</v>
      </c>
      <c r="R21" s="45">
        <f t="shared" si="4"/>
        <v>0</v>
      </c>
      <c r="S21" s="45">
        <f t="shared" si="4"/>
        <v>0</v>
      </c>
      <c r="T21" s="45">
        <f t="shared" si="4"/>
        <v>0</v>
      </c>
      <c r="U21" s="45">
        <f t="shared" si="4"/>
        <v>0</v>
      </c>
      <c r="V21" s="45">
        <f t="shared" si="4"/>
        <v>0</v>
      </c>
      <c r="W21" s="45">
        <f t="shared" si="4"/>
        <v>0</v>
      </c>
      <c r="X21" s="45">
        <f t="shared" si="4"/>
        <v>0</v>
      </c>
      <c r="Y21" s="45">
        <f t="shared" si="4"/>
        <v>0</v>
      </c>
      <c r="Z21" s="45">
        <f t="shared" si="4"/>
        <v>-137618305.92077649</v>
      </c>
      <c r="AA21" s="45">
        <f t="shared" si="4"/>
        <v>0</v>
      </c>
      <c r="AB21" s="45"/>
      <c r="AC21" s="45">
        <f t="shared" ref="AC21:AL21" si="5">SUM(AC17:AC20)</f>
        <v>0</v>
      </c>
      <c r="AD21" s="45">
        <f t="shared" si="5"/>
        <v>0</v>
      </c>
      <c r="AE21" s="45">
        <f t="shared" si="5"/>
        <v>0</v>
      </c>
      <c r="AF21" s="45">
        <f t="shared" si="5"/>
        <v>0</v>
      </c>
      <c r="AG21" s="45">
        <f t="shared" si="5"/>
        <v>0</v>
      </c>
      <c r="AH21" s="45">
        <f t="shared" si="5"/>
        <v>0</v>
      </c>
      <c r="AI21" s="45">
        <f t="shared" si="5"/>
        <v>0</v>
      </c>
      <c r="AJ21" s="45">
        <f t="shared" si="5"/>
        <v>0</v>
      </c>
      <c r="AK21" s="45">
        <f t="shared" si="5"/>
        <v>0</v>
      </c>
      <c r="AL21" s="45">
        <f t="shared" si="5"/>
        <v>0</v>
      </c>
      <c r="AM21" s="45">
        <f>SUM(D21:AL21)</f>
        <v>-330990737.87089431</v>
      </c>
      <c r="AN21" s="45">
        <f>AM21+C21</f>
        <v>2064349033.2091045</v>
      </c>
      <c r="AO21" s="46">
        <f>SUM(AO17:AO20)</f>
        <v>2395339771.079999</v>
      </c>
      <c r="AP21" s="45">
        <f>SUM(AP17:AP20)</f>
        <v>-330990737.87089437</v>
      </c>
      <c r="AQ21" s="45">
        <f>SUM(AQ17:AQ20)</f>
        <v>2064349033.2091045</v>
      </c>
      <c r="AR21" s="46">
        <f>SUM(AR17:AR20)</f>
        <v>149061986</v>
      </c>
      <c r="AS21" s="45">
        <f>SUM(AS17:AS20)</f>
        <v>2213411019.2091045</v>
      </c>
      <c r="AT21" s="43"/>
      <c r="AU21" s="40"/>
      <c r="AV21" s="40"/>
      <c r="AW21" s="40"/>
    </row>
    <row r="22" spans="1:49" x14ac:dyDescent="0.25">
      <c r="A22" s="34">
        <f t="shared" si="2"/>
        <v>7</v>
      </c>
      <c r="C22" s="41"/>
      <c r="D22" s="36" t="s">
        <v>21</v>
      </c>
      <c r="E22" s="36" t="s">
        <v>21</v>
      </c>
      <c r="F22" s="36"/>
      <c r="G22" s="36" t="s">
        <v>21</v>
      </c>
      <c r="H22" s="36" t="s">
        <v>21</v>
      </c>
      <c r="I22" s="36"/>
      <c r="J22" s="36"/>
      <c r="K22" s="36" t="s">
        <v>21</v>
      </c>
      <c r="L22" s="36"/>
      <c r="M22" s="36" t="s">
        <v>21</v>
      </c>
      <c r="N22" s="36" t="s">
        <v>21</v>
      </c>
      <c r="O22" s="36"/>
      <c r="P22" s="36" t="s">
        <v>21</v>
      </c>
      <c r="Q22" s="36"/>
      <c r="R22" s="36"/>
      <c r="S22" s="36" t="s">
        <v>21</v>
      </c>
      <c r="T22" s="36" t="s">
        <v>21</v>
      </c>
      <c r="U22" s="36" t="s">
        <v>21</v>
      </c>
      <c r="V22" s="36"/>
      <c r="W22" s="36"/>
      <c r="X22" s="36"/>
      <c r="Y22" s="36"/>
      <c r="Z22" s="36"/>
      <c r="AA22" s="36" t="s">
        <v>21</v>
      </c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 t="s">
        <v>21</v>
      </c>
      <c r="AM22" s="36"/>
      <c r="AN22" s="36"/>
      <c r="AO22" s="42"/>
      <c r="AP22" s="36"/>
      <c r="AQ22" s="36"/>
      <c r="AR22" s="42"/>
      <c r="AS22" s="42"/>
      <c r="AT22" s="43"/>
      <c r="AU22" s="40"/>
      <c r="AV22" s="40"/>
      <c r="AW22" s="40"/>
    </row>
    <row r="23" spans="1:49" x14ac:dyDescent="0.25">
      <c r="A23" s="34">
        <f t="shared" si="2"/>
        <v>8</v>
      </c>
      <c r="B23" s="35" t="s">
        <v>111</v>
      </c>
      <c r="C23" s="41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42"/>
      <c r="AP23" s="36"/>
      <c r="AQ23" s="36"/>
      <c r="AR23" s="42"/>
      <c r="AS23" s="42"/>
      <c r="AT23" s="36"/>
      <c r="AU23" s="40"/>
      <c r="AV23" s="40"/>
      <c r="AW23" s="40"/>
    </row>
    <row r="24" spans="1:49" x14ac:dyDescent="0.25">
      <c r="A24" s="34">
        <f t="shared" si="2"/>
        <v>9</v>
      </c>
      <c r="C24" s="47"/>
      <c r="AO24" s="42"/>
      <c r="AR24" s="42"/>
      <c r="AS24" s="42"/>
      <c r="AT24" s="36"/>
      <c r="AU24" s="40"/>
      <c r="AV24" s="40"/>
      <c r="AW24" s="40"/>
    </row>
    <row r="25" spans="1:49" x14ac:dyDescent="0.25">
      <c r="A25" s="34">
        <f t="shared" si="2"/>
        <v>10</v>
      </c>
      <c r="B25" s="35" t="s">
        <v>112</v>
      </c>
      <c r="C25" s="4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42"/>
      <c r="AP25" s="36"/>
      <c r="AQ25" s="36"/>
      <c r="AR25" s="42"/>
      <c r="AS25" s="42"/>
      <c r="AU25" s="40"/>
      <c r="AV25" s="40"/>
      <c r="AW25" s="40"/>
    </row>
    <row r="26" spans="1:49" x14ac:dyDescent="0.25">
      <c r="A26" s="34">
        <f t="shared" si="2"/>
        <v>11</v>
      </c>
      <c r="B26" s="35" t="s">
        <v>113</v>
      </c>
      <c r="C26" s="41">
        <v>235002886.5</v>
      </c>
      <c r="D26" s="41">
        <v>0</v>
      </c>
      <c r="E26" s="41"/>
      <c r="F26" s="41"/>
      <c r="G26" s="41">
        <v>0</v>
      </c>
      <c r="H26" s="41">
        <v>0</v>
      </c>
      <c r="I26" s="41">
        <v>0</v>
      </c>
      <c r="J26" s="41"/>
      <c r="K26" s="41">
        <v>0</v>
      </c>
      <c r="L26" s="41"/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/>
      <c r="W26" s="41"/>
      <c r="X26" s="41"/>
      <c r="Y26" s="41"/>
      <c r="Z26" s="41">
        <f>+'[1]KJB-7 El Adj'!E14+'[1]KJB-7 El Adj'!E15</f>
        <v>-27358719.839562535</v>
      </c>
      <c r="AA26" s="41">
        <v>0</v>
      </c>
      <c r="AB26" s="41"/>
      <c r="AC26" s="41">
        <v>0</v>
      </c>
      <c r="AD26" s="41">
        <v>0</v>
      </c>
      <c r="AE26" s="41"/>
      <c r="AF26" s="41"/>
      <c r="AG26" s="41"/>
      <c r="AH26" s="41"/>
      <c r="AI26" s="41"/>
      <c r="AJ26" s="41"/>
      <c r="AK26" s="41"/>
      <c r="AL26" s="41"/>
      <c r="AM26" s="41">
        <f>SUM(D26:AL26)</f>
        <v>-27358719.839562535</v>
      </c>
      <c r="AN26" s="41">
        <f>AM26+C26</f>
        <v>207644166.66043746</v>
      </c>
      <c r="AO26" s="42">
        <f>C26</f>
        <v>235002886.5</v>
      </c>
      <c r="AP26" s="41">
        <f>+AM26</f>
        <v>-27358719.839562535</v>
      </c>
      <c r="AQ26" s="41">
        <f>SUM(AO26:AP26)</f>
        <v>207644166.66043746</v>
      </c>
      <c r="AR26" s="42">
        <v>0</v>
      </c>
      <c r="AS26" s="42">
        <f>SUM(AQ26:AR26)</f>
        <v>207644166.66043746</v>
      </c>
      <c r="AT26" s="36"/>
      <c r="AU26" s="40"/>
      <c r="AV26" s="40"/>
      <c r="AW26" s="40"/>
    </row>
    <row r="27" spans="1:49" x14ac:dyDescent="0.25">
      <c r="A27" s="34">
        <f t="shared" si="2"/>
        <v>12</v>
      </c>
      <c r="B27" s="35" t="s">
        <v>114</v>
      </c>
      <c r="C27" s="41">
        <v>532346459.37</v>
      </c>
      <c r="D27" s="41"/>
      <c r="E27" s="41"/>
      <c r="F27" s="41"/>
      <c r="G27" s="41"/>
      <c r="H27" s="41"/>
      <c r="I27" s="41"/>
      <c r="J27" s="41"/>
      <c r="K27" s="41"/>
      <c r="L27" s="41">
        <f>'[1]KJB-6 Cmn Adj'!AW14</f>
        <v>-6666.8782031258452</v>
      </c>
      <c r="M27" s="41"/>
      <c r="N27" s="41"/>
      <c r="O27" s="41"/>
      <c r="P27" s="41"/>
      <c r="Q27" s="41"/>
      <c r="R27" s="41"/>
      <c r="S27" s="41">
        <f>'[1]KJB-6 Cmn Adj'!CC14</f>
        <v>146755.4545638822</v>
      </c>
      <c r="T27" s="41"/>
      <c r="U27" s="41"/>
      <c r="V27" s="41"/>
      <c r="W27" s="41"/>
      <c r="X27" s="41"/>
      <c r="Y27" s="41"/>
      <c r="Z27" s="41">
        <f>+'[1]KJB-7 El Adj'!E16+'[1]KJB-7 El Adj'!E17+'[1]KJB-7 El Adj'!E25</f>
        <v>-84657243.106381506</v>
      </c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>
        <f>+'[1]KJB-7 El Adj'!BL17</f>
        <v>-3550.8251450160915</v>
      </c>
      <c r="AM27" s="41">
        <f>SUM(D27:AL27)</f>
        <v>-84520705.355165765</v>
      </c>
      <c r="AN27" s="41">
        <f>AM27+C27</f>
        <v>447825754.01483423</v>
      </c>
      <c r="AO27" s="42">
        <f>C27</f>
        <v>532346459.37</v>
      </c>
      <c r="AP27" s="41">
        <f>+AM27</f>
        <v>-84520705.355165765</v>
      </c>
      <c r="AQ27" s="41">
        <f>SUM(AO27:AP27)</f>
        <v>447825754.01483423</v>
      </c>
      <c r="AR27" s="42"/>
      <c r="AS27" s="42">
        <f>SUM(AQ27:AR27)</f>
        <v>447825754.01483423</v>
      </c>
      <c r="AT27" s="39"/>
      <c r="AU27" s="40"/>
      <c r="AV27" s="40"/>
      <c r="AW27" s="40"/>
    </row>
    <row r="28" spans="1:49" x14ac:dyDescent="0.25">
      <c r="A28" s="34">
        <f t="shared" si="2"/>
        <v>13</v>
      </c>
      <c r="B28" s="35" t="s">
        <v>115</v>
      </c>
      <c r="C28" s="41">
        <v>113800193.219999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>
        <f>+'[1]KJB-7 El Adj'!E18</f>
        <v>-5225455.6610995084</v>
      </c>
      <c r="AA28" s="41"/>
      <c r="AB28" s="41"/>
      <c r="AC28" s="41"/>
      <c r="AD28" s="41"/>
      <c r="AE28" s="41">
        <f>'[1]KJB-7 El Adj'!AD38</f>
        <v>0</v>
      </c>
      <c r="AF28" s="41"/>
      <c r="AG28" s="41"/>
      <c r="AH28" s="41"/>
      <c r="AI28" s="41"/>
      <c r="AJ28" s="41"/>
      <c r="AK28" s="41"/>
      <c r="AL28" s="41"/>
      <c r="AM28" s="41">
        <f>SUM(D28:AL28)</f>
        <v>-5225455.6610995084</v>
      </c>
      <c r="AN28" s="41">
        <f>AM28+C28</f>
        <v>108574737.55889949</v>
      </c>
      <c r="AO28" s="42">
        <f>C28</f>
        <v>113800193.219999</v>
      </c>
      <c r="AP28" s="41">
        <f>+AM28</f>
        <v>-5225455.6610995084</v>
      </c>
      <c r="AQ28" s="41">
        <f>SUM(AO28:AP28)</f>
        <v>108574737.55889949</v>
      </c>
      <c r="AR28" s="42"/>
      <c r="AS28" s="42">
        <f>SUM(AQ28:AR28)</f>
        <v>108574737.55889949</v>
      </c>
      <c r="AT28" s="41"/>
      <c r="AU28" s="40"/>
      <c r="AV28" s="40"/>
      <c r="AW28" s="40"/>
    </row>
    <row r="29" spans="1:49" x14ac:dyDescent="0.25">
      <c r="A29" s="34">
        <f t="shared" si="2"/>
        <v>14</v>
      </c>
      <c r="B29" s="4" t="s">
        <v>116</v>
      </c>
      <c r="C29" s="48">
        <v>-69268219.669999897</v>
      </c>
      <c r="D29" s="48"/>
      <c r="E29" s="48"/>
      <c r="F29" s="48">
        <f>'[1]KJB-6 Cmn Adj'!Q40</f>
        <v>69268219.670000002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>
        <f>SUM(D29:AL29)</f>
        <v>69268219.670000002</v>
      </c>
      <c r="AN29" s="48">
        <f>AM29+C29</f>
        <v>0</v>
      </c>
      <c r="AO29" s="49">
        <f>C29</f>
        <v>-69268219.669999897</v>
      </c>
      <c r="AP29" s="48">
        <f>+AM29</f>
        <v>69268219.670000002</v>
      </c>
      <c r="AQ29" s="48">
        <f>SUM(AO29:AP29)</f>
        <v>0</v>
      </c>
      <c r="AR29" s="49"/>
      <c r="AS29" s="49">
        <f>SUM(AQ29:AR29)</f>
        <v>0</v>
      </c>
      <c r="AT29" s="41"/>
      <c r="AU29" s="40"/>
      <c r="AV29" s="40"/>
      <c r="AW29" s="40"/>
    </row>
    <row r="30" spans="1:49" x14ac:dyDescent="0.25">
      <c r="A30" s="34">
        <f t="shared" si="2"/>
        <v>15</v>
      </c>
      <c r="B30" s="35" t="s">
        <v>117</v>
      </c>
      <c r="C30" s="45">
        <f>SUM(C26:C29)</f>
        <v>811881319.41999912</v>
      </c>
      <c r="D30" s="45">
        <f>SUM(D26:D29)</f>
        <v>0</v>
      </c>
      <c r="E30" s="45">
        <f>SUM(E26:E29)</f>
        <v>0</v>
      </c>
      <c r="F30" s="45">
        <f>SUM(F25:F29)</f>
        <v>69268219.670000002</v>
      </c>
      <c r="G30" s="45">
        <f>SUM(G26:G29)</f>
        <v>0</v>
      </c>
      <c r="H30" s="45">
        <f>SUM(H26:H29)</f>
        <v>0</v>
      </c>
      <c r="I30" s="45">
        <f>SUM(I26:I29)</f>
        <v>0</v>
      </c>
      <c r="J30" s="45">
        <f>SUM(J25:J29)</f>
        <v>0</v>
      </c>
      <c r="K30" s="45">
        <f>SUM(K26:K29)</f>
        <v>0</v>
      </c>
      <c r="L30" s="45">
        <f t="shared" ref="L30:Y30" si="6">SUM(L25:L29)</f>
        <v>-6666.8782031258452</v>
      </c>
      <c r="M30" s="45">
        <f t="shared" si="6"/>
        <v>0</v>
      </c>
      <c r="N30" s="45">
        <f t="shared" si="6"/>
        <v>0</v>
      </c>
      <c r="O30" s="45">
        <f t="shared" si="6"/>
        <v>0</v>
      </c>
      <c r="P30" s="45">
        <f t="shared" si="6"/>
        <v>0</v>
      </c>
      <c r="Q30" s="45">
        <f t="shared" si="6"/>
        <v>0</v>
      </c>
      <c r="R30" s="45">
        <f t="shared" si="6"/>
        <v>0</v>
      </c>
      <c r="S30" s="45">
        <f t="shared" si="6"/>
        <v>146755.4545638822</v>
      </c>
      <c r="T30" s="45">
        <f t="shared" si="6"/>
        <v>0</v>
      </c>
      <c r="U30" s="45">
        <f t="shared" si="6"/>
        <v>0</v>
      </c>
      <c r="V30" s="45">
        <f t="shared" si="6"/>
        <v>0</v>
      </c>
      <c r="W30" s="45">
        <f t="shared" si="6"/>
        <v>0</v>
      </c>
      <c r="X30" s="45">
        <f t="shared" si="6"/>
        <v>0</v>
      </c>
      <c r="Y30" s="45">
        <f t="shared" si="6"/>
        <v>0</v>
      </c>
      <c r="Z30" s="45">
        <f>SUM(Z26:Z29)</f>
        <v>-117241418.60704355</v>
      </c>
      <c r="AA30" s="45">
        <f>SUM(AA25:AA29)</f>
        <v>0</v>
      </c>
      <c r="AB30" s="45">
        <f>SUM(AB25:AB29)</f>
        <v>0</v>
      </c>
      <c r="AC30" s="45">
        <f>SUM(AC25:AC29)</f>
        <v>0</v>
      </c>
      <c r="AD30" s="45">
        <f>SUM(AD26:AD29)</f>
        <v>0</v>
      </c>
      <c r="AE30" s="45">
        <f t="shared" ref="AE30:AL30" si="7">SUM(AE25:AE29)</f>
        <v>0</v>
      </c>
      <c r="AF30" s="45">
        <f t="shared" si="7"/>
        <v>0</v>
      </c>
      <c r="AG30" s="45">
        <f t="shared" si="7"/>
        <v>0</v>
      </c>
      <c r="AH30" s="45">
        <f t="shared" si="7"/>
        <v>0</v>
      </c>
      <c r="AI30" s="45">
        <f t="shared" si="7"/>
        <v>0</v>
      </c>
      <c r="AJ30" s="45">
        <f t="shared" si="7"/>
        <v>0</v>
      </c>
      <c r="AK30" s="45">
        <f t="shared" si="7"/>
        <v>0</v>
      </c>
      <c r="AL30" s="45">
        <f t="shared" si="7"/>
        <v>-3550.8251450160915</v>
      </c>
      <c r="AM30" s="45">
        <f>SUM(D30:AL30)</f>
        <v>-47836661.185827799</v>
      </c>
      <c r="AN30" s="45">
        <f>AM30+C30</f>
        <v>764044658.23417127</v>
      </c>
      <c r="AO30" s="46">
        <f>SUM(AO26:AO29)</f>
        <v>811881319.41999912</v>
      </c>
      <c r="AP30" s="45">
        <f>SUM(AP26:AP29)</f>
        <v>-47836661.185827807</v>
      </c>
      <c r="AQ30" s="45">
        <f>SUM(AQ26:AQ29)</f>
        <v>764044658.23417127</v>
      </c>
      <c r="AR30" s="46">
        <f>SUM(AR26:AR29)</f>
        <v>0</v>
      </c>
      <c r="AS30" s="45">
        <f>SUM(AS26:AS29)</f>
        <v>764044658.23417127</v>
      </c>
      <c r="AT30" s="43"/>
      <c r="AU30" s="40"/>
      <c r="AV30" s="40"/>
      <c r="AW30" s="40"/>
    </row>
    <row r="31" spans="1:49" x14ac:dyDescent="0.25">
      <c r="A31" s="34">
        <f t="shared" si="2"/>
        <v>16</v>
      </c>
      <c r="B31" s="35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42"/>
      <c r="AP31" s="37"/>
      <c r="AQ31" s="37"/>
      <c r="AR31" s="42"/>
      <c r="AS31" s="42"/>
      <c r="AT31" s="43"/>
      <c r="AU31" s="40"/>
      <c r="AV31" s="40"/>
      <c r="AW31" s="40"/>
    </row>
    <row r="32" spans="1:49" x14ac:dyDescent="0.25">
      <c r="A32" s="34">
        <f t="shared" si="2"/>
        <v>17</v>
      </c>
      <c r="B32" s="50" t="s">
        <v>118</v>
      </c>
      <c r="C32" s="41">
        <v>125897437.02</v>
      </c>
      <c r="D32" s="41">
        <v>0</v>
      </c>
      <c r="E32" s="41"/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f>'[1]KJB-6 Cmn Adj'!AW15</f>
        <v>-55745.235281144734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f>'[1]KJB-6 Cmn Adj'!CC15</f>
        <v>339480.84844003245</v>
      </c>
      <c r="T32" s="41">
        <v>0</v>
      </c>
      <c r="U32" s="41">
        <v>0</v>
      </c>
      <c r="V32" s="41"/>
      <c r="W32" s="41"/>
      <c r="X32" s="41"/>
      <c r="Y32" s="41"/>
      <c r="Z32" s="41">
        <f>+'[1]KJB-7 El Adj'!E22</f>
        <v>9584908.9536754489</v>
      </c>
      <c r="AA32" s="41">
        <v>0</v>
      </c>
      <c r="AB32" s="41">
        <v>0</v>
      </c>
      <c r="AC32" s="41">
        <v>0</v>
      </c>
      <c r="AD32" s="41">
        <v>0</v>
      </c>
      <c r="AE32" s="41"/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/>
      <c r="AL32" s="41">
        <f>+'[1]KJB-7 El Adj'!BL18</f>
        <v>-7191.8465867383275</v>
      </c>
      <c r="AM32" s="41">
        <f t="shared" ref="AM32:AM46" si="8">SUM(D32:AL32)</f>
        <v>9861452.7202475984</v>
      </c>
      <c r="AN32" s="41">
        <f t="shared" ref="AN32:AN46" si="9">AM32+C32</f>
        <v>135758889.74024761</v>
      </c>
      <c r="AO32" s="42">
        <f t="shared" ref="AO32:AO46" si="10">C32</f>
        <v>125897437.02</v>
      </c>
      <c r="AP32" s="41">
        <f t="shared" ref="AP32:AP46" si="11">+AM32</f>
        <v>9861452.7202475984</v>
      </c>
      <c r="AQ32" s="41">
        <f t="shared" ref="AQ32:AQ46" si="12">SUM(AO32:AP32)</f>
        <v>135758889.74024761</v>
      </c>
      <c r="AR32" s="42">
        <v>0</v>
      </c>
      <c r="AS32" s="42">
        <f t="shared" ref="AS32:AS46" si="13">SUM(AQ32:AR32)</f>
        <v>135758889.74024761</v>
      </c>
      <c r="AT32" s="37"/>
      <c r="AU32" s="40"/>
      <c r="AV32" s="40"/>
      <c r="AW32" s="40"/>
    </row>
    <row r="33" spans="1:49" s="30" customFormat="1" x14ac:dyDescent="0.25">
      <c r="A33" s="34">
        <f t="shared" si="2"/>
        <v>18</v>
      </c>
      <c r="B33" s="35" t="s">
        <v>119</v>
      </c>
      <c r="C33" s="41">
        <v>20270050.379999898</v>
      </c>
      <c r="D33" s="41"/>
      <c r="E33" s="41"/>
      <c r="F33" s="41"/>
      <c r="G33" s="41"/>
      <c r="H33" s="41"/>
      <c r="I33" s="41"/>
      <c r="J33" s="41"/>
      <c r="K33" s="41">
        <v>0</v>
      </c>
      <c r="L33" s="41">
        <f>'[1]KJB-6 Cmn Adj'!AW16</f>
        <v>-18097.74070324644</v>
      </c>
      <c r="M33" s="41"/>
      <c r="N33" s="41"/>
      <c r="O33" s="41"/>
      <c r="P33" s="41"/>
      <c r="Q33" s="41"/>
      <c r="R33" s="41"/>
      <c r="S33" s="41">
        <f>+'[1]KJB-6 Cmn Adj'!CC16</f>
        <v>238226.09976480342</v>
      </c>
      <c r="T33" s="41"/>
      <c r="U33" s="41"/>
      <c r="V33" s="41"/>
      <c r="W33" s="41"/>
      <c r="X33" s="41"/>
      <c r="Y33" s="41"/>
      <c r="Z33" s="41">
        <f>+'[1]KJB-7 El Adj'!E23</f>
        <v>-16783.132549889968</v>
      </c>
      <c r="AA33" s="41"/>
      <c r="AB33" s="41"/>
      <c r="AC33" s="41"/>
      <c r="AD33" s="51">
        <f>'[1]KJB-7 El Adj'!W28</f>
        <v>-131868.25166666671</v>
      </c>
      <c r="AE33" s="41"/>
      <c r="AF33" s="51"/>
      <c r="AG33" s="51"/>
      <c r="AH33" s="51"/>
      <c r="AI33" s="51"/>
      <c r="AJ33" s="51"/>
      <c r="AK33" s="51"/>
      <c r="AL33" s="41"/>
      <c r="AM33" s="41">
        <f t="shared" si="8"/>
        <v>71476.97484500031</v>
      </c>
      <c r="AN33" s="43">
        <f t="shared" si="9"/>
        <v>20341527.354844898</v>
      </c>
      <c r="AO33" s="42">
        <f t="shared" si="10"/>
        <v>20270050.379999898</v>
      </c>
      <c r="AP33" s="43">
        <f t="shared" si="11"/>
        <v>71476.97484500031</v>
      </c>
      <c r="AQ33" s="43">
        <f t="shared" si="12"/>
        <v>20341527.354844898</v>
      </c>
      <c r="AR33" s="42"/>
      <c r="AS33" s="43">
        <f t="shared" si="13"/>
        <v>20341527.354844898</v>
      </c>
      <c r="AT33" s="39"/>
      <c r="AU33" s="4"/>
      <c r="AV33" s="4"/>
      <c r="AW33" s="4"/>
    </row>
    <row r="34" spans="1:49" s="30" customFormat="1" x14ac:dyDescent="0.25">
      <c r="A34" s="34">
        <f t="shared" si="2"/>
        <v>19</v>
      </c>
      <c r="B34" s="35" t="s">
        <v>120</v>
      </c>
      <c r="C34" s="41">
        <v>83356029.179999903</v>
      </c>
      <c r="D34" s="41"/>
      <c r="E34" s="41"/>
      <c r="F34" s="41"/>
      <c r="G34" s="41"/>
      <c r="H34" s="41"/>
      <c r="I34" s="41"/>
      <c r="J34" s="41"/>
      <c r="K34" s="41">
        <v>0</v>
      </c>
      <c r="L34" s="41">
        <f>'[1]KJB-6 Cmn Adj'!AW17</f>
        <v>-67989.549035376869</v>
      </c>
      <c r="M34" s="41"/>
      <c r="N34" s="41"/>
      <c r="O34" s="41"/>
      <c r="P34" s="41"/>
      <c r="Q34" s="41"/>
      <c r="R34" s="41"/>
      <c r="S34" s="41">
        <f>+'[1]KJB-6 Cmn Adj'!CC17</f>
        <v>368168.06771003455</v>
      </c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>
        <f>'[1]KJB-7 El Adj'!X28</f>
        <v>-271443.23000000231</v>
      </c>
      <c r="AE34" s="41"/>
      <c r="AF34" s="41"/>
      <c r="AG34" s="41"/>
      <c r="AH34" s="41"/>
      <c r="AI34" s="41"/>
      <c r="AJ34" s="41"/>
      <c r="AK34" s="41"/>
      <c r="AL34" s="41"/>
      <c r="AM34" s="41">
        <f t="shared" si="8"/>
        <v>28735.28867465537</v>
      </c>
      <c r="AN34" s="43">
        <f t="shared" si="9"/>
        <v>83384764.468674555</v>
      </c>
      <c r="AO34" s="42">
        <f t="shared" si="10"/>
        <v>83356029.179999903</v>
      </c>
      <c r="AP34" s="43">
        <f t="shared" si="11"/>
        <v>28735.28867465537</v>
      </c>
      <c r="AQ34" s="43">
        <f t="shared" si="12"/>
        <v>83384764.468674555</v>
      </c>
      <c r="AR34" s="42"/>
      <c r="AS34" s="43">
        <f t="shared" si="13"/>
        <v>83384764.468674555</v>
      </c>
      <c r="AT34" s="41"/>
      <c r="AU34" s="4"/>
      <c r="AV34" s="4"/>
      <c r="AW34" s="4"/>
    </row>
    <row r="35" spans="1:49" x14ac:dyDescent="0.25">
      <c r="A35" s="34">
        <f t="shared" si="2"/>
        <v>20</v>
      </c>
      <c r="B35" s="35" t="s">
        <v>121</v>
      </c>
      <c r="C35" s="41">
        <v>47600166.421824999</v>
      </c>
      <c r="D35" s="41">
        <f>'[1]KJB-6 Cmn Adj'!D40</f>
        <v>-206560.42365471341</v>
      </c>
      <c r="E35" s="39">
        <f>'[1]KJB-6 Cmn Adj'!K43</f>
        <v>202638</v>
      </c>
      <c r="F35" s="41">
        <f>'[1]KJB-6 Cmn Adj'!Q30</f>
        <v>-1378053.9992858302</v>
      </c>
      <c r="G35" s="41"/>
      <c r="H35" s="41"/>
      <c r="I35" s="41"/>
      <c r="J35" s="41"/>
      <c r="K35" s="41">
        <f>'[1]KJB-6 Cmn Adj'!AR26</f>
        <v>-845154</v>
      </c>
      <c r="L35" s="41">
        <f>'[1]KJB-6 Cmn Adj'!AW18</f>
        <v>-33992.931957083521</v>
      </c>
      <c r="M35" s="41"/>
      <c r="N35" s="41">
        <f>'[1]KJB-6 Cmn Adj'!BF13</f>
        <v>108170.94876945516</v>
      </c>
      <c r="O35" s="41"/>
      <c r="P35" s="41"/>
      <c r="Q35" s="41"/>
      <c r="R35" s="41"/>
      <c r="S35" s="41">
        <f>+'[1]KJB-6 Cmn Adj'!CC18</f>
        <v>129718.13539325818</v>
      </c>
      <c r="T35" s="41"/>
      <c r="U35" s="41"/>
      <c r="V35" s="41"/>
      <c r="W35" s="41">
        <f>'[1]KJB-6 Cmn Adj'!CW15+'[1]KJB-6 Cmn Adj'!CW21</f>
        <v>4750001.9585469235</v>
      </c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>
        <f t="shared" si="8"/>
        <v>2726767.6878120094</v>
      </c>
      <c r="AN35" s="43">
        <f t="shared" si="9"/>
        <v>50326934.109637007</v>
      </c>
      <c r="AO35" s="42">
        <f t="shared" si="10"/>
        <v>47600166.421824999</v>
      </c>
      <c r="AP35" s="43">
        <f t="shared" si="11"/>
        <v>2726767.6878120094</v>
      </c>
      <c r="AQ35" s="43">
        <f t="shared" si="12"/>
        <v>50326934.109637007</v>
      </c>
      <c r="AR35" s="42">
        <v>1066836.633802</v>
      </c>
      <c r="AS35" s="43">
        <f t="shared" si="13"/>
        <v>51393770.743439004</v>
      </c>
      <c r="AT35" s="41"/>
      <c r="AU35" s="40"/>
      <c r="AV35" s="40"/>
      <c r="AW35" s="40"/>
    </row>
    <row r="36" spans="1:49" x14ac:dyDescent="0.25">
      <c r="A36" s="34">
        <f t="shared" si="2"/>
        <v>21</v>
      </c>
      <c r="B36" s="35" t="s">
        <v>122</v>
      </c>
      <c r="C36" s="41">
        <v>19829127.240927998</v>
      </c>
      <c r="D36" s="41"/>
      <c r="E36" s="41"/>
      <c r="F36" s="41">
        <f>'[1]KJB-6 Cmn Adj'!Q39+'[1]KJB-6 Cmn Adj'!Q42</f>
        <v>-17275568.259999998</v>
      </c>
      <c r="G36" s="41"/>
      <c r="H36" s="41"/>
      <c r="I36" s="41"/>
      <c r="J36" s="41"/>
      <c r="K36" s="41"/>
      <c r="L36" s="41">
        <f>'[1]KJB-6 Cmn Adj'!AW19+'[1]KJB-6 Cmn Adj'!AW20</f>
        <v>-2882.6248900298524</v>
      </c>
      <c r="M36" s="41"/>
      <c r="N36" s="41"/>
      <c r="O36" s="41"/>
      <c r="P36" s="41"/>
      <c r="Q36" s="41"/>
      <c r="R36" s="41"/>
      <c r="S36" s="41">
        <f>+'[1]KJB-6 Cmn Adj'!CC19+'[1]KJB-6 Cmn Adj'!CC20</f>
        <v>46640.928225739277</v>
      </c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>
        <f t="shared" si="8"/>
        <v>-17231809.956664287</v>
      </c>
      <c r="AN36" s="43">
        <f t="shared" si="9"/>
        <v>2597317.2842637114</v>
      </c>
      <c r="AO36" s="42">
        <f t="shared" si="10"/>
        <v>19829127.240927998</v>
      </c>
      <c r="AP36" s="43">
        <f t="shared" si="11"/>
        <v>-17231809.956664287</v>
      </c>
      <c r="AQ36" s="43">
        <f t="shared" si="12"/>
        <v>2597317.2842637114</v>
      </c>
      <c r="AR36" s="42"/>
      <c r="AS36" s="43">
        <f t="shared" si="13"/>
        <v>2597317.2842637114</v>
      </c>
      <c r="AT36" s="41"/>
      <c r="AU36" s="40"/>
      <c r="AV36" s="40"/>
      <c r="AW36" s="40"/>
    </row>
    <row r="37" spans="1:49" x14ac:dyDescent="0.25">
      <c r="A37" s="34">
        <f t="shared" si="2"/>
        <v>22</v>
      </c>
      <c r="B37" s="35" t="s">
        <v>123</v>
      </c>
      <c r="C37" s="41">
        <v>97566974.959999993</v>
      </c>
      <c r="D37" s="41"/>
      <c r="E37" s="41"/>
      <c r="F37" s="41">
        <f>'[1]KJB-6 Cmn Adj'!Q36</f>
        <v>-97540765.159999996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>
        <f t="shared" si="8"/>
        <v>-97540765.159999996</v>
      </c>
      <c r="AN37" s="43">
        <f t="shared" si="9"/>
        <v>26209.79999999702</v>
      </c>
      <c r="AO37" s="42">
        <f t="shared" si="10"/>
        <v>97566974.959999993</v>
      </c>
      <c r="AP37" s="43">
        <f t="shared" si="11"/>
        <v>-97540765.159999996</v>
      </c>
      <c r="AQ37" s="43">
        <f t="shared" si="12"/>
        <v>26209.79999999702</v>
      </c>
      <c r="AR37" s="42"/>
      <c r="AS37" s="42">
        <f t="shared" si="13"/>
        <v>26209.79999999702</v>
      </c>
      <c r="AT37" s="41"/>
      <c r="AU37" s="40"/>
      <c r="AV37" s="40"/>
      <c r="AW37" s="40"/>
    </row>
    <row r="38" spans="1:49" x14ac:dyDescent="0.25">
      <c r="A38" s="34">
        <f t="shared" si="2"/>
        <v>23</v>
      </c>
      <c r="B38" s="35" t="s">
        <v>124</v>
      </c>
      <c r="C38" s="41">
        <v>114599758.581515</v>
      </c>
      <c r="D38" s="41">
        <f>'[1]KJB-6 Cmn Adj'!D41</f>
        <v>-57722.627820235684</v>
      </c>
      <c r="E38" s="41">
        <f>'[1]KJB-6 Cmn Adj'!K44</f>
        <v>56627</v>
      </c>
      <c r="F38" s="41">
        <f>'[1]KJB-6 Cmn Adj'!Q31+'[1]KJB-6 Cmn Adj'!Q43</f>
        <v>-426522.21638000006</v>
      </c>
      <c r="G38" s="41"/>
      <c r="H38" s="41"/>
      <c r="I38" s="41" t="s">
        <v>21</v>
      </c>
      <c r="J38" s="41">
        <f>'[1]KJB-6 Cmn Adj'!AI17</f>
        <v>-106750.2786706667</v>
      </c>
      <c r="K38" s="41"/>
      <c r="L38" s="41">
        <f>'[1]KJB-6 Cmn Adj'!AW21</f>
        <v>-42688.898931392003</v>
      </c>
      <c r="M38" s="41">
        <f>'[1]KJB-6 Cmn Adj'!BB13</f>
        <v>-24832.496714436435</v>
      </c>
      <c r="N38" s="41"/>
      <c r="O38" s="52">
        <f>'[1]KJB-6 Cmn Adj'!BJ28</f>
        <v>407545.487356</v>
      </c>
      <c r="P38" s="41"/>
      <c r="Q38" s="52">
        <f>'[1]KJB-6 Cmn Adj'!BS15</f>
        <v>-101764.80083986348</v>
      </c>
      <c r="R38" s="52">
        <f>'[1]KJB-6 Cmn Adj'!BX15</f>
        <v>1822992.9925739774</v>
      </c>
      <c r="S38" s="41">
        <f>+'[1]KJB-6 Cmn Adj'!CC21</f>
        <v>893431.03617618978</v>
      </c>
      <c r="T38" s="41">
        <f>'[1]KJB-6 Cmn Adj'!CH32</f>
        <v>163909.622307254</v>
      </c>
      <c r="U38" s="41">
        <f>'[1]KJB-6 Cmn Adj'!CM20</f>
        <v>187308.92923393101</v>
      </c>
      <c r="V38" s="41"/>
      <c r="W38" s="41"/>
      <c r="X38" s="41">
        <f>'[1]KJB-6 Cmn Adj'!DB25</f>
        <v>-363750.12810969783</v>
      </c>
      <c r="Y38" s="41">
        <f>+'[1]KJB-6 Cmn Adj'!DG14</f>
        <v>-51913.275359999388</v>
      </c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>
        <f>SUM('[1]KJB-7 El Adj'!BL19:BL21)</f>
        <v>-283573.97945502581</v>
      </c>
      <c r="AM38" s="41">
        <f t="shared" si="8"/>
        <v>2072296.3653660347</v>
      </c>
      <c r="AN38" s="43">
        <f t="shared" si="9"/>
        <v>116672054.94688104</v>
      </c>
      <c r="AO38" s="42">
        <f t="shared" si="10"/>
        <v>114599758.581515</v>
      </c>
      <c r="AP38" s="43">
        <f t="shared" si="11"/>
        <v>2072296.3653660347</v>
      </c>
      <c r="AQ38" s="43">
        <f t="shared" si="12"/>
        <v>116672054.94688104</v>
      </c>
      <c r="AR38" s="42">
        <v>298123.97200000001</v>
      </c>
      <c r="AS38" s="43">
        <f t="shared" si="13"/>
        <v>116970178.91888104</v>
      </c>
      <c r="AT38" s="41"/>
      <c r="AU38" s="40"/>
      <c r="AV38" s="40"/>
      <c r="AW38" s="40"/>
    </row>
    <row r="39" spans="1:49" x14ac:dyDescent="0.25">
      <c r="A39" s="34">
        <f t="shared" si="2"/>
        <v>24</v>
      </c>
      <c r="B39" s="35" t="s">
        <v>28</v>
      </c>
      <c r="C39" s="41">
        <v>268356984.80397999</v>
      </c>
      <c r="D39" s="41"/>
      <c r="E39" s="41"/>
      <c r="F39" s="41"/>
      <c r="G39" s="41"/>
      <c r="H39" s="41"/>
      <c r="I39" s="41">
        <f>'[1]KJB-6 Cmn Adj'!AD23+'[1]KJB-6 Cmn Adj'!AD30</f>
        <v>53998972.829306811</v>
      </c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>
        <f>'[1]KJB-6 Cmn Adj'!DB26+'[1]KJB-6 Cmn Adj'!DB27+'[1]KJB-6 Cmn Adj'!DB28</f>
        <v>-304013.62553715741</v>
      </c>
      <c r="Y39" s="41"/>
      <c r="Z39" s="41"/>
      <c r="AA39" s="41"/>
      <c r="AB39" s="41">
        <f>'[1]KJB-7 El Adj'!O25</f>
        <v>-212138.37865459672</v>
      </c>
      <c r="AC39" s="41"/>
      <c r="AD39" s="41"/>
      <c r="AE39" s="41"/>
      <c r="AF39" s="41">
        <f>'[1]KJB-7 El Adj'!AI22+'[1]KJB-7 El Adj'!AI23</f>
        <v>223831.26558229775</v>
      </c>
      <c r="AG39" s="7"/>
      <c r="AH39" s="41">
        <f>'[1]KJB-7 El Adj'!AS34</f>
        <v>-3317.0689883994637</v>
      </c>
      <c r="AI39" s="41">
        <f>+'[1]KJB-7 El Adj'!AX21</f>
        <v>0</v>
      </c>
      <c r="AJ39" s="41"/>
      <c r="AK39" s="41"/>
      <c r="AL39" s="41">
        <f>+'[1]KJB-7 El Adj'!BL25</f>
        <v>-3796102.255248819</v>
      </c>
      <c r="AM39" s="41">
        <f t="shared" si="8"/>
        <v>49907232.766460136</v>
      </c>
      <c r="AN39" s="43">
        <f t="shared" si="9"/>
        <v>318264217.57044011</v>
      </c>
      <c r="AO39" s="42">
        <f t="shared" si="10"/>
        <v>268356984.80397999</v>
      </c>
      <c r="AP39" s="43">
        <f t="shared" si="11"/>
        <v>49907232.766460136</v>
      </c>
      <c r="AQ39" s="43">
        <f t="shared" si="12"/>
        <v>318264217.57044011</v>
      </c>
      <c r="AR39" s="42"/>
      <c r="AS39" s="43">
        <f t="shared" si="13"/>
        <v>318264217.57044011</v>
      </c>
      <c r="AT39" s="41"/>
      <c r="AU39" s="40"/>
      <c r="AV39" s="40"/>
      <c r="AW39" s="40"/>
    </row>
    <row r="40" spans="1:49" x14ac:dyDescent="0.25">
      <c r="A40" s="34">
        <f t="shared" si="2"/>
        <v>25</v>
      </c>
      <c r="B40" s="35" t="s">
        <v>125</v>
      </c>
      <c r="C40" s="41">
        <v>45684974.945897996</v>
      </c>
      <c r="D40" s="41"/>
      <c r="E40" s="41"/>
      <c r="F40" s="41"/>
      <c r="G40" s="41"/>
      <c r="H40" s="41"/>
      <c r="I40" s="41">
        <f>'[1]KJB-6 Cmn Adj'!AD28</f>
        <v>-751878.87284983043</v>
      </c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E40" s="41"/>
      <c r="AG40" s="41">
        <f>+'[1]KJB-7 El Adj'!AN21</f>
        <v>5373410.6000000006</v>
      </c>
      <c r="AJ40" s="7"/>
      <c r="AK40" s="7"/>
      <c r="AL40" s="41">
        <f>'[1]KJB-7 El Adj'!BL27</f>
        <v>-299559.51406567206</v>
      </c>
      <c r="AM40" s="41">
        <f t="shared" si="8"/>
        <v>4321972.2130844984</v>
      </c>
      <c r="AN40" s="43">
        <f t="shared" si="9"/>
        <v>50006947.158982493</v>
      </c>
      <c r="AO40" s="42">
        <f t="shared" si="10"/>
        <v>45684974.945897996</v>
      </c>
      <c r="AP40" s="43">
        <f t="shared" si="11"/>
        <v>4321972.2130844984</v>
      </c>
      <c r="AQ40" s="43">
        <f t="shared" si="12"/>
        <v>50006947.158982493</v>
      </c>
      <c r="AR40" s="42"/>
      <c r="AS40" s="43">
        <f t="shared" si="13"/>
        <v>50006947.158982493</v>
      </c>
      <c r="AT40" s="41"/>
      <c r="AU40" s="40"/>
      <c r="AV40" s="40"/>
      <c r="AW40" s="40"/>
    </row>
    <row r="41" spans="1:49" x14ac:dyDescent="0.25">
      <c r="A41" s="34">
        <f t="shared" si="2"/>
        <v>26</v>
      </c>
      <c r="B41" s="50" t="s">
        <v>126</v>
      </c>
      <c r="C41" s="41">
        <v>20604866.16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 t="s">
        <v>21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>
        <f>'[1]KJB-7 El Adj'!Y58</f>
        <v>10730321.740833335</v>
      </c>
      <c r="AE41" s="41">
        <f>'[1]KJB-7 El Adj'!AD43</f>
        <v>-241268.10200000007</v>
      </c>
      <c r="AF41" s="41"/>
      <c r="AG41" s="41"/>
      <c r="AH41" s="41"/>
      <c r="AI41" s="41"/>
      <c r="AJ41" s="47">
        <f>'[1]KJB-7 El Adj'!BC24</f>
        <v>5194474.8277102737</v>
      </c>
      <c r="AK41" s="7"/>
      <c r="AL41" s="41">
        <f>'[1]KJB-7 El Adj'!BL39+'[1]KJB-7 El Adj'!BL36</f>
        <v>-265522.10282778653</v>
      </c>
      <c r="AM41" s="41">
        <f t="shared" si="8"/>
        <v>15418006.36371582</v>
      </c>
      <c r="AN41" s="43">
        <f t="shared" si="9"/>
        <v>36022872.523715824</v>
      </c>
      <c r="AO41" s="42">
        <f t="shared" si="10"/>
        <v>20604866.16</v>
      </c>
      <c r="AP41" s="43">
        <f t="shared" si="11"/>
        <v>15418006.36371582</v>
      </c>
      <c r="AQ41" s="43">
        <f t="shared" si="12"/>
        <v>36022872.523715824</v>
      </c>
      <c r="AR41" s="42"/>
      <c r="AS41" s="43">
        <f t="shared" si="13"/>
        <v>36022872.523715824</v>
      </c>
      <c r="AT41" s="41"/>
      <c r="AU41" s="40"/>
      <c r="AV41" s="40"/>
      <c r="AW41" s="40"/>
    </row>
    <row r="42" spans="1:49" x14ac:dyDescent="0.25">
      <c r="A42" s="34">
        <f t="shared" si="2"/>
        <v>27</v>
      </c>
      <c r="B42" s="35" t="s">
        <v>127</v>
      </c>
      <c r="C42" s="41">
        <v>-9997193.5551139992</v>
      </c>
      <c r="D42" s="41">
        <f>+'[1]KJB-6 Cmn Adj'!E39</f>
        <v>17342294.120000005</v>
      </c>
      <c r="E42" s="41"/>
      <c r="F42" s="41">
        <f>'[1]KJB-6 Cmn Adj'!Q41+'[1]KJB-6 Cmn Adj'!Q45</f>
        <v>365334.82</v>
      </c>
      <c r="G42" s="41"/>
      <c r="H42" s="41"/>
      <c r="I42" s="41"/>
      <c r="J42" s="41"/>
      <c r="K42" s="41"/>
      <c r="L42" s="41"/>
      <c r="M42" s="41"/>
      <c r="N42" s="41"/>
      <c r="O42" s="41"/>
      <c r="P42" s="41">
        <f>'[1]KJB-6 Cmn Adj'!BN27</f>
        <v>-263384.27666666743</v>
      </c>
      <c r="Q42" s="41"/>
      <c r="R42" s="41"/>
      <c r="S42" s="41"/>
      <c r="T42" s="41"/>
      <c r="U42" s="41"/>
      <c r="V42" s="41">
        <f>'[1]KJB-6 Cmn Adj'!CR23</f>
        <v>1422577.0493701622</v>
      </c>
      <c r="W42" s="41"/>
      <c r="X42" s="41"/>
      <c r="Y42" s="41"/>
      <c r="Z42" s="41"/>
      <c r="AA42" s="41"/>
      <c r="AB42" s="41"/>
      <c r="AC42" s="41"/>
      <c r="AD42" s="41"/>
      <c r="AE42" s="41">
        <f>'[1]KJB-7 El Adj'!AD53-AE41</f>
        <v>-2429827.2079230589</v>
      </c>
      <c r="AF42" s="41"/>
      <c r="AG42" s="41"/>
      <c r="AH42" s="41"/>
      <c r="AI42" s="41"/>
      <c r="AJ42" s="41"/>
      <c r="AK42" s="53">
        <f>+'[1]KJB-7 El Adj'!BH20</f>
        <v>3279780</v>
      </c>
      <c r="AL42" s="41">
        <f>SUM('[1]KJB-7 El Adj'!BL37,'[1]KJB-7 El Adj'!BL38,'[1]KJB-7 El Adj'!BL40,'[1]KJB-7 El Adj'!BL42,'[1]KJB-7 El Adj'!BL43,'[1]KJB-7 El Adj'!BL44,'[1]KJB-7 El Adj'!BL46)</f>
        <v>-230038.82166857479</v>
      </c>
      <c r="AM42" s="41">
        <f t="shared" si="8"/>
        <v>19486735.683111865</v>
      </c>
      <c r="AN42" s="43">
        <f t="shared" si="9"/>
        <v>9489542.1279978659</v>
      </c>
      <c r="AO42" s="42">
        <f t="shared" si="10"/>
        <v>-9997193.5551139992</v>
      </c>
      <c r="AP42" s="43">
        <f t="shared" si="11"/>
        <v>19486735.683111865</v>
      </c>
      <c r="AQ42" s="43">
        <f t="shared" si="12"/>
        <v>9489542.1279978659</v>
      </c>
      <c r="AR42" s="42"/>
      <c r="AS42" s="43">
        <f t="shared" si="13"/>
        <v>9489542.1279978659</v>
      </c>
      <c r="AT42" s="41"/>
      <c r="AU42" s="40"/>
      <c r="AV42" s="40"/>
      <c r="AW42" s="40"/>
    </row>
    <row r="43" spans="1:49" x14ac:dyDescent="0.25">
      <c r="A43" s="34">
        <f t="shared" si="2"/>
        <v>28</v>
      </c>
      <c r="B43" s="4" t="s">
        <v>48</v>
      </c>
      <c r="C43" s="41">
        <v>-64111667.629999898</v>
      </c>
      <c r="Y43" s="47"/>
      <c r="AC43" s="53">
        <f>'[1]KJB-7 El Adj'!T13</f>
        <v>64111667.629999898</v>
      </c>
      <c r="AM43" s="41">
        <f t="shared" si="8"/>
        <v>64111667.629999898</v>
      </c>
      <c r="AN43" s="43">
        <f t="shared" si="9"/>
        <v>0</v>
      </c>
      <c r="AO43" s="42">
        <f t="shared" si="10"/>
        <v>-64111667.629999898</v>
      </c>
      <c r="AP43" s="43">
        <f t="shared" si="11"/>
        <v>64111667.629999898</v>
      </c>
      <c r="AQ43" s="43">
        <f t="shared" si="12"/>
        <v>0</v>
      </c>
      <c r="AR43" s="42"/>
      <c r="AS43" s="43">
        <f t="shared" si="13"/>
        <v>0</v>
      </c>
      <c r="AT43" s="41"/>
      <c r="AU43" s="40"/>
      <c r="AV43" s="40"/>
      <c r="AW43" s="40"/>
    </row>
    <row r="44" spans="1:49" x14ac:dyDescent="0.25">
      <c r="A44" s="34">
        <f t="shared" si="2"/>
        <v>29</v>
      </c>
      <c r="B44" s="35" t="s">
        <v>128</v>
      </c>
      <c r="C44" s="41">
        <v>230800256.78218898</v>
      </c>
      <c r="D44" s="41">
        <f>+'[1]KJB-6 Cmn Adj'!D42</f>
        <v>-1109919.5490414018</v>
      </c>
      <c r="E44" s="41">
        <f>'[1]KJB-6 Cmn Adj'!K47</f>
        <v>1088843</v>
      </c>
      <c r="F44" s="42">
        <f>'[1]KJB-6 Cmn Adj'!Q32+'[1]KJB-6 Cmn Adj'!Q38+'[1]KJB-6 Cmn Adj'!Q37+'[1]KJB-6 Cmn Adj'!Q44</f>
        <v>-144297723.10863283</v>
      </c>
      <c r="G44" s="41"/>
      <c r="H44" s="41"/>
      <c r="I44" s="41"/>
      <c r="J44" s="41"/>
      <c r="K44" s="41"/>
      <c r="L44" s="42">
        <f>'[1]KJB-6 Cmn Adj'!AW24</f>
        <v>-14322.105364270566</v>
      </c>
      <c r="M44" s="41"/>
      <c r="N44" s="41"/>
      <c r="O44" s="41"/>
      <c r="P44" s="41"/>
      <c r="Q44" s="41"/>
      <c r="R44" s="41"/>
      <c r="S44" s="41">
        <f>+'[1]KJB-6 Cmn Adj'!CC24</f>
        <v>140715.30091736629</v>
      </c>
      <c r="T44" s="41"/>
      <c r="U44" s="41"/>
      <c r="V44" s="41"/>
      <c r="W44" s="41"/>
      <c r="X44" s="41"/>
      <c r="Y44" s="47">
        <f>+'[1]KJB-6 Cmn Adj'!DG13</f>
        <v>36124.958262011409</v>
      </c>
      <c r="Z44" s="41">
        <f>-'[1]KJB-7 El Adj'!E30</f>
        <v>56686.323528445922</v>
      </c>
      <c r="AA44" s="41">
        <f>-'[1]KJB-7 El Adj'!J23</f>
        <v>-69720.08998702839</v>
      </c>
      <c r="AB44" s="41"/>
      <c r="AC44" s="41"/>
      <c r="AD44" s="41"/>
      <c r="AE44" s="42"/>
      <c r="AF44" s="41"/>
      <c r="AG44" s="41"/>
      <c r="AH44" s="41"/>
      <c r="AI44" s="41"/>
      <c r="AJ44" s="41"/>
      <c r="AK44" s="41"/>
      <c r="AL44" s="42">
        <f>+'[1]KJB-7 El Adj'!BL32</f>
        <v>-53153.010725077329</v>
      </c>
      <c r="AM44" s="41">
        <f t="shared" si="8"/>
        <v>-144222468.28104278</v>
      </c>
      <c r="AN44" s="43">
        <f t="shared" si="9"/>
        <v>86577788.501146197</v>
      </c>
      <c r="AO44" s="42">
        <f t="shared" si="10"/>
        <v>230800256.78218898</v>
      </c>
      <c r="AP44" s="43">
        <f t="shared" si="11"/>
        <v>-144222468.28104278</v>
      </c>
      <c r="AQ44" s="43">
        <f t="shared" si="12"/>
        <v>86577788.501146197</v>
      </c>
      <c r="AR44" s="42">
        <v>5732476.7956019994</v>
      </c>
      <c r="AS44" s="43">
        <f t="shared" si="13"/>
        <v>92310265.296748191</v>
      </c>
      <c r="AT44" s="41"/>
      <c r="AU44" s="40"/>
      <c r="AV44" s="40"/>
      <c r="AW44" s="40"/>
    </row>
    <row r="45" spans="1:49" x14ac:dyDescent="0.25">
      <c r="A45" s="34">
        <f t="shared" si="2"/>
        <v>30</v>
      </c>
      <c r="B45" s="35" t="s">
        <v>129</v>
      </c>
      <c r="C45" s="41">
        <v>800</v>
      </c>
      <c r="D45" s="41">
        <f>'[1]KJB-6 Cmn Adj'!E48</f>
        <v>-15690291.900360523</v>
      </c>
      <c r="E45" s="41">
        <f>'[1]KJB-6 Cmn Adj'!L52</f>
        <v>9437801</v>
      </c>
      <c r="F45" s="41">
        <f>'[1]KJB-6 Cmn Adj'!Q49</f>
        <v>-538752.47499545664</v>
      </c>
      <c r="G45" s="41">
        <f>+'[1]KJB-6 Cmn Adj'!U30</f>
        <v>144836215.65657258</v>
      </c>
      <c r="H45" s="41">
        <f>+'[1]KJB-6 Cmn Adj'!Y22</f>
        <v>-53350176.862995125</v>
      </c>
      <c r="I45" s="41">
        <f>+'[1]KJB-6 Cmn Adj'!AD34</f>
        <v>-18636482.884759944</v>
      </c>
      <c r="J45" s="41">
        <f>'[1]KJB-6 Cmn Adj'!AI18</f>
        <v>37363</v>
      </c>
      <c r="K45" s="41">
        <f>'[1]KJB-6 Cmn Adj'!AR28</f>
        <v>295804</v>
      </c>
      <c r="L45" s="41">
        <f>'[1]KJB-6 Cmn Adj'!AW29</f>
        <v>84835.087527984026</v>
      </c>
      <c r="M45" s="41">
        <f>'[1]KJB-6 Cmn Adj'!BB17</f>
        <v>8691.3738500527506</v>
      </c>
      <c r="N45" s="41"/>
      <c r="O45" s="39">
        <f>'[1]KJB-6 Cmn Adj'!BJ30</f>
        <v>-142640.92057459999</v>
      </c>
      <c r="P45" s="41">
        <f>'[1]KJB-6 Cmn Adj'!BN29</f>
        <v>92184.4968333336</v>
      </c>
      <c r="Q45" s="41">
        <f>'[1]KJB-6 Cmn Adj'!BS19</f>
        <v>35617.680293952217</v>
      </c>
      <c r="R45" s="41">
        <f>'[1]KJB-6 Cmn Adj'!BX17</f>
        <v>-638047.54740089201</v>
      </c>
      <c r="S45" s="41">
        <f>+'[1]KJB-6 Cmn Adj'!CC28</f>
        <v>-806097.55491695704</v>
      </c>
      <c r="T45" s="41">
        <f>'[1]KJB-6 Cmn Adj'!CH34</f>
        <v>-57368</v>
      </c>
      <c r="U45" s="41">
        <f>'[1]KJB-6 Cmn Adj'!CM22</f>
        <v>-65558</v>
      </c>
      <c r="V45" s="41">
        <f>'[1]KJB-6 Cmn Adj'!CR25</f>
        <v>-497902</v>
      </c>
      <c r="W45" s="41">
        <f>'[1]KJB-6 Cmn Adj'!CW25</f>
        <v>-1662500.6854914231</v>
      </c>
      <c r="X45" s="41">
        <f>'[1]KJB-6 Cmn Adj'!DB32</f>
        <v>233717.31377639933</v>
      </c>
      <c r="Y45" s="41">
        <f>'[1]KJB-6 Cmn Adj'!DG18</f>
        <v>5526</v>
      </c>
      <c r="Z45" s="41">
        <f>+'[1]KJB-7 El Adj'!E32</f>
        <v>-10500594.810435433</v>
      </c>
      <c r="AA45" s="41">
        <f>+'[1]KJB-7 El Adj'!J25</f>
        <v>24402</v>
      </c>
      <c r="AB45" s="41">
        <f>'[1]KJB-7 El Adj'!O27</f>
        <v>74248</v>
      </c>
      <c r="AC45" s="41"/>
      <c r="AD45" s="41">
        <f>'[1]KJB-7 El Adj'!Y62</f>
        <v>-3614453.5907083321</v>
      </c>
      <c r="AE45" s="41">
        <f>'[1]KJB-7 El Adj'!AD59</f>
        <v>934883.35847307055</v>
      </c>
      <c r="AF45" s="41">
        <f>'[1]KJB-7 El Adj'!AI28</f>
        <v>-78340.942953804202</v>
      </c>
      <c r="AG45" s="41">
        <f>+'[1]KJB-7 El Adj'!AN28</f>
        <v>-1880693.71</v>
      </c>
      <c r="AH45" s="41">
        <f>'[1]KJB-7 El Adj'!AS38</f>
        <v>1160.9741459398122</v>
      </c>
      <c r="AI45" s="41">
        <f>+'[1]KJB-7 El Adj'!AX27</f>
        <v>0</v>
      </c>
      <c r="AJ45" s="41">
        <f>'[1]KJB-7 El Adj'!BC28</f>
        <v>-1818066.1896985958</v>
      </c>
      <c r="AK45" s="41">
        <f>+'[1]KJB-7 El Adj'!BH23</f>
        <v>-1147923</v>
      </c>
      <c r="AL45" s="41">
        <f>'[1]KJB-7 El Adj'!BM49+'[1]KJB-7 El Adj'!BL31</f>
        <v>1807774.795102749</v>
      </c>
      <c r="AM45" s="41">
        <f t="shared" si="8"/>
        <v>46784333.661284983</v>
      </c>
      <c r="AN45" s="43">
        <f t="shared" si="9"/>
        <v>46785133.661284983</v>
      </c>
      <c r="AO45" s="42">
        <f t="shared" si="10"/>
        <v>800</v>
      </c>
      <c r="AP45" s="43">
        <f t="shared" si="11"/>
        <v>46784333.661284983</v>
      </c>
      <c r="AQ45" s="43">
        <f t="shared" si="12"/>
        <v>46785133.661284983</v>
      </c>
      <c r="AR45" s="42">
        <v>49687577.103309996</v>
      </c>
      <c r="AS45" s="43">
        <f t="shared" si="13"/>
        <v>96472710.764594972</v>
      </c>
      <c r="AT45" s="41"/>
      <c r="AU45" s="40"/>
      <c r="AV45" s="40"/>
      <c r="AW45" s="40"/>
    </row>
    <row r="46" spans="1:49" x14ac:dyDescent="0.25">
      <c r="A46" s="34">
        <f t="shared" si="2"/>
        <v>31</v>
      </c>
      <c r="B46" s="4" t="s">
        <v>130</v>
      </c>
      <c r="C46" s="48">
        <v>181996914.66999999</v>
      </c>
      <c r="D46" s="48"/>
      <c r="E46" s="48"/>
      <c r="F46" s="43"/>
      <c r="G46" s="41">
        <f>'[1]KJB-6 Cmn Adj'!U31</f>
        <v>-117812976.8499999</v>
      </c>
      <c r="H46" s="41"/>
      <c r="I46" s="48"/>
      <c r="J46" s="43"/>
      <c r="K46" s="48"/>
      <c r="L46" s="43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3"/>
      <c r="AC46" s="41">
        <f>'[1]KJB-7 El Adj'!T19</f>
        <v>-22439083.670499962</v>
      </c>
      <c r="AD46" s="48"/>
      <c r="AE46" s="43"/>
      <c r="AF46" s="48"/>
      <c r="AG46" s="48"/>
      <c r="AH46" s="48"/>
      <c r="AI46" s="48"/>
      <c r="AJ46" s="48"/>
      <c r="AK46" s="43"/>
      <c r="AL46" s="43"/>
      <c r="AM46" s="41">
        <f t="shared" si="8"/>
        <v>-140252060.52049986</v>
      </c>
      <c r="AN46" s="48">
        <f t="shared" si="9"/>
        <v>41744854.149500132</v>
      </c>
      <c r="AO46" s="42">
        <f t="shared" si="10"/>
        <v>181996914.66999999</v>
      </c>
      <c r="AP46" s="48">
        <f t="shared" si="11"/>
        <v>-140252060.52049986</v>
      </c>
      <c r="AQ46" s="48">
        <f t="shared" si="12"/>
        <v>41744854.149500132</v>
      </c>
      <c r="AR46" s="42"/>
      <c r="AS46" s="48">
        <f t="shared" si="13"/>
        <v>41744854.149500132</v>
      </c>
      <c r="AT46" s="41"/>
      <c r="AU46" s="40"/>
      <c r="AV46" s="40"/>
      <c r="AW46" s="40"/>
    </row>
    <row r="47" spans="1:49" x14ac:dyDescent="0.25">
      <c r="A47" s="34">
        <f t="shared" si="2"/>
        <v>32</v>
      </c>
      <c r="B47" s="35" t="s">
        <v>131</v>
      </c>
      <c r="C47" s="45">
        <f t="shared" ref="C47:AS47" si="14">SUM(C30:C46)</f>
        <v>1994336799.3812201</v>
      </c>
      <c r="D47" s="45">
        <f t="shared" si="14"/>
        <v>277799.6191231329</v>
      </c>
      <c r="E47" s="45">
        <f t="shared" si="14"/>
        <v>10785909</v>
      </c>
      <c r="F47" s="45">
        <f t="shared" si="14"/>
        <v>-191823830.72929412</v>
      </c>
      <c r="G47" s="45">
        <f t="shared" si="14"/>
        <v>27023238.806572676</v>
      </c>
      <c r="H47" s="45">
        <f t="shared" si="14"/>
        <v>-53350176.862995125</v>
      </c>
      <c r="I47" s="45">
        <f t="shared" si="14"/>
        <v>34610611.071697041</v>
      </c>
      <c r="J47" s="45">
        <f t="shared" si="14"/>
        <v>-69387.278670666696</v>
      </c>
      <c r="K47" s="45">
        <f t="shared" si="14"/>
        <v>-549350</v>
      </c>
      <c r="L47" s="45">
        <f t="shared" si="14"/>
        <v>-157550.87683768579</v>
      </c>
      <c r="M47" s="45">
        <f t="shared" si="14"/>
        <v>-16141.122864383684</v>
      </c>
      <c r="N47" s="45">
        <f t="shared" si="14"/>
        <v>108170.94876945516</v>
      </c>
      <c r="O47" s="45">
        <f t="shared" si="14"/>
        <v>264904.5667814</v>
      </c>
      <c r="P47" s="45">
        <f t="shared" si="14"/>
        <v>-171199.77983333383</v>
      </c>
      <c r="Q47" s="45">
        <f t="shared" si="14"/>
        <v>-66147.120545911268</v>
      </c>
      <c r="R47" s="45">
        <f t="shared" si="14"/>
        <v>1184945.4451730854</v>
      </c>
      <c r="S47" s="45">
        <f t="shared" si="14"/>
        <v>1497038.3162743491</v>
      </c>
      <c r="T47" s="45">
        <f t="shared" si="14"/>
        <v>106541.622307254</v>
      </c>
      <c r="U47" s="45">
        <f t="shared" si="14"/>
        <v>121750.92923393101</v>
      </c>
      <c r="V47" s="45">
        <f t="shared" si="14"/>
        <v>924675.04937016219</v>
      </c>
      <c r="W47" s="45">
        <f t="shared" si="14"/>
        <v>3087501.2730555004</v>
      </c>
      <c r="X47" s="45">
        <f t="shared" si="14"/>
        <v>-434046.43987045588</v>
      </c>
      <c r="Y47" s="45">
        <f t="shared" si="14"/>
        <v>-10262.31709798798</v>
      </c>
      <c r="Z47" s="45">
        <f t="shared" si="14"/>
        <v>-118117201.27282499</v>
      </c>
      <c r="AA47" s="45">
        <f t="shared" si="14"/>
        <v>-45318.08998702839</v>
      </c>
      <c r="AB47" s="45">
        <f t="shared" si="14"/>
        <v>-137890.37865459672</v>
      </c>
      <c r="AC47" s="45">
        <f t="shared" si="14"/>
        <v>41672583.95949994</v>
      </c>
      <c r="AD47" s="45">
        <f t="shared" si="14"/>
        <v>6712556.6684583332</v>
      </c>
      <c r="AE47" s="45">
        <f t="shared" si="14"/>
        <v>-1736211.9514499884</v>
      </c>
      <c r="AF47" s="45">
        <f t="shared" si="14"/>
        <v>145490.32262849354</v>
      </c>
      <c r="AG47" s="45">
        <f t="shared" si="14"/>
        <v>3492716.8900000006</v>
      </c>
      <c r="AH47" s="45">
        <f t="shared" si="14"/>
        <v>-2156.0948424596518</v>
      </c>
      <c r="AI47" s="45">
        <f t="shared" si="14"/>
        <v>0</v>
      </c>
      <c r="AJ47" s="45">
        <f t="shared" si="14"/>
        <v>3376408.6380116781</v>
      </c>
      <c r="AK47" s="45">
        <f t="shared" si="14"/>
        <v>2131857</v>
      </c>
      <c r="AL47" s="45">
        <f t="shared" si="14"/>
        <v>-3130917.5606199605</v>
      </c>
      <c r="AM47" s="45">
        <f t="shared" si="14"/>
        <v>-232293087.74943224</v>
      </c>
      <c r="AN47" s="45">
        <f t="shared" si="14"/>
        <v>1762043711.6317875</v>
      </c>
      <c r="AO47" s="46">
        <f t="shared" si="14"/>
        <v>1994336799.3812201</v>
      </c>
      <c r="AP47" s="45">
        <f t="shared" si="14"/>
        <v>-232293087.74943224</v>
      </c>
      <c r="AQ47" s="45">
        <f t="shared" si="14"/>
        <v>1762043711.6317875</v>
      </c>
      <c r="AR47" s="46">
        <f t="shared" si="14"/>
        <v>56785014.504713997</v>
      </c>
      <c r="AS47" s="45">
        <f t="shared" si="14"/>
        <v>1818828726.1365016</v>
      </c>
      <c r="AT47" s="54"/>
      <c r="AU47" s="40"/>
      <c r="AV47" s="40"/>
      <c r="AW47" s="40"/>
    </row>
    <row r="48" spans="1:49" x14ac:dyDescent="0.25">
      <c r="A48" s="34">
        <f t="shared" si="2"/>
        <v>33</v>
      </c>
      <c r="C48" s="53"/>
      <c r="D48" s="53" t="s">
        <v>21</v>
      </c>
      <c r="E48" s="53" t="s">
        <v>21</v>
      </c>
      <c r="F48" s="53"/>
      <c r="G48" s="53" t="s">
        <v>21</v>
      </c>
      <c r="H48" s="53" t="s">
        <v>21</v>
      </c>
      <c r="I48" s="53"/>
      <c r="J48" s="53"/>
      <c r="K48" s="53" t="s">
        <v>21</v>
      </c>
      <c r="L48" s="53"/>
      <c r="M48" s="53" t="s">
        <v>21</v>
      </c>
      <c r="N48" s="53" t="s">
        <v>21</v>
      </c>
      <c r="O48" s="53" t="s">
        <v>21</v>
      </c>
      <c r="P48" s="53" t="s">
        <v>21</v>
      </c>
      <c r="Q48" s="53"/>
      <c r="R48" s="53"/>
      <c r="S48" s="53" t="s">
        <v>21</v>
      </c>
      <c r="T48" s="53" t="s">
        <v>21</v>
      </c>
      <c r="U48" s="53" t="s">
        <v>21</v>
      </c>
      <c r="V48" s="53" t="s">
        <v>21</v>
      </c>
      <c r="W48" s="53"/>
      <c r="X48" s="53"/>
      <c r="Y48" s="53"/>
      <c r="Z48" s="53" t="s">
        <v>21</v>
      </c>
      <c r="AA48" s="53" t="s">
        <v>21</v>
      </c>
      <c r="AB48" s="53"/>
      <c r="AC48" s="53"/>
      <c r="AD48" s="53" t="s">
        <v>21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42"/>
      <c r="AP48" s="53"/>
      <c r="AQ48" s="53"/>
      <c r="AR48" s="42"/>
      <c r="AS48" s="53"/>
      <c r="AT48" s="53"/>
      <c r="AU48" s="40"/>
      <c r="AV48" s="40"/>
      <c r="AW48" s="40"/>
    </row>
    <row r="49" spans="1:49" x14ac:dyDescent="0.25">
      <c r="A49" s="34">
        <f t="shared" si="2"/>
        <v>34</v>
      </c>
      <c r="B49" s="35" t="s">
        <v>132</v>
      </c>
      <c r="C49" s="55">
        <f t="shared" ref="C49:AS49" si="15">C21-C47</f>
        <v>401002971.69877887</v>
      </c>
      <c r="D49" s="55">
        <f t="shared" si="15"/>
        <v>-29139113.529240973</v>
      </c>
      <c r="E49" s="55">
        <f t="shared" si="15"/>
        <v>17527344</v>
      </c>
      <c r="F49" s="55">
        <f t="shared" si="15"/>
        <v>-1000540.3107059002</v>
      </c>
      <c r="G49" s="55">
        <f t="shared" si="15"/>
        <v>-27023238.806572676</v>
      </c>
      <c r="H49" s="55">
        <f t="shared" si="15"/>
        <v>53350176.862995125</v>
      </c>
      <c r="I49" s="55">
        <f t="shared" si="15"/>
        <v>-34610611.071697041</v>
      </c>
      <c r="J49" s="55">
        <f t="shared" si="15"/>
        <v>69387.278670666696</v>
      </c>
      <c r="K49" s="55">
        <f t="shared" si="15"/>
        <v>549350</v>
      </c>
      <c r="L49" s="55">
        <f t="shared" si="15"/>
        <v>157550.87683768579</v>
      </c>
      <c r="M49" s="55">
        <f t="shared" si="15"/>
        <v>16141.122864383684</v>
      </c>
      <c r="N49" s="55">
        <f t="shared" si="15"/>
        <v>-108170.94876945516</v>
      </c>
      <c r="O49" s="55">
        <f t="shared" si="15"/>
        <v>-264904.5667814</v>
      </c>
      <c r="P49" s="55">
        <f t="shared" si="15"/>
        <v>171199.77983333383</v>
      </c>
      <c r="Q49" s="55">
        <f t="shared" si="15"/>
        <v>66147.120545911268</v>
      </c>
      <c r="R49" s="55">
        <f t="shared" si="15"/>
        <v>-1184945.4451730854</v>
      </c>
      <c r="S49" s="55">
        <f t="shared" si="15"/>
        <v>-1497038.3162743491</v>
      </c>
      <c r="T49" s="55">
        <f t="shared" si="15"/>
        <v>-106541.622307254</v>
      </c>
      <c r="U49" s="55">
        <f t="shared" si="15"/>
        <v>-121750.92923393101</v>
      </c>
      <c r="V49" s="55">
        <f t="shared" si="15"/>
        <v>-924675.04937016219</v>
      </c>
      <c r="W49" s="55">
        <f t="shared" si="15"/>
        <v>-3087501.2730555004</v>
      </c>
      <c r="X49" s="55">
        <f t="shared" si="15"/>
        <v>434046.43987045588</v>
      </c>
      <c r="Y49" s="55">
        <f t="shared" si="15"/>
        <v>10262.31709798798</v>
      </c>
      <c r="Z49" s="55">
        <f t="shared" si="15"/>
        <v>-19501104.647951499</v>
      </c>
      <c r="AA49" s="55">
        <f t="shared" si="15"/>
        <v>45318.08998702839</v>
      </c>
      <c r="AB49" s="55">
        <f t="shared" si="15"/>
        <v>137890.37865459672</v>
      </c>
      <c r="AC49" s="55">
        <f t="shared" si="15"/>
        <v>-41672583.95949994</v>
      </c>
      <c r="AD49" s="55">
        <f t="shared" si="15"/>
        <v>-6712556.6684583332</v>
      </c>
      <c r="AE49" s="55">
        <f t="shared" si="15"/>
        <v>1736211.9514499884</v>
      </c>
      <c r="AF49" s="55">
        <f t="shared" si="15"/>
        <v>-145490.32262849354</v>
      </c>
      <c r="AG49" s="55">
        <f t="shared" si="15"/>
        <v>-3492716.8900000006</v>
      </c>
      <c r="AH49" s="55">
        <f t="shared" si="15"/>
        <v>2156.0948424596518</v>
      </c>
      <c r="AI49" s="55">
        <f t="shared" si="15"/>
        <v>0</v>
      </c>
      <c r="AJ49" s="55">
        <f t="shared" si="15"/>
        <v>-3376408.6380116781</v>
      </c>
      <c r="AK49" s="55">
        <f t="shared" si="15"/>
        <v>-2131857</v>
      </c>
      <c r="AL49" s="55">
        <f t="shared" si="15"/>
        <v>3130917.5606199605</v>
      </c>
      <c r="AM49" s="55">
        <f t="shared" si="15"/>
        <v>-98697650.121462077</v>
      </c>
      <c r="AN49" s="55">
        <f t="shared" si="15"/>
        <v>302305321.577317</v>
      </c>
      <c r="AO49" s="55">
        <f t="shared" si="15"/>
        <v>401002971.69877887</v>
      </c>
      <c r="AP49" s="55">
        <f t="shared" si="15"/>
        <v>-98697650.121462137</v>
      </c>
      <c r="AQ49" s="55">
        <f t="shared" si="15"/>
        <v>302305321.577317</v>
      </c>
      <c r="AR49" s="55">
        <f t="shared" si="15"/>
        <v>92276971.495286003</v>
      </c>
      <c r="AS49" s="55">
        <f t="shared" si="15"/>
        <v>394582293.07260299</v>
      </c>
      <c r="AT49" s="39"/>
      <c r="AU49" s="40"/>
      <c r="AV49" s="40"/>
      <c r="AW49" s="40"/>
    </row>
    <row r="50" spans="1:49" x14ac:dyDescent="0.25">
      <c r="A50" s="34">
        <f t="shared" si="2"/>
        <v>35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 t="s">
        <v>21</v>
      </c>
      <c r="AR50" s="56"/>
      <c r="AS50" s="56" t="s">
        <v>21</v>
      </c>
      <c r="AT50" s="56"/>
      <c r="AU50" s="40"/>
      <c r="AV50" s="40"/>
      <c r="AW50" s="40"/>
    </row>
    <row r="51" spans="1:49" x14ac:dyDescent="0.25">
      <c r="A51" s="34">
        <f t="shared" si="2"/>
        <v>36</v>
      </c>
      <c r="B51" s="35" t="s">
        <v>133</v>
      </c>
      <c r="C51" s="55">
        <f>C62</f>
        <v>5153204461.5858841</v>
      </c>
      <c r="D51" s="55">
        <v>0</v>
      </c>
      <c r="E51" s="41">
        <v>0</v>
      </c>
      <c r="F51" s="41">
        <v>0</v>
      </c>
      <c r="G51" s="41">
        <f>G62</f>
        <v>0</v>
      </c>
      <c r="H51" s="41">
        <v>0</v>
      </c>
      <c r="I51" s="55">
        <f>I62</f>
        <v>-17305305.535848513</v>
      </c>
      <c r="J51" s="55">
        <v>0</v>
      </c>
      <c r="K51" s="55">
        <v>0</v>
      </c>
      <c r="L51" s="55">
        <v>0</v>
      </c>
      <c r="M51" s="55">
        <f>'[1]KJB-6 Cmn Adj'!BE20</f>
        <v>0</v>
      </c>
      <c r="N51" s="55">
        <f>'[1]KJB-6 Cmn Adj'!BF20</f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f>X62</f>
        <v>15915060.097866783</v>
      </c>
      <c r="Y51" s="55">
        <f>Y62</f>
        <v>0</v>
      </c>
      <c r="Z51" s="55">
        <v>0</v>
      </c>
      <c r="AA51" s="55">
        <v>0</v>
      </c>
      <c r="AB51" s="55">
        <f>'[1]KJB-7 El Adj'!O20</f>
        <v>-1969341.3363122563</v>
      </c>
      <c r="AC51" s="55">
        <v>0</v>
      </c>
      <c r="AD51" s="55">
        <v>0</v>
      </c>
      <c r="AE51" s="55">
        <f t="shared" ref="AE51:AK51" si="16">AE62</f>
        <v>-44085326.485419184</v>
      </c>
      <c r="AF51" s="55">
        <f t="shared" si="16"/>
        <v>2842787.0613208562</v>
      </c>
      <c r="AG51" s="55">
        <f t="shared" si="16"/>
        <v>5131869.0972135225</v>
      </c>
      <c r="AH51" s="55">
        <f t="shared" si="16"/>
        <v>18140954.4063752</v>
      </c>
      <c r="AI51" s="55">
        <f t="shared" si="16"/>
        <v>19004590.008907948</v>
      </c>
      <c r="AJ51" s="55">
        <f t="shared" si="16"/>
        <v>-3888478.9757908676</v>
      </c>
      <c r="AK51" s="55">
        <f t="shared" si="16"/>
        <v>5739614.9999999851</v>
      </c>
      <c r="AL51" s="55">
        <f>+'[1]KJB-7 El Adj'!BL96</f>
        <v>-54768451.766517222</v>
      </c>
      <c r="AM51" s="55">
        <f>SUM(D51:AL51)</f>
        <v>-55242028.428203754</v>
      </c>
      <c r="AN51" s="41">
        <f>+AM51+C51</f>
        <v>5097962433.1576805</v>
      </c>
      <c r="AO51" s="42">
        <f>C51</f>
        <v>5153204461.5858841</v>
      </c>
      <c r="AP51" s="41">
        <f>AM51</f>
        <v>-55242028.428203754</v>
      </c>
      <c r="AQ51" s="41">
        <f>AN51</f>
        <v>5097962433.1576805</v>
      </c>
      <c r="AR51" s="42">
        <v>0</v>
      </c>
      <c r="AS51" s="42">
        <f>SUM(AQ51:AR51)</f>
        <v>5097962433.1576805</v>
      </c>
      <c r="AT51" s="53"/>
      <c r="AU51" s="40"/>
      <c r="AV51" s="40"/>
      <c r="AW51" s="40"/>
    </row>
    <row r="52" spans="1:49" x14ac:dyDescent="0.25">
      <c r="A52" s="34">
        <f t="shared" si="2"/>
        <v>37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U52" s="40"/>
      <c r="AV52" s="40"/>
      <c r="AW52" s="40"/>
    </row>
    <row r="53" spans="1:49" x14ac:dyDescent="0.25">
      <c r="A53" s="34">
        <f t="shared" si="2"/>
        <v>38</v>
      </c>
      <c r="B53" s="35" t="s">
        <v>134</v>
      </c>
      <c r="C53" s="57">
        <f>C49/C51</f>
        <v>7.7816235448839796E-2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57">
        <f>AN49/AN51</f>
        <v>5.9299244657255924E-2</v>
      </c>
      <c r="AO53" s="57">
        <f>AO49/AO51</f>
        <v>7.7816235448839796E-2</v>
      </c>
      <c r="AP53" s="41"/>
      <c r="AQ53" s="57">
        <f>AQ49/AQ51</f>
        <v>5.9299244657255924E-2</v>
      </c>
      <c r="AR53" s="41"/>
      <c r="AS53" s="57">
        <f>AS49/AS51</f>
        <v>7.7400000146371911E-2</v>
      </c>
      <c r="AT53" s="58"/>
      <c r="AU53" s="40"/>
      <c r="AV53" s="40"/>
      <c r="AW53" s="40"/>
    </row>
    <row r="54" spans="1:49" x14ac:dyDescent="0.25">
      <c r="A54" s="34">
        <f t="shared" si="2"/>
        <v>39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 t="s">
        <v>21</v>
      </c>
      <c r="AS54" s="39"/>
      <c r="AU54" s="40"/>
      <c r="AV54" s="40"/>
      <c r="AW54" s="40"/>
    </row>
    <row r="55" spans="1:49" x14ac:dyDescent="0.25">
      <c r="A55" s="34">
        <f t="shared" si="2"/>
        <v>40</v>
      </c>
      <c r="B55" s="4" t="s">
        <v>135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 t="s">
        <v>21</v>
      </c>
      <c r="AS55" s="39"/>
      <c r="AU55" s="40"/>
      <c r="AV55" s="40"/>
      <c r="AW55" s="40"/>
    </row>
    <row r="56" spans="1:49" x14ac:dyDescent="0.25">
      <c r="A56" s="34">
        <f t="shared" si="2"/>
        <v>41</v>
      </c>
      <c r="B56" s="59" t="s">
        <v>136</v>
      </c>
      <c r="C56" s="55">
        <v>9760401506.5440865</v>
      </c>
      <c r="D56" s="55">
        <v>0</v>
      </c>
      <c r="E56" s="41">
        <v>0</v>
      </c>
      <c r="F56" s="41">
        <v>0</v>
      </c>
      <c r="G56" s="41">
        <v>0</v>
      </c>
      <c r="H56" s="41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f>+P51</f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f>'[1]KJB-6 Cmn Adj'!DB15+'[1]KJB-6 Cmn Adj'!DB16</f>
        <v>15741420.734608332</v>
      </c>
      <c r="Y56" s="55"/>
      <c r="Z56" s="55">
        <v>0</v>
      </c>
      <c r="AA56" s="55">
        <v>0</v>
      </c>
      <c r="AB56" s="55">
        <f>'[1]KJB-7 El Adj'!O15</f>
        <v>-4539303</v>
      </c>
      <c r="AC56" s="55">
        <v>0</v>
      </c>
      <c r="AD56" s="55">
        <v>0</v>
      </c>
      <c r="AE56" s="55"/>
      <c r="AF56" s="55">
        <f>'[1]KJB-7 El Adj'!AI14</f>
        <v>5283142.6882666685</v>
      </c>
      <c r="AG56" s="55">
        <f>+'[1]KJB-7 El Adj'!AN15</f>
        <v>16120231.800000003</v>
      </c>
      <c r="AH56" s="55">
        <f>'[1]KJB-7 El Adj'!AS14+'[1]KJB-7 El Adj'!AS22</f>
        <v>-46656.627500012517</v>
      </c>
      <c r="AI56" s="55">
        <f>+'[1]KJB-7 El Adj'!AX15</f>
        <v>24765516.030000001</v>
      </c>
      <c r="AJ56" s="55">
        <f>'[1]KJB-7 El Adj'!BC15+'[1]KJB-7 El Adj'!BC16</f>
        <v>45432.020000000004</v>
      </c>
      <c r="AK56" s="55"/>
      <c r="AL56" s="55">
        <f>AL51-AL59-AL58-AL57</f>
        <v>-107887484.00000001</v>
      </c>
      <c r="AM56" s="55">
        <f t="shared" ref="AM56:AM62" si="17">SUM(D56:AL56)</f>
        <v>-50517700.354625024</v>
      </c>
      <c r="AN56" s="41">
        <f t="shared" ref="AN56:AN61" si="18">+AM56+C56</f>
        <v>9709883806.1894608</v>
      </c>
      <c r="AO56" s="42">
        <f t="shared" ref="AO56:AO61" si="19">C56</f>
        <v>9760401506.5440865</v>
      </c>
      <c r="AP56" s="41">
        <f t="shared" ref="AP56:AP61" si="20">+AM56</f>
        <v>-50517700.354625024</v>
      </c>
      <c r="AQ56" s="41">
        <f t="shared" ref="AQ56:AQ61" si="21">+AP56+AO56</f>
        <v>9709883806.1894608</v>
      </c>
      <c r="AR56" s="42"/>
      <c r="AS56" s="42">
        <f t="shared" ref="AS56:AS61" si="22">SUM(AQ56:AR56)</f>
        <v>9709883806.1894608</v>
      </c>
      <c r="AT56" s="53"/>
      <c r="AU56" s="40"/>
      <c r="AV56" s="40"/>
      <c r="AW56" s="40"/>
    </row>
    <row r="57" spans="1:49" x14ac:dyDescent="0.25">
      <c r="A57" s="34">
        <f t="shared" si="2"/>
        <v>42</v>
      </c>
      <c r="B57" s="59" t="s">
        <v>137</v>
      </c>
      <c r="C57" s="43">
        <v>-3743804806.4787149</v>
      </c>
      <c r="D57" s="41"/>
      <c r="E57" s="41"/>
      <c r="F57" s="41"/>
      <c r="G57" s="41"/>
      <c r="H57" s="41"/>
      <c r="I57" s="41">
        <f>+'[1]KJB-6 Cmn Adj'!AD39</f>
        <v>-26623546.978228491</v>
      </c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>
        <f>'[1]KJB-6 Cmn Adj'!DB17+'[1]KJB-6 Cmn Adj'!DB19+'[1]KJB-6 Cmn Adj'!DB18</f>
        <v>-101363.37640134411</v>
      </c>
      <c r="Y57" s="41"/>
      <c r="Z57" s="41"/>
      <c r="AA57" s="41"/>
      <c r="AB57" s="41">
        <f>'[1]KJB-7 El Adj'!O16+'[1]KJB-7 El Adj'!O17</f>
        <v>1590015.6893272984</v>
      </c>
      <c r="AC57" s="41"/>
      <c r="AD57" s="41"/>
      <c r="AE57" s="41"/>
      <c r="AF57" s="41">
        <f>'[1]KJB-7 El Adj'!AI15+'[1]KJB-7 El Adj'!AI16</f>
        <v>-723725.33830972295</v>
      </c>
      <c r="AG57" s="41">
        <f>+'[1]KJB-7 El Adj'!AN16</f>
        <v>-9403468.5500000026</v>
      </c>
      <c r="AH57" s="41">
        <f>'[1]KJB-7 El Adj'!AS15+'[1]KJB-7 El Adj'!AS16+'[1]KJB-7 El Adj'!AS23+'[1]KJB-7 El Adj'!AS24</f>
        <v>21111912.982080221</v>
      </c>
      <c r="AI57" s="41">
        <f>+'[1]KJB-7 El Adj'!AX16</f>
        <v>-1572187.2608600797</v>
      </c>
      <c r="AJ57" s="41"/>
      <c r="AK57" s="41">
        <f>+'[1]KJB-7 El Adj'!BH15</f>
        <v>-95819883.979849756</v>
      </c>
      <c r="AL57" s="41">
        <f>+'[1]KJB-7 El Adj'!BL56+'[1]KJB-7 El Adj'!BL58+'[1]KJB-7 El Adj'!BL62</f>
        <v>46486223</v>
      </c>
      <c r="AM57" s="41">
        <f t="shared" si="17"/>
        <v>-65056023.812241882</v>
      </c>
      <c r="AN57" s="41">
        <f t="shared" si="18"/>
        <v>-3808860830.290957</v>
      </c>
      <c r="AO57" s="41">
        <f t="shared" si="19"/>
        <v>-3743804806.4787149</v>
      </c>
      <c r="AP57" s="41">
        <f t="shared" si="20"/>
        <v>-65056023.812241882</v>
      </c>
      <c r="AQ57" s="41">
        <f t="shared" si="21"/>
        <v>-3808860830.290957</v>
      </c>
      <c r="AR57" s="41"/>
      <c r="AS57" s="41">
        <f t="shared" si="22"/>
        <v>-3808860830.290957</v>
      </c>
      <c r="AT57" s="53"/>
      <c r="AU57" s="40"/>
      <c r="AV57" s="40"/>
      <c r="AW57" s="40"/>
    </row>
    <row r="58" spans="1:49" x14ac:dyDescent="0.25">
      <c r="A58" s="34">
        <f t="shared" si="2"/>
        <v>43</v>
      </c>
      <c r="B58" s="4" t="s">
        <v>138</v>
      </c>
      <c r="C58" s="43">
        <v>253258620.21125004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>
        <v>-58945766.064063393</v>
      </c>
      <c r="AF58" s="41"/>
      <c r="AG58" s="41"/>
      <c r="AH58" s="41"/>
      <c r="AI58" s="41"/>
      <c r="AJ58" s="41">
        <f>'[1]KJB-7 El Adj'!BC14+'[1]KJB-7 El Adj'!BC18</f>
        <v>-6052169.9764315933</v>
      </c>
      <c r="AK58" s="41">
        <f>+'[1]KJB-7 El Adj'!BH14</f>
        <v>101559498.97984974</v>
      </c>
      <c r="AL58" s="41">
        <v>-5970590.0067432709</v>
      </c>
      <c r="AM58" s="41">
        <f t="shared" si="17"/>
        <v>30590972.932611484</v>
      </c>
      <c r="AN58" s="41">
        <f t="shared" si="18"/>
        <v>283849593.14386153</v>
      </c>
      <c r="AO58" s="41">
        <f t="shared" si="19"/>
        <v>253258620.21125004</v>
      </c>
      <c r="AP58" s="41">
        <f t="shared" si="20"/>
        <v>30590972.932611484</v>
      </c>
      <c r="AQ58" s="41">
        <f t="shared" si="21"/>
        <v>283849593.14386153</v>
      </c>
      <c r="AR58" s="41"/>
      <c r="AS58" s="41">
        <f t="shared" si="22"/>
        <v>283849593.14386153</v>
      </c>
      <c r="AT58" s="53"/>
      <c r="AU58" s="40"/>
      <c r="AV58" s="40"/>
      <c r="AW58" s="40"/>
    </row>
    <row r="59" spans="1:49" x14ac:dyDescent="0.25">
      <c r="A59" s="34">
        <f t="shared" si="2"/>
        <v>44</v>
      </c>
      <c r="B59" s="4" t="s">
        <v>139</v>
      </c>
      <c r="C59" s="43">
        <v>-1263932467.6059232</v>
      </c>
      <c r="D59" s="41"/>
      <c r="E59" s="41"/>
      <c r="F59" s="41"/>
      <c r="G59" s="41">
        <f>'[1]KJB-6 Cmn Adj'!U35</f>
        <v>0</v>
      </c>
      <c r="H59" s="41"/>
      <c r="I59" s="41">
        <f>'[1]KJB-6 Cmn Adj'!AD40+'[1]KJB-6 Cmn Adj'!AD41</f>
        <v>9318241.4423799794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>
        <f>'[1]KJB-6 Cmn Adj'!DB20+'[1]KJB-6 Cmn Adj'!DB21</f>
        <v>275002.73965979565</v>
      </c>
      <c r="Y59" s="41"/>
      <c r="Z59" s="41"/>
      <c r="AA59" s="41"/>
      <c r="AB59" s="41">
        <f>'[1]KJB-7 El Adj'!O18+'[1]KJB-7 El Adj'!O19</f>
        <v>979945.97436044563</v>
      </c>
      <c r="AC59" s="41"/>
      <c r="AD59" s="41"/>
      <c r="AE59" s="41">
        <v>14860439.578644209</v>
      </c>
      <c r="AF59" s="41">
        <f>'[1]KJB-7 El Adj'!AI17+'[1]KJB-7 El Adj'!AI18</f>
        <v>-1716630.2886360891</v>
      </c>
      <c r="AG59" s="41">
        <f>+'[1]KJB-7 El Adj'!AN17</f>
        <v>-1584894.1527864772</v>
      </c>
      <c r="AH59" s="41">
        <f>'[1]KJB-7 El Adj'!AS17+'[1]KJB-7 El Adj'!AS18+'[1]KJB-7 El Adj'!AS25+'[1]KJB-7 El Adj'!AS26</f>
        <v>-2924301.9482050105</v>
      </c>
      <c r="AI59" s="41">
        <f>+'[1]KJB-7 El Adj'!AX17</f>
        <v>-4188738.7602319769</v>
      </c>
      <c r="AJ59" s="41">
        <f>'[1]KJB-7 El Adj'!BC19</f>
        <v>2118258.9806407262</v>
      </c>
      <c r="AK59" s="41"/>
      <c r="AL59" s="41">
        <v>12603399.240226053</v>
      </c>
      <c r="AM59" s="41">
        <f t="shared" si="17"/>
        <v>29740722.806051653</v>
      </c>
      <c r="AN59" s="41">
        <f t="shared" si="18"/>
        <v>-1234191744.7998714</v>
      </c>
      <c r="AO59" s="41">
        <f t="shared" si="19"/>
        <v>-1263932467.6059232</v>
      </c>
      <c r="AP59" s="41">
        <f t="shared" si="20"/>
        <v>29740722.806051653</v>
      </c>
      <c r="AQ59" s="41">
        <f t="shared" si="21"/>
        <v>-1234191744.7998714</v>
      </c>
      <c r="AR59" s="41"/>
      <c r="AS59" s="41">
        <f t="shared" si="22"/>
        <v>-1234191744.7998714</v>
      </c>
      <c r="AT59" s="53"/>
      <c r="AU59" s="40"/>
      <c r="AV59" s="40"/>
      <c r="AW59" s="40"/>
    </row>
    <row r="60" spans="1:49" x14ac:dyDescent="0.25">
      <c r="A60" s="34">
        <f t="shared" si="2"/>
        <v>45</v>
      </c>
      <c r="B60" s="4" t="s">
        <v>140</v>
      </c>
      <c r="C60" s="43">
        <v>227005241.70228952</v>
      </c>
      <c r="D60" s="41"/>
      <c r="E60" s="41"/>
      <c r="F60" s="41"/>
      <c r="G60" s="41"/>
      <c r="H60" s="41"/>
      <c r="I60" s="41"/>
      <c r="J60" s="41"/>
      <c r="K60" s="41"/>
      <c r="L60" s="41"/>
      <c r="M60" s="41">
        <f>'[1]KJB-6 Cmn Adj'!BE20</f>
        <v>0</v>
      </c>
      <c r="N60" s="41">
        <f>'[1]KJB-6 Cmn Adj'!BF20</f>
        <v>0</v>
      </c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>
        <f t="shared" si="17"/>
        <v>0</v>
      </c>
      <c r="AN60" s="41">
        <f t="shared" si="18"/>
        <v>227005241.70228952</v>
      </c>
      <c r="AO60" s="41">
        <f t="shared" si="19"/>
        <v>227005241.70228952</v>
      </c>
      <c r="AP60" s="41">
        <f t="shared" si="20"/>
        <v>0</v>
      </c>
      <c r="AQ60" s="41">
        <f t="shared" si="21"/>
        <v>227005241.70228952</v>
      </c>
      <c r="AR60" s="41"/>
      <c r="AS60" s="41">
        <f t="shared" si="22"/>
        <v>227005241.70228952</v>
      </c>
      <c r="AT60" s="53"/>
      <c r="AU60" s="40"/>
      <c r="AV60" s="40"/>
      <c r="AW60" s="40"/>
    </row>
    <row r="61" spans="1:49" x14ac:dyDescent="0.25">
      <c r="A61" s="34">
        <f t="shared" si="2"/>
        <v>46</v>
      </c>
      <c r="B61" s="4" t="s">
        <v>141</v>
      </c>
      <c r="C61" s="43">
        <v>-79723632.787103415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>
        <f t="shared" si="17"/>
        <v>0</v>
      </c>
      <c r="AN61" s="41">
        <f t="shared" si="18"/>
        <v>-79723632.787103415</v>
      </c>
      <c r="AO61" s="41">
        <f t="shared" si="19"/>
        <v>-79723632.787103415</v>
      </c>
      <c r="AP61" s="41">
        <f t="shared" si="20"/>
        <v>0</v>
      </c>
      <c r="AQ61" s="41">
        <f t="shared" si="21"/>
        <v>-79723632.787103415</v>
      </c>
      <c r="AR61" s="41"/>
      <c r="AS61" s="41">
        <f t="shared" si="22"/>
        <v>-79723632.787103415</v>
      </c>
      <c r="AT61" s="53"/>
      <c r="AU61" s="40"/>
      <c r="AV61" s="40"/>
      <c r="AW61" s="40"/>
    </row>
    <row r="62" spans="1:49" ht="13.8" thickBot="1" x14ac:dyDescent="0.3">
      <c r="A62" s="34">
        <f t="shared" si="2"/>
        <v>47</v>
      </c>
      <c r="B62" s="4" t="s">
        <v>142</v>
      </c>
      <c r="C62" s="60">
        <f t="shared" ref="C62:AL62" si="23">SUM(C56:C61)</f>
        <v>5153204461.5858841</v>
      </c>
      <c r="D62" s="60">
        <f t="shared" si="23"/>
        <v>0</v>
      </c>
      <c r="E62" s="60">
        <f t="shared" si="23"/>
        <v>0</v>
      </c>
      <c r="F62" s="60">
        <f t="shared" si="23"/>
        <v>0</v>
      </c>
      <c r="G62" s="60">
        <f t="shared" si="23"/>
        <v>0</v>
      </c>
      <c r="H62" s="60">
        <f t="shared" si="23"/>
        <v>0</v>
      </c>
      <c r="I62" s="60">
        <f t="shared" si="23"/>
        <v>-17305305.535848513</v>
      </c>
      <c r="J62" s="60">
        <f t="shared" si="23"/>
        <v>0</v>
      </c>
      <c r="K62" s="60">
        <f t="shared" si="23"/>
        <v>0</v>
      </c>
      <c r="L62" s="60">
        <f t="shared" si="23"/>
        <v>0</v>
      </c>
      <c r="M62" s="60">
        <f t="shared" si="23"/>
        <v>0</v>
      </c>
      <c r="N62" s="60">
        <f t="shared" si="23"/>
        <v>0</v>
      </c>
      <c r="O62" s="60">
        <f t="shared" si="23"/>
        <v>0</v>
      </c>
      <c r="P62" s="60">
        <f t="shared" si="23"/>
        <v>0</v>
      </c>
      <c r="Q62" s="60">
        <f t="shared" si="23"/>
        <v>0</v>
      </c>
      <c r="R62" s="60">
        <f t="shared" si="23"/>
        <v>0</v>
      </c>
      <c r="S62" s="60">
        <f t="shared" si="23"/>
        <v>0</v>
      </c>
      <c r="T62" s="60">
        <f t="shared" si="23"/>
        <v>0</v>
      </c>
      <c r="U62" s="60">
        <f t="shared" si="23"/>
        <v>0</v>
      </c>
      <c r="V62" s="60">
        <f t="shared" si="23"/>
        <v>0</v>
      </c>
      <c r="W62" s="60">
        <f t="shared" si="23"/>
        <v>0</v>
      </c>
      <c r="X62" s="60">
        <f t="shared" si="23"/>
        <v>15915060.097866783</v>
      </c>
      <c r="Y62" s="60">
        <f t="shared" si="23"/>
        <v>0</v>
      </c>
      <c r="Z62" s="60">
        <f t="shared" si="23"/>
        <v>0</v>
      </c>
      <c r="AA62" s="60">
        <f t="shared" si="23"/>
        <v>0</v>
      </c>
      <c r="AB62" s="60">
        <f t="shared" si="23"/>
        <v>-1969341.3363122558</v>
      </c>
      <c r="AC62" s="60">
        <f t="shared" si="23"/>
        <v>0</v>
      </c>
      <c r="AD62" s="60">
        <f t="shared" si="23"/>
        <v>0</v>
      </c>
      <c r="AE62" s="60">
        <f t="shared" si="23"/>
        <v>-44085326.485419184</v>
      </c>
      <c r="AF62" s="60">
        <f t="shared" si="23"/>
        <v>2842787.0613208562</v>
      </c>
      <c r="AG62" s="60">
        <f t="shared" si="23"/>
        <v>5131869.0972135225</v>
      </c>
      <c r="AH62" s="60">
        <f t="shared" si="23"/>
        <v>18140954.4063752</v>
      </c>
      <c r="AI62" s="60">
        <f t="shared" si="23"/>
        <v>19004590.008907948</v>
      </c>
      <c r="AJ62" s="60">
        <f t="shared" si="23"/>
        <v>-3888478.9757908676</v>
      </c>
      <c r="AK62" s="60">
        <f t="shared" si="23"/>
        <v>5739614.9999999851</v>
      </c>
      <c r="AL62" s="60">
        <f t="shared" si="23"/>
        <v>-54768451.766517229</v>
      </c>
      <c r="AM62" s="60">
        <f t="shared" si="17"/>
        <v>-55242028.428203762</v>
      </c>
      <c r="AN62" s="60">
        <f>SUM(AN56:AN61)</f>
        <v>5097962433.1576805</v>
      </c>
      <c r="AO62" s="60">
        <f>SUM(AO56:AO61)</f>
        <v>5153204461.5858841</v>
      </c>
      <c r="AP62" s="60">
        <f>SUM(AP56:AP61)</f>
        <v>-55242028.428203762</v>
      </c>
      <c r="AQ62" s="60">
        <f>SUM(AQ56:AQ61)</f>
        <v>5097962433.1576805</v>
      </c>
      <c r="AR62" s="61"/>
      <c r="AS62" s="60">
        <f>SUM(AS56:AS61)</f>
        <v>5097962433.1576805</v>
      </c>
      <c r="AT62" s="53"/>
      <c r="AU62" s="40"/>
      <c r="AV62" s="40"/>
      <c r="AW62" s="40"/>
    </row>
    <row r="63" spans="1:49" ht="21.6" thickTop="1" x14ac:dyDescent="0.4">
      <c r="A63" s="62"/>
      <c r="B63" s="63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S63" s="65"/>
      <c r="AT63" s="65"/>
      <c r="AU63" s="40"/>
      <c r="AV63" s="40"/>
      <c r="AW63" s="40"/>
    </row>
    <row r="64" spans="1:49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S64" s="4"/>
    </row>
    <row r="65" spans="1:45" s="7" customForma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4"/>
      <c r="AN65" s="4"/>
      <c r="AO65" s="4"/>
      <c r="AP65" s="4"/>
      <c r="AQ65" s="4"/>
      <c r="AR65" s="4"/>
      <c r="AS65" s="4"/>
    </row>
    <row r="66" spans="1:45" s="7" customForma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4"/>
      <c r="AN66" s="4"/>
      <c r="AO66" s="4"/>
      <c r="AP66" s="4"/>
      <c r="AQ66" s="4"/>
      <c r="AR66" s="4"/>
      <c r="AS66" s="4"/>
    </row>
    <row r="67" spans="1:45" s="7" customForma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4"/>
      <c r="AN67" s="4"/>
      <c r="AO67" s="4"/>
      <c r="AP67" s="4"/>
      <c r="AQ67" s="4"/>
      <c r="AR67" s="4"/>
      <c r="AS67" s="4"/>
    </row>
    <row r="68" spans="1:45" s="7" customForma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4"/>
      <c r="AN68" s="4"/>
      <c r="AO68" s="4"/>
      <c r="AP68" s="4"/>
      <c r="AQ68" s="4"/>
      <c r="AR68" s="4"/>
      <c r="AS68" s="4"/>
    </row>
    <row r="69" spans="1:45" s="7" customForma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4"/>
      <c r="AN69" s="4"/>
      <c r="AO69" s="4"/>
      <c r="AP69" s="4"/>
      <c r="AQ69" s="4"/>
      <c r="AR69" s="4"/>
      <c r="AS69" s="4"/>
    </row>
    <row r="70" spans="1:45" s="7" customForma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4"/>
      <c r="AN70" s="4"/>
      <c r="AO70" s="4"/>
      <c r="AP70" s="4"/>
      <c r="AQ70" s="4"/>
      <c r="AR70" s="4"/>
      <c r="AS70" s="1"/>
    </row>
    <row r="71" spans="1:45" s="7" customForma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4"/>
      <c r="AN71" s="4"/>
      <c r="AO71" s="4"/>
      <c r="AP71" s="4"/>
      <c r="AQ71" s="4"/>
      <c r="AR71" s="4"/>
      <c r="AS71" s="1"/>
    </row>
    <row r="72" spans="1:45" s="7" customForma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4"/>
      <c r="AN72" s="4"/>
      <c r="AO72" s="4"/>
      <c r="AP72" s="4"/>
      <c r="AQ72" s="4"/>
      <c r="AR72" s="4"/>
      <c r="AS72" s="1"/>
    </row>
    <row r="73" spans="1:45" s="7" customForma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4"/>
      <c r="AN73" s="4"/>
      <c r="AO73" s="4"/>
      <c r="AP73" s="4"/>
      <c r="AQ73" s="4"/>
      <c r="AR73" s="4"/>
      <c r="AS73" s="1"/>
    </row>
    <row r="74" spans="1:45" s="7" customForma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4"/>
      <c r="AN74" s="4"/>
      <c r="AO74" s="9"/>
      <c r="AP74" s="4"/>
      <c r="AQ74" s="4"/>
      <c r="AR74" s="4"/>
      <c r="AS74" s="1"/>
    </row>
    <row r="75" spans="1:45" s="7" customForma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4"/>
      <c r="AN75" s="4"/>
      <c r="AO75" s="4"/>
      <c r="AP75" s="4"/>
      <c r="AQ75" s="4"/>
      <c r="AR75" s="4"/>
      <c r="AS75" s="1"/>
    </row>
    <row r="76" spans="1:45" s="7" customForma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4"/>
      <c r="AN76" s="4"/>
      <c r="AO76" s="4"/>
      <c r="AP76" s="4"/>
      <c r="AQ76" s="4"/>
      <c r="AR76" s="4"/>
      <c r="AS76" s="1"/>
    </row>
    <row r="77" spans="1:45" s="7" customForma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4"/>
      <c r="AN77" s="4"/>
      <c r="AO77" s="4"/>
      <c r="AP77" s="4"/>
      <c r="AQ77" s="4"/>
      <c r="AR77" s="4"/>
      <c r="AS77" s="1"/>
    </row>
    <row r="78" spans="1:45" s="7" customForma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4"/>
      <c r="AN78" s="4"/>
      <c r="AO78" s="4"/>
      <c r="AP78" s="4"/>
      <c r="AQ78" s="4"/>
      <c r="AR78" s="4"/>
      <c r="AS78" s="1"/>
    </row>
    <row r="79" spans="1:45" s="7" customForma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4"/>
      <c r="AN79" s="4"/>
      <c r="AO79" s="4"/>
      <c r="AP79" s="4"/>
      <c r="AQ79" s="4"/>
      <c r="AR79" s="4"/>
      <c r="AS79" s="1"/>
    </row>
  </sheetData>
  <conditionalFormatting sqref="AM1:AT1 A1:AK1">
    <cfRule type="cellIs" dxfId="1" priority="2" stopIfTrue="1" operator="notEqual">
      <formula>0</formula>
    </cfRule>
  </conditionalFormatting>
  <conditionalFormatting sqref="AL1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2017-01-13T08:00:00+00:00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566F99CF-1619-4F15-BBC4-EABCFAC0799C}"/>
</file>

<file path=customXml/itemProps2.xml><?xml version="1.0" encoding="utf-8"?>
<ds:datastoreItem xmlns:ds="http://schemas.openxmlformats.org/officeDocument/2006/customXml" ds:itemID="{5C4CC9C2-B076-4A2B-A526-114BE02B1DD9}"/>
</file>

<file path=customXml/itemProps3.xml><?xml version="1.0" encoding="utf-8"?>
<ds:datastoreItem xmlns:ds="http://schemas.openxmlformats.org/officeDocument/2006/customXml" ds:itemID="{CDEF6222-9998-421F-B848-C4FA0C130577}"/>
</file>

<file path=customXml/itemProps4.xml><?xml version="1.0" encoding="utf-8"?>
<ds:datastoreItem xmlns:ds="http://schemas.openxmlformats.org/officeDocument/2006/customXml" ds:itemID="{645F2873-278A-41EF-81D3-22F59032DC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k_Docket_Number</vt:lpstr>
      <vt:lpstr>keep_KJB_4_Electric_Summary</vt:lpstr>
    </vt:vector>
  </TitlesOfParts>
  <Company>Perkins Coie LLP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 Name</dc:creator>
  <cp:lastModifiedBy>No Name</cp:lastModifiedBy>
  <dcterms:created xsi:type="dcterms:W3CDTF">2017-01-05T16:08:13Z</dcterms:created>
  <dcterms:modified xsi:type="dcterms:W3CDTF">2017-01-05T16:09:11Z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